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1.xml" ContentType="application/vnd.openxmlformats-officedocument.spreadsheetml.comments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ei\DIE_SERVIDOR_2021\ESTADISTICAS Y ENCUESTAS\BOLETIN ESTADISTICO\2023 Estadisticas Datos 2022\WEB 2022\subidos_a_la_web_LISTO\"/>
    </mc:Choice>
  </mc:AlternateContent>
  <bookViews>
    <workbookView xWindow="14250" yWindow="525" windowWidth="13725" windowHeight="11310" tabRatio="945" firstSheet="4" activeTab="10"/>
  </bookViews>
  <sheets>
    <sheet name="Graficas Serie" sheetId="7" r:id="rId1"/>
    <sheet name="Graficos 2022" sheetId="11" r:id="rId2"/>
    <sheet name="graficos_extra_prod" sheetId="17" r:id="rId3"/>
    <sheet name="CONSUMO VOL Sin Zona Franca" sheetId="19" r:id="rId4"/>
    <sheet name="CONSUMO VOL Con zona Franca " sheetId="13" r:id="rId5"/>
    <sheet name="Extrac-prod Sin Zona Franca" sheetId="1" r:id="rId6"/>
    <sheet name="Extrac- Prod Con Zona Franca" sheetId="8" r:id="rId7"/>
    <sheet name="EXPORT VOL Sin Zona Franca" sheetId="18" r:id="rId8"/>
    <sheet name="EXPORT VALOR Sin Zona Franca" sheetId="5" r:id="rId9"/>
    <sheet name="EXPORT VOL Con zona Franca" sheetId="20" r:id="rId10"/>
    <sheet name="EXPORT VALOR Con Zona Franca" sheetId="10" r:id="rId11"/>
    <sheet name="IMPORT VOLUMEN Sin Zona Franca" sheetId="21" r:id="rId12"/>
    <sheet name="IMPORT VALOR  Sin ZF_NUM &gt;" sheetId="3" r:id="rId13"/>
    <sheet name="IMPORT VOLUMEN Con Zona Franca_" sheetId="16" r:id="rId14"/>
    <sheet name="IMPORT VALOR CON z F_MENOR" sheetId="15" r:id="rId15"/>
    <sheet name="VALOS PROMEDIO" sheetId="12" r:id="rId16"/>
  </sheets>
  <externalReferences>
    <externalReference r:id="rId17"/>
  </externalReferences>
  <definedNames>
    <definedName name="_xlnm._FilterDatabase" localSheetId="10" hidden="1">'EXPORT VALOR Con Zona Franca'!$A$13:$L$67</definedName>
  </definedNames>
  <calcPr calcId="162913"/>
</workbook>
</file>

<file path=xl/calcChain.xml><?xml version="1.0" encoding="utf-8"?>
<calcChain xmlns="http://schemas.openxmlformats.org/spreadsheetml/2006/main">
  <c r="M16" i="10" l="1"/>
  <c r="M14" i="10" s="1"/>
  <c r="AL14" i="19"/>
  <c r="AL16" i="19"/>
  <c r="Z16" i="19"/>
  <c r="Z14" i="19" s="1"/>
  <c r="Z15" i="1" l="1"/>
  <c r="Z27" i="1"/>
  <c r="Z24" i="1"/>
  <c r="Z23" i="1"/>
  <c r="Z22" i="1"/>
  <c r="Z21" i="1"/>
  <c r="Z18" i="1"/>
  <c r="Z17" i="1"/>
  <c r="Z16" i="1"/>
  <c r="N25" i="8"/>
  <c r="N22" i="8"/>
  <c r="N21" i="8"/>
  <c r="N19" i="8" s="1"/>
  <c r="N20" i="8"/>
  <c r="N14" i="8" s="1"/>
  <c r="N16" i="8"/>
  <c r="N15" i="8" l="1"/>
  <c r="N13" i="8"/>
  <c r="I13" i="11" l="1"/>
  <c r="I14" i="11"/>
  <c r="I15" i="11"/>
  <c r="I16" i="11"/>
  <c r="I17" i="11"/>
  <c r="AO18" i="19" l="1"/>
  <c r="AO19" i="19"/>
  <c r="AO15" i="19"/>
  <c r="AO16" i="19"/>
  <c r="AO17" i="19"/>
  <c r="AO14" i="19"/>
  <c r="O44" i="8" l="1"/>
  <c r="O45" i="8"/>
  <c r="O46" i="8"/>
  <c r="O47" i="8"/>
  <c r="O48" i="8"/>
  <c r="O49" i="8"/>
  <c r="O50" i="8"/>
  <c r="O43" i="8"/>
  <c r="O14" i="8" l="1"/>
  <c r="O16" i="8"/>
  <c r="O17" i="8"/>
  <c r="O18" i="8"/>
  <c r="O20" i="8"/>
  <c r="O22" i="8"/>
  <c r="O23" i="8"/>
  <c r="O24" i="8"/>
  <c r="O27" i="8"/>
  <c r="Y43" i="3" l="1"/>
  <c r="Y69" i="3" s="1"/>
  <c r="Y56" i="3"/>
  <c r="AO66" i="19" l="1"/>
  <c r="AO65" i="19"/>
  <c r="AO64" i="19"/>
  <c r="AO63" i="19"/>
  <c r="AO62" i="19"/>
  <c r="AO61" i="19"/>
  <c r="AO60" i="19"/>
  <c r="AO59" i="19"/>
  <c r="AO58" i="19"/>
  <c r="AO57" i="19"/>
  <c r="AO56" i="19"/>
  <c r="AO55" i="19"/>
  <c r="AO54" i="19"/>
  <c r="AO53" i="19"/>
  <c r="AO52" i="19"/>
  <c r="AO51" i="19"/>
  <c r="AO50" i="19"/>
  <c r="AO49" i="19"/>
  <c r="AO48" i="19"/>
  <c r="AO47" i="19"/>
  <c r="AO46" i="19"/>
  <c r="AO45" i="19"/>
  <c r="AO44" i="19"/>
  <c r="AO43" i="19"/>
  <c r="AO42" i="19"/>
  <c r="AO41" i="19"/>
  <c r="AO40" i="19"/>
  <c r="AO39" i="19"/>
  <c r="AO38" i="19"/>
  <c r="AO37" i="19"/>
  <c r="AO36" i="19"/>
  <c r="AO35" i="19"/>
  <c r="AO34" i="19"/>
  <c r="AO33" i="19"/>
  <c r="AO32" i="19"/>
  <c r="AO31" i="19"/>
  <c r="AO30" i="19"/>
  <c r="AO29" i="19"/>
  <c r="AO28" i="19"/>
  <c r="AO27" i="19"/>
  <c r="AO26" i="19"/>
  <c r="AO25" i="19"/>
  <c r="AO24" i="19"/>
  <c r="AO23" i="19"/>
  <c r="AO22" i="19"/>
  <c r="AO21" i="19"/>
  <c r="AO20" i="19"/>
  <c r="N22" i="13"/>
  <c r="AH27" i="13"/>
  <c r="AN13" i="13"/>
  <c r="AF22" i="13"/>
  <c r="AG22" i="13"/>
  <c r="AE22" i="13"/>
  <c r="AN14" i="13"/>
  <c r="AN15" i="13"/>
  <c r="AH13" i="13"/>
  <c r="AH22" i="13" l="1"/>
  <c r="S42" i="13"/>
  <c r="N46" i="20"/>
  <c r="N50" i="20"/>
  <c r="N51" i="20"/>
  <c r="N57" i="20"/>
  <c r="AH47" i="13"/>
  <c r="AH43" i="13"/>
  <c r="AH59" i="13"/>
  <c r="AH58" i="13"/>
  <c r="AH57" i="13"/>
  <c r="AH56" i="13"/>
  <c r="AH55" i="13"/>
  <c r="AH54" i="13"/>
  <c r="AH53" i="13"/>
  <c r="AH52" i="13"/>
  <c r="AH51" i="13"/>
  <c r="AH50" i="13"/>
  <c r="AH49" i="13"/>
  <c r="AH48" i="13"/>
  <c r="AH46" i="13"/>
  <c r="AH45" i="13"/>
  <c r="AH44" i="13"/>
  <c r="AH42" i="13"/>
  <c r="AH41" i="13"/>
  <c r="AH40" i="13"/>
  <c r="AH39" i="13"/>
  <c r="AH38" i="13"/>
  <c r="AH37" i="13"/>
  <c r="AH36" i="13"/>
  <c r="AH35" i="13"/>
  <c r="AH34" i="13"/>
  <c r="AH33" i="13"/>
  <c r="AH32" i="13"/>
  <c r="AH31" i="13"/>
  <c r="AH30" i="13"/>
  <c r="AH29" i="13"/>
  <c r="AH28" i="13"/>
  <c r="AH26" i="13"/>
  <c r="AH25" i="13"/>
  <c r="AH24" i="13"/>
  <c r="AH23" i="13"/>
  <c r="AH21" i="13"/>
  <c r="AH20" i="13"/>
  <c r="AH19" i="13"/>
  <c r="AH18" i="13"/>
  <c r="AH17" i="13"/>
  <c r="AH16" i="13"/>
  <c r="AH15" i="13"/>
  <c r="AH14" i="13"/>
  <c r="M69" i="11" l="1"/>
  <c r="M20" i="11"/>
  <c r="M19" i="11"/>
  <c r="M18" i="11"/>
  <c r="M17" i="11"/>
  <c r="M16" i="11"/>
  <c r="M15" i="11"/>
  <c r="M14" i="11"/>
  <c r="M13" i="11"/>
  <c r="M70" i="11" s="1"/>
  <c r="M12" i="11"/>
  <c r="M10" i="11"/>
  <c r="M9" i="11"/>
  <c r="Y28" i="3"/>
  <c r="X56" i="3"/>
  <c r="Z44" i="16"/>
  <c r="Z41" i="16" s="1"/>
  <c r="Y46" i="3"/>
  <c r="Y57" i="3" l="1"/>
  <c r="X57" i="3"/>
  <c r="Y63" i="3"/>
  <c r="X63" i="3"/>
  <c r="X52" i="3"/>
  <c r="Y52" i="3"/>
  <c r="Z59" i="21"/>
  <c r="Y59" i="21"/>
  <c r="Z55" i="16"/>
  <c r="Y55" i="16"/>
  <c r="Y54" i="16" s="1"/>
  <c r="X55" i="16"/>
  <c r="W55" i="16"/>
  <c r="Z61" i="16"/>
  <c r="Y61" i="16"/>
  <c r="X61" i="16"/>
  <c r="W61" i="16"/>
  <c r="V54" i="16"/>
  <c r="U54" i="16"/>
  <c r="Y50" i="16"/>
  <c r="Z50" i="16"/>
  <c r="X39" i="3"/>
  <c r="Y39" i="3"/>
  <c r="Z54" i="16" l="1"/>
  <c r="X54" i="16"/>
  <c r="W54" i="16"/>
  <c r="M11" i="11" l="1"/>
  <c r="Y29" i="3"/>
  <c r="Y33" i="3" l="1"/>
  <c r="Y24" i="3" l="1"/>
  <c r="Y20" i="3" l="1"/>
  <c r="Y41" i="16" l="1"/>
  <c r="Z37" i="16"/>
  <c r="Y31" i="16"/>
  <c r="Z31" i="16"/>
  <c r="Z27" i="16"/>
  <c r="Z22" i="16"/>
  <c r="Z18" i="16"/>
  <c r="Z26" i="16" l="1"/>
  <c r="Y65" i="21"/>
  <c r="Y58" i="21" s="1"/>
  <c r="Z65" i="21"/>
  <c r="Z58" i="21" s="1"/>
  <c r="Y54" i="21"/>
  <c r="Z54" i="21"/>
  <c r="Z48" i="21"/>
  <c r="Z45" i="21" s="1"/>
  <c r="Z41" i="21"/>
  <c r="Z31" i="21"/>
  <c r="Z22" i="21"/>
  <c r="Z26" i="21"/>
  <c r="Z15" i="21"/>
  <c r="Z17" i="21"/>
  <c r="Z13" i="16"/>
  <c r="Z11" i="16" s="1"/>
  <c r="X14" i="15"/>
  <c r="Y14" i="15"/>
  <c r="Z30" i="21" l="1"/>
  <c r="Y62" i="15"/>
  <c r="Y19" i="15"/>
  <c r="Y38" i="15"/>
  <c r="X38" i="15"/>
  <c r="T51" i="15"/>
  <c r="U51" i="15"/>
  <c r="V51" i="15"/>
  <c r="W51" i="15"/>
  <c r="X51" i="15"/>
  <c r="Y51" i="15"/>
  <c r="Y56" i="15"/>
  <c r="X56" i="15"/>
  <c r="W56" i="15"/>
  <c r="V56" i="15"/>
  <c r="U56" i="15"/>
  <c r="T56" i="15"/>
  <c r="S56" i="15"/>
  <c r="X62" i="15"/>
  <c r="W62" i="15"/>
  <c r="V62" i="15"/>
  <c r="U62" i="15"/>
  <c r="Y45" i="15"/>
  <c r="Y42" i="15" s="1"/>
  <c r="Y32" i="15"/>
  <c r="Y28" i="15"/>
  <c r="Y23" i="15"/>
  <c r="Y84" i="3"/>
  <c r="Y83" i="15"/>
  <c r="Y77" i="15"/>
  <c r="Y75" i="15" s="1"/>
  <c r="Y74" i="15" s="1"/>
  <c r="X15" i="3"/>
  <c r="X13" i="3" s="1"/>
  <c r="Y15" i="3"/>
  <c r="Y13" i="3" s="1"/>
  <c r="Y12" i="15"/>
  <c r="X12" i="15"/>
  <c r="S12" i="15"/>
  <c r="W55" i="15" l="1"/>
  <c r="X55" i="15"/>
  <c r="Y55" i="15"/>
  <c r="Y27" i="15"/>
  <c r="Y91" i="15"/>
  <c r="Y82" i="3"/>
  <c r="Y68" i="15" l="1"/>
  <c r="Y94" i="15" s="1"/>
  <c r="Y76" i="3" l="1"/>
  <c r="Y75" i="3" s="1"/>
  <c r="Y92" i="3" s="1"/>
  <c r="Y95" i="3" s="1"/>
  <c r="Y82" i="1" l="1"/>
  <c r="Z82" i="1"/>
  <c r="R54" i="18" l="1"/>
  <c r="S54" i="18"/>
  <c r="T54" i="18"/>
  <c r="U54" i="18"/>
  <c r="U53" i="18" s="1"/>
  <c r="V54" i="18"/>
  <c r="W54" i="18"/>
  <c r="X54" i="18"/>
  <c r="Y54" i="18"/>
  <c r="Z54" i="18"/>
  <c r="Z58" i="1"/>
  <c r="Z49" i="1"/>
  <c r="Z45" i="1"/>
  <c r="Z52" i="1"/>
  <c r="N50" i="8"/>
  <c r="Z48" i="1" l="1"/>
  <c r="X28" i="12"/>
  <c r="X18" i="12"/>
  <c r="X13" i="12"/>
  <c r="X10" i="12"/>
  <c r="X5" i="12"/>
  <c r="H29" i="17"/>
  <c r="H27" i="17"/>
  <c r="H17" i="11"/>
  <c r="H14" i="11"/>
  <c r="H12" i="11"/>
  <c r="C9" i="11"/>
  <c r="C18" i="11"/>
  <c r="C17" i="11"/>
  <c r="C15" i="11"/>
  <c r="C14" i="11"/>
  <c r="C13" i="11"/>
  <c r="C12" i="11"/>
  <c r="C11" i="11"/>
  <c r="X75" i="5" l="1"/>
  <c r="Y83" i="5" l="1"/>
  <c r="H13" i="11" s="1"/>
  <c r="Y75" i="5"/>
  <c r="H16" i="11" s="1"/>
  <c r="Y91" i="5" l="1"/>
  <c r="Z60" i="18" l="1"/>
  <c r="Y55" i="5"/>
  <c r="Y61" i="5"/>
  <c r="Y54" i="5" l="1"/>
  <c r="Z53" i="18"/>
  <c r="Z36" i="18"/>
  <c r="Z34" i="18"/>
  <c r="H15" i="11" l="1"/>
  <c r="Z30" i="18"/>
  <c r="Z29" i="18" s="1"/>
  <c r="Z26" i="18"/>
  <c r="Z18" i="18" l="1"/>
  <c r="Z16" i="18" s="1"/>
  <c r="Z22" i="18"/>
  <c r="Z41" i="1"/>
  <c r="Y37" i="5" l="1"/>
  <c r="Y31" i="5" l="1"/>
  <c r="Y30" i="5" s="1"/>
  <c r="H11" i="11" s="1"/>
  <c r="Y41" i="5"/>
  <c r="Y27" i="5"/>
  <c r="H10" i="11" s="1"/>
  <c r="Y23" i="5"/>
  <c r="X23" i="5"/>
  <c r="Y19" i="5"/>
  <c r="Y17" i="5" s="1"/>
  <c r="H9" i="11" s="1"/>
  <c r="H26" i="17"/>
  <c r="H28" i="17"/>
  <c r="M21" i="8"/>
  <c r="O21" i="8" s="1"/>
  <c r="L21" i="8"/>
  <c r="K21" i="8"/>
  <c r="J21" i="8"/>
  <c r="I21" i="8"/>
  <c r="M20" i="8"/>
  <c r="L20" i="8"/>
  <c r="K20" i="8"/>
  <c r="J20" i="8"/>
  <c r="M80" i="8"/>
  <c r="N80" i="8"/>
  <c r="M74" i="8"/>
  <c r="N74" i="8"/>
  <c r="M73" i="8"/>
  <c r="N63" i="8"/>
  <c r="N60" i="8" s="1"/>
  <c r="N56" i="8"/>
  <c r="N46" i="8"/>
  <c r="N47" i="8"/>
  <c r="N43" i="8"/>
  <c r="N39" i="8"/>
  <c r="L79" i="10"/>
  <c r="Y67" i="5" l="1"/>
  <c r="Y94" i="5" s="1"/>
  <c r="N73" i="8"/>
  <c r="M87" i="10"/>
  <c r="L71" i="10" l="1"/>
  <c r="Q76" i="1" l="1"/>
  <c r="R76" i="1"/>
  <c r="S76" i="1"/>
  <c r="T76" i="1"/>
  <c r="U76" i="1"/>
  <c r="V76" i="1"/>
  <c r="W76" i="1"/>
  <c r="X76" i="1"/>
  <c r="Y76" i="1"/>
  <c r="Y75" i="1" s="1"/>
  <c r="Z76" i="1"/>
  <c r="Z75" i="1" s="1"/>
  <c r="P76" i="1"/>
  <c r="F74" i="8"/>
  <c r="E74" i="8"/>
  <c r="D74" i="8"/>
  <c r="G74" i="8" l="1"/>
  <c r="D52" i="10"/>
  <c r="D51" i="10" s="1"/>
  <c r="D64" i="10" s="1"/>
  <c r="E52" i="10"/>
  <c r="E51" i="10" s="1"/>
  <c r="F52" i="10"/>
  <c r="F51" i="10" s="1"/>
  <c r="G52" i="10"/>
  <c r="G51" i="10" s="1"/>
  <c r="M79" i="10" l="1"/>
  <c r="M71" i="10"/>
  <c r="M58" i="10"/>
  <c r="M52" i="10"/>
  <c r="M41" i="10"/>
  <c r="M38" i="10" s="1"/>
  <c r="M34" i="10"/>
  <c r="M28" i="10"/>
  <c r="M24" i="10"/>
  <c r="M20" i="10"/>
  <c r="C10" i="11"/>
  <c r="N40" i="20"/>
  <c r="N37" i="20"/>
  <c r="N33" i="20"/>
  <c r="N26" i="20" s="1"/>
  <c r="N31" i="20"/>
  <c r="N27" i="20"/>
  <c r="N23" i="20"/>
  <c r="M51" i="10" l="1"/>
  <c r="M27" i="10"/>
  <c r="M64" i="10" l="1"/>
  <c r="M90" i="10" s="1"/>
  <c r="C16" i="11"/>
  <c r="N19" i="20"/>
  <c r="E14" i="11" l="1"/>
  <c r="C19" i="11"/>
  <c r="N15" i="20"/>
  <c r="N13" i="20" s="1"/>
  <c r="D9" i="11" l="1"/>
  <c r="D12" i="11"/>
  <c r="E15" i="11"/>
  <c r="S7" i="13"/>
  <c r="X83" i="15" l="1"/>
  <c r="X84" i="3" l="1"/>
  <c r="E16" i="19" l="1"/>
  <c r="F16" i="19"/>
  <c r="G16" i="19"/>
  <c r="H16" i="19"/>
  <c r="I16" i="19"/>
  <c r="J16" i="19"/>
  <c r="D16" i="19"/>
  <c r="Y16" i="19"/>
  <c r="AJ18" i="19"/>
  <c r="AJ17" i="19"/>
  <c r="AE18" i="19"/>
  <c r="X16" i="19"/>
  <c r="R16" i="19"/>
  <c r="R14" i="19" s="1"/>
  <c r="S16" i="19"/>
  <c r="T16" i="19"/>
  <c r="U16" i="19"/>
  <c r="U14" i="19" s="1"/>
  <c r="V16" i="19"/>
  <c r="V14" i="19" s="1"/>
  <c r="W16" i="19"/>
  <c r="W14" i="19" s="1"/>
  <c r="S14" i="19"/>
  <c r="T14" i="19"/>
  <c r="L16" i="19"/>
  <c r="M16" i="19"/>
  <c r="N16" i="19"/>
  <c r="K16" i="19"/>
  <c r="P16" i="19"/>
  <c r="Q16" i="19"/>
  <c r="O16" i="19"/>
  <c r="AE17" i="19"/>
  <c r="X22" i="1" l="1"/>
  <c r="X14" i="19"/>
  <c r="Y14" i="19"/>
  <c r="AE33" i="19"/>
  <c r="AE34" i="19"/>
  <c r="AE21" i="19"/>
  <c r="AE66" i="19"/>
  <c r="AE65" i="19"/>
  <c r="AE64" i="19"/>
  <c r="AE63" i="19"/>
  <c r="AE62" i="19"/>
  <c r="AE61" i="19"/>
  <c r="AE60" i="19"/>
  <c r="AE59" i="19"/>
  <c r="AE58" i="19"/>
  <c r="AE57" i="19"/>
  <c r="AE56" i="19"/>
  <c r="AE55" i="19"/>
  <c r="AE54" i="19"/>
  <c r="AE53" i="19"/>
  <c r="AE52" i="19"/>
  <c r="AE51" i="19"/>
  <c r="AE50" i="19"/>
  <c r="AE49" i="19"/>
  <c r="AE48" i="19"/>
  <c r="AE47" i="19"/>
  <c r="AE46" i="19"/>
  <c r="AE45" i="19"/>
  <c r="AE44" i="19"/>
  <c r="AE43" i="19"/>
  <c r="AE42" i="19"/>
  <c r="AE41" i="19"/>
  <c r="AE40" i="19"/>
  <c r="AE39" i="19"/>
  <c r="AE38" i="19"/>
  <c r="AE37" i="19"/>
  <c r="AE36" i="19"/>
  <c r="AE35" i="19"/>
  <c r="AE32" i="19"/>
  <c r="AE31" i="19"/>
  <c r="AE30" i="19"/>
  <c r="AE29" i="19"/>
  <c r="AE28" i="19"/>
  <c r="AE27" i="19"/>
  <c r="AE26" i="19"/>
  <c r="AE25" i="19"/>
  <c r="AE24" i="19"/>
  <c r="AE23" i="19"/>
  <c r="AE22" i="19"/>
  <c r="AE20" i="19"/>
  <c r="AG21" i="19"/>
  <c r="AG25" i="19"/>
  <c r="AJ66" i="19" l="1"/>
  <c r="AJ65" i="19"/>
  <c r="AJ64" i="19"/>
  <c r="AJ63" i="19"/>
  <c r="AJ62" i="19"/>
  <c r="AJ61" i="19"/>
  <c r="AJ60" i="19"/>
  <c r="AJ59" i="19"/>
  <c r="AJ58" i="19"/>
  <c r="AJ57" i="19"/>
  <c r="AJ56" i="19"/>
  <c r="AJ55" i="19"/>
  <c r="AJ54" i="19"/>
  <c r="AJ53" i="19"/>
  <c r="AJ52" i="19"/>
  <c r="AJ51" i="19"/>
  <c r="AJ50" i="19"/>
  <c r="AJ49" i="19"/>
  <c r="AJ48" i="19"/>
  <c r="AJ47" i="19"/>
  <c r="AJ46" i="19"/>
  <c r="AJ45" i="19"/>
  <c r="AJ44" i="19"/>
  <c r="AJ43" i="19"/>
  <c r="AJ42" i="19"/>
  <c r="AJ41" i="19"/>
  <c r="AJ40" i="19"/>
  <c r="AJ39" i="19"/>
  <c r="AJ38" i="19"/>
  <c r="AJ37" i="19"/>
  <c r="AJ36" i="19"/>
  <c r="AJ35" i="19"/>
  <c r="AJ34" i="19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C59" i="13" l="1"/>
  <c r="AC58" i="13"/>
  <c r="AC57" i="13"/>
  <c r="AC56" i="13"/>
  <c r="AC55" i="13"/>
  <c r="AC54" i="13"/>
  <c r="AC53" i="13"/>
  <c r="AC52" i="13"/>
  <c r="AC51" i="13"/>
  <c r="AC50" i="13"/>
  <c r="AC49" i="13"/>
  <c r="AC48" i="13"/>
  <c r="AC47" i="13"/>
  <c r="AC46" i="13"/>
  <c r="AC45" i="13"/>
  <c r="AC44" i="13"/>
  <c r="AC43" i="13"/>
  <c r="AC42" i="13"/>
  <c r="AC41" i="13"/>
  <c r="AC40" i="13"/>
  <c r="AC39" i="13"/>
  <c r="AC38" i="13"/>
  <c r="AC37" i="13"/>
  <c r="AC36" i="13"/>
  <c r="AC35" i="13"/>
  <c r="AC34" i="13"/>
  <c r="AC33" i="13"/>
  <c r="AC32" i="13"/>
  <c r="AC31" i="13"/>
  <c r="AC30" i="13"/>
  <c r="AC29" i="13"/>
  <c r="AC28" i="13"/>
  <c r="AC27" i="13"/>
  <c r="AC26" i="13"/>
  <c r="AC25" i="13"/>
  <c r="AC24" i="13"/>
  <c r="AC23" i="13"/>
  <c r="AC22" i="13"/>
  <c r="AC21" i="13"/>
  <c r="AC20" i="13"/>
  <c r="AC19" i="13"/>
  <c r="AC18" i="13"/>
  <c r="AC17" i="13"/>
  <c r="AC16" i="13"/>
  <c r="AC15" i="13"/>
  <c r="AC14" i="13"/>
  <c r="AC13" i="13"/>
  <c r="Y22" i="21"/>
  <c r="Y48" i="21" l="1"/>
  <c r="Y45" i="21" s="1"/>
  <c r="Y44" i="16"/>
  <c r="Y26" i="16" l="1"/>
  <c r="Y41" i="21"/>
  <c r="Y39" i="21"/>
  <c r="Y31" i="21"/>
  <c r="Y26" i="21"/>
  <c r="Y17" i="21"/>
  <c r="Y15" i="21" s="1"/>
  <c r="Y30" i="21" l="1"/>
  <c r="X46" i="3"/>
  <c r="X43" i="3" s="1"/>
  <c r="X20" i="3" l="1"/>
  <c r="X37" i="3" l="1"/>
  <c r="X33" i="3"/>
  <c r="X29" i="3"/>
  <c r="X24" i="3"/>
  <c r="X76" i="3"/>
  <c r="X75" i="3" s="1"/>
  <c r="X92" i="3" l="1"/>
  <c r="X28" i="3"/>
  <c r="X69" i="3" l="1"/>
  <c r="X95" i="3" s="1"/>
  <c r="M21" i="11"/>
  <c r="N9" i="11" s="1"/>
  <c r="X75" i="15"/>
  <c r="X74" i="15" s="1"/>
  <c r="X91" i="15" s="1"/>
  <c r="X45" i="15"/>
  <c r="X42" i="15" s="1"/>
  <c r="X36" i="15"/>
  <c r="X32" i="15"/>
  <c r="X28" i="15"/>
  <c r="X23" i="15"/>
  <c r="X19" i="15"/>
  <c r="Y37" i="16"/>
  <c r="Y35" i="16"/>
  <c r="X35" i="16"/>
  <c r="Y27" i="16"/>
  <c r="Y22" i="16"/>
  <c r="Y18" i="16"/>
  <c r="Y11" i="16"/>
  <c r="Y13" i="16"/>
  <c r="X83" i="5"/>
  <c r="X27" i="15" l="1"/>
  <c r="X68" i="15" s="1"/>
  <c r="X94" i="15" s="1"/>
  <c r="X91" i="5" l="1"/>
  <c r="M28" i="8"/>
  <c r="M25" i="8"/>
  <c r="O25" i="8" s="1"/>
  <c r="M22" i="8"/>
  <c r="M14" i="8"/>
  <c r="L52" i="10" l="1"/>
  <c r="L87" i="10" l="1"/>
  <c r="H42" i="17"/>
  <c r="I39" i="17" s="1"/>
  <c r="I40" i="17" l="1"/>
  <c r="I41" i="17"/>
  <c r="I38" i="17"/>
  <c r="Y60" i="18"/>
  <c r="X61" i="5"/>
  <c r="I42" i="17" l="1"/>
  <c r="J52" i="10"/>
  <c r="V55" i="5"/>
  <c r="V54" i="5" s="1"/>
  <c r="L58" i="10" l="1"/>
  <c r="L51" i="10" s="1"/>
  <c r="M51" i="20" l="1"/>
  <c r="X55" i="5" l="1"/>
  <c r="X54" i="5" s="1"/>
  <c r="Y53" i="18"/>
  <c r="H18" i="11" l="1"/>
  <c r="M57" i="20"/>
  <c r="M50" i="20" l="1"/>
  <c r="X41" i="5"/>
  <c r="M46" i="20" l="1"/>
  <c r="M40" i="20"/>
  <c r="M37" i="20" s="1"/>
  <c r="L41" i="10"/>
  <c r="L38" i="10" s="1"/>
  <c r="L34" i="10" l="1"/>
  <c r="Y34" i="18"/>
  <c r="Y36" i="18"/>
  <c r="X37" i="5"/>
  <c r="M33" i="20"/>
  <c r="M31" i="20"/>
  <c r="L28" i="10" l="1"/>
  <c r="L27" i="10" s="1"/>
  <c r="M27" i="20"/>
  <c r="M26" i="20" s="1"/>
  <c r="X31" i="5"/>
  <c r="X30" i="5" s="1"/>
  <c r="Y30" i="18"/>
  <c r="Y29" i="18" s="1"/>
  <c r="X27" i="5" l="1"/>
  <c r="L24" i="10"/>
  <c r="M23" i="20"/>
  <c r="Y26" i="18" l="1"/>
  <c r="M19" i="20"/>
  <c r="L20" i="10"/>
  <c r="M15" i="20"/>
  <c r="M13" i="20" s="1"/>
  <c r="L16" i="10"/>
  <c r="L14" i="10" s="1"/>
  <c r="L64" i="10" l="1"/>
  <c r="Y22" i="18"/>
  <c r="L90" i="10" l="1"/>
  <c r="X19" i="5"/>
  <c r="X17" i="5" s="1"/>
  <c r="X67" i="5" s="1"/>
  <c r="X94" i="5" s="1"/>
  <c r="Y18" i="18"/>
  <c r="Y16" i="18" s="1"/>
  <c r="W18" i="12"/>
  <c r="W28" i="12" l="1"/>
  <c r="W13" i="12"/>
  <c r="W10" i="12"/>
  <c r="W5" i="12" l="1"/>
  <c r="J80" i="8" l="1"/>
  <c r="K80" i="8"/>
  <c r="L80" i="8"/>
  <c r="T82" i="1"/>
  <c r="T75" i="1" s="1"/>
  <c r="U82" i="1"/>
  <c r="V82" i="1"/>
  <c r="W82" i="1"/>
  <c r="X82" i="1"/>
  <c r="H74" i="8" l="1"/>
  <c r="I74" i="8"/>
  <c r="J74" i="8"/>
  <c r="K74" i="8"/>
  <c r="L74" i="8"/>
  <c r="V75" i="1"/>
  <c r="W75" i="1"/>
  <c r="X75" i="1"/>
  <c r="J63" i="8" l="1"/>
  <c r="K63" i="8"/>
  <c r="L63" i="8"/>
  <c r="M63" i="8"/>
  <c r="M60" i="8" s="1"/>
  <c r="Y58" i="1"/>
  <c r="M56" i="8" l="1"/>
  <c r="M46" i="8" l="1"/>
  <c r="Y52" i="1"/>
  <c r="T49" i="1"/>
  <c r="U49" i="1"/>
  <c r="U48" i="1" s="1"/>
  <c r="V49" i="1"/>
  <c r="V48" i="1" s="1"/>
  <c r="W49" i="1"/>
  <c r="X49" i="1"/>
  <c r="Y49" i="1"/>
  <c r="K50" i="8"/>
  <c r="L50" i="8"/>
  <c r="M50" i="8"/>
  <c r="Y48" i="1" l="1"/>
  <c r="I46" i="8"/>
  <c r="J46" i="8"/>
  <c r="K46" i="8"/>
  <c r="L46" i="8"/>
  <c r="I47" i="8"/>
  <c r="J47" i="8"/>
  <c r="K47" i="8"/>
  <c r="L47" i="8"/>
  <c r="M47" i="8"/>
  <c r="L43" i="8" l="1"/>
  <c r="M43" i="8"/>
  <c r="M39" i="8"/>
  <c r="X45" i="1" l="1"/>
  <c r="Y45" i="1"/>
  <c r="Y41" i="1"/>
  <c r="L28" i="8" l="1"/>
  <c r="L25" i="8"/>
  <c r="L22" i="8"/>
  <c r="L19" i="8"/>
  <c r="L13" i="8" s="1"/>
  <c r="M19" i="8"/>
  <c r="O19" i="8" s="1"/>
  <c r="L16" i="8"/>
  <c r="M16" i="8"/>
  <c r="L14" i="8"/>
  <c r="L15" i="8"/>
  <c r="M15" i="8"/>
  <c r="O15" i="8" s="1"/>
  <c r="Y29" i="1"/>
  <c r="Y23" i="1" s="1"/>
  <c r="Y17" i="1" s="1"/>
  <c r="Y30" i="1"/>
  <c r="Y24" i="1"/>
  <c r="Y22" i="1"/>
  <c r="Y16" i="1" s="1"/>
  <c r="Y18" i="1"/>
  <c r="Y27" i="1" l="1"/>
  <c r="H30" i="17" s="1"/>
  <c r="M13" i="8"/>
  <c r="O13" i="8" s="1"/>
  <c r="Y21" i="1"/>
  <c r="Y15" i="1" s="1"/>
  <c r="X65" i="21" l="1"/>
  <c r="W65" i="21"/>
  <c r="V65" i="21"/>
  <c r="U65" i="21"/>
  <c r="S65" i="21"/>
  <c r="S58" i="21" s="1"/>
  <c r="R65" i="21"/>
  <c r="R58" i="21" s="1"/>
  <c r="Q65" i="21"/>
  <c r="Q58" i="21" s="1"/>
  <c r="P65" i="21"/>
  <c r="O65" i="21"/>
  <c r="N65" i="21"/>
  <c r="M65" i="21"/>
  <c r="L65" i="21"/>
  <c r="K65" i="21"/>
  <c r="J65" i="21"/>
  <c r="I65" i="21"/>
  <c r="H65" i="21"/>
  <c r="G65" i="21"/>
  <c r="F65" i="21"/>
  <c r="E65" i="21"/>
  <c r="D65" i="21"/>
  <c r="P63" i="21"/>
  <c r="P59" i="21" s="1"/>
  <c r="X59" i="21"/>
  <c r="X58" i="21" s="1"/>
  <c r="W59" i="21"/>
  <c r="W58" i="21" s="1"/>
  <c r="V59" i="21"/>
  <c r="V58" i="21" s="1"/>
  <c r="U59" i="21"/>
  <c r="S59" i="21"/>
  <c r="R59" i="21"/>
  <c r="Q59" i="21"/>
  <c r="O59" i="21"/>
  <c r="O58" i="21" s="1"/>
  <c r="N59" i="21"/>
  <c r="N58" i="21" s="1"/>
  <c r="M59" i="21"/>
  <c r="M58" i="21" s="1"/>
  <c r="L59" i="21"/>
  <c r="L58" i="21" s="1"/>
  <c r="K59" i="21"/>
  <c r="J59" i="21"/>
  <c r="I59" i="21"/>
  <c r="H59" i="21"/>
  <c r="G59" i="21"/>
  <c r="F59" i="21"/>
  <c r="E59" i="21"/>
  <c r="D59" i="21"/>
  <c r="U58" i="21"/>
  <c r="X54" i="21"/>
  <c r="W54" i="21"/>
  <c r="V54" i="21"/>
  <c r="U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V50" i="21"/>
  <c r="V48" i="21" s="1"/>
  <c r="V45" i="21" s="1"/>
  <c r="X48" i="21"/>
  <c r="W48" i="21"/>
  <c r="U48" i="21"/>
  <c r="U45" i="21" s="1"/>
  <c r="T48" i="21"/>
  <c r="T45" i="21" s="1"/>
  <c r="S48" i="21"/>
  <c r="S45" i="21" s="1"/>
  <c r="R48" i="21"/>
  <c r="R45" i="21" s="1"/>
  <c r="Q48" i="21"/>
  <c r="Q45" i="21" s="1"/>
  <c r="P48" i="21"/>
  <c r="O48" i="21"/>
  <c r="N48" i="21"/>
  <c r="M48" i="21"/>
  <c r="M45" i="21" s="1"/>
  <c r="X45" i="21"/>
  <c r="W45" i="21"/>
  <c r="P45" i="21"/>
  <c r="O45" i="21"/>
  <c r="D45" i="21"/>
  <c r="X41" i="21"/>
  <c r="W41" i="21"/>
  <c r="V41" i="21"/>
  <c r="U41" i="21"/>
  <c r="S41" i="21"/>
  <c r="R41" i="21"/>
  <c r="R30" i="21" s="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X39" i="21"/>
  <c r="W39" i="21"/>
  <c r="V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S38" i="21"/>
  <c r="S37" i="21" s="1"/>
  <c r="S35" i="21" s="1"/>
  <c r="X35" i="21"/>
  <c r="W35" i="21"/>
  <c r="V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S33" i="21"/>
  <c r="S31" i="21" s="1"/>
  <c r="S30" i="21" s="1"/>
  <c r="X31" i="21"/>
  <c r="W31" i="21"/>
  <c r="V31" i="21"/>
  <c r="R31" i="21"/>
  <c r="Q31" i="21"/>
  <c r="Q30" i="21" s="1"/>
  <c r="P31" i="21"/>
  <c r="O31" i="21"/>
  <c r="O30" i="21" s="1"/>
  <c r="N31" i="21"/>
  <c r="M31" i="21"/>
  <c r="L31" i="21"/>
  <c r="K31" i="21"/>
  <c r="J31" i="21"/>
  <c r="I31" i="21"/>
  <c r="H31" i="21"/>
  <c r="G31" i="21"/>
  <c r="G30" i="21" s="1"/>
  <c r="F31" i="21"/>
  <c r="E31" i="21"/>
  <c r="D31" i="21"/>
  <c r="U30" i="21"/>
  <c r="T30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X17" i="21"/>
  <c r="X15" i="21" s="1"/>
  <c r="W17" i="21"/>
  <c r="W15" i="21" s="1"/>
  <c r="V17" i="21"/>
  <c r="V15" i="21" s="1"/>
  <c r="U17" i="21"/>
  <c r="U15" i="21" s="1"/>
  <c r="T17" i="21"/>
  <c r="T15" i="21" s="1"/>
  <c r="S17" i="21"/>
  <c r="R17" i="21"/>
  <c r="R15" i="21" s="1"/>
  <c r="Q17" i="21"/>
  <c r="P17" i="21"/>
  <c r="P15" i="21" s="1"/>
  <c r="O17" i="21"/>
  <c r="O15" i="21" s="1"/>
  <c r="N17" i="21"/>
  <c r="N15" i="21" s="1"/>
  <c r="M17" i="21"/>
  <c r="L17" i="21"/>
  <c r="L15" i="21" s="1"/>
  <c r="K17" i="21"/>
  <c r="J17" i="21"/>
  <c r="J15" i="21" s="1"/>
  <c r="I17" i="21"/>
  <c r="H17" i="21"/>
  <c r="H15" i="21" s="1"/>
  <c r="G17" i="21"/>
  <c r="G15" i="21" s="1"/>
  <c r="F17" i="21"/>
  <c r="F15" i="21" s="1"/>
  <c r="E17" i="21"/>
  <c r="D17" i="21"/>
  <c r="D15" i="21" s="1"/>
  <c r="S15" i="21"/>
  <c r="Q15" i="21"/>
  <c r="M15" i="21"/>
  <c r="K15" i="21"/>
  <c r="I15" i="21"/>
  <c r="E15" i="21"/>
  <c r="L57" i="20"/>
  <c r="K57" i="20"/>
  <c r="J57" i="20"/>
  <c r="I57" i="20"/>
  <c r="H57" i="20"/>
  <c r="G57" i="20"/>
  <c r="F57" i="20"/>
  <c r="E57" i="20"/>
  <c r="D57" i="20"/>
  <c r="D56" i="20"/>
  <c r="L51" i="20"/>
  <c r="K51" i="20"/>
  <c r="J51" i="20"/>
  <c r="I51" i="20"/>
  <c r="I50" i="20" s="1"/>
  <c r="H51" i="20"/>
  <c r="G51" i="20"/>
  <c r="F51" i="20"/>
  <c r="E51" i="20"/>
  <c r="D51" i="20"/>
  <c r="L46" i="20"/>
  <c r="K46" i="20"/>
  <c r="J46" i="20"/>
  <c r="I46" i="20"/>
  <c r="H46" i="20"/>
  <c r="G46" i="20"/>
  <c r="F46" i="20"/>
  <c r="E46" i="20"/>
  <c r="D46" i="20"/>
  <c r="L40" i="20"/>
  <c r="L37" i="20" s="1"/>
  <c r="K40" i="20"/>
  <c r="K37" i="20" s="1"/>
  <c r="J40" i="20"/>
  <c r="I40" i="20"/>
  <c r="H40" i="20"/>
  <c r="H37" i="20" s="1"/>
  <c r="G40" i="20"/>
  <c r="G37" i="20" s="1"/>
  <c r="F40" i="20"/>
  <c r="F37" i="20" s="1"/>
  <c r="E40" i="20"/>
  <c r="E37" i="20" s="1"/>
  <c r="D40" i="20"/>
  <c r="D37" i="20" s="1"/>
  <c r="J37" i="20"/>
  <c r="I37" i="20"/>
  <c r="L33" i="20"/>
  <c r="K33" i="20"/>
  <c r="J33" i="20"/>
  <c r="I33" i="20"/>
  <c r="H33" i="20"/>
  <c r="G33" i="20"/>
  <c r="F33" i="20"/>
  <c r="E33" i="20"/>
  <c r="D33" i="20"/>
  <c r="L31" i="20"/>
  <c r="K31" i="20"/>
  <c r="J31" i="20"/>
  <c r="I31" i="20"/>
  <c r="H31" i="20"/>
  <c r="G31" i="20"/>
  <c r="F31" i="20"/>
  <c r="E31" i="20"/>
  <c r="D31" i="20"/>
  <c r="L30" i="20"/>
  <c r="L27" i="20"/>
  <c r="K27" i="20"/>
  <c r="J27" i="20"/>
  <c r="I27" i="20"/>
  <c r="I26" i="20" s="1"/>
  <c r="H27" i="20"/>
  <c r="G27" i="20"/>
  <c r="F27" i="20"/>
  <c r="E27" i="20"/>
  <c r="D27" i="20"/>
  <c r="D26" i="20" s="1"/>
  <c r="L23" i="20"/>
  <c r="K23" i="20"/>
  <c r="J23" i="20"/>
  <c r="I23" i="20"/>
  <c r="H23" i="20"/>
  <c r="G23" i="20"/>
  <c r="F23" i="20"/>
  <c r="E23" i="20"/>
  <c r="D23" i="20"/>
  <c r="L19" i="20"/>
  <c r="K19" i="20"/>
  <c r="J19" i="20"/>
  <c r="I19" i="20"/>
  <c r="H19" i="20"/>
  <c r="G19" i="20"/>
  <c r="F19" i="20"/>
  <c r="E19" i="20"/>
  <c r="D19" i="20"/>
  <c r="L15" i="20"/>
  <c r="L13" i="20" s="1"/>
  <c r="K15" i="20"/>
  <c r="K13" i="20" s="1"/>
  <c r="J15" i="20"/>
  <c r="J13" i="20" s="1"/>
  <c r="I15" i="20"/>
  <c r="I13" i="20" s="1"/>
  <c r="H15" i="20"/>
  <c r="H13" i="20" s="1"/>
  <c r="G15" i="20"/>
  <c r="G13" i="20" s="1"/>
  <c r="F15" i="20"/>
  <c r="E15" i="20"/>
  <c r="E13" i="20" s="1"/>
  <c r="D15" i="20"/>
  <c r="D13" i="20" s="1"/>
  <c r="F13" i="20"/>
  <c r="Q37" i="19"/>
  <c r="Q29" i="19" s="1"/>
  <c r="P37" i="19"/>
  <c r="P29" i="19" s="1"/>
  <c r="O37" i="19"/>
  <c r="N37" i="19"/>
  <c r="N29" i="19" s="1"/>
  <c r="M37" i="19"/>
  <c r="O29" i="19"/>
  <c r="M29" i="19"/>
  <c r="L29" i="19"/>
  <c r="K29" i="19"/>
  <c r="J29" i="19"/>
  <c r="I29" i="19"/>
  <c r="H29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E21" i="19"/>
  <c r="D21" i="19"/>
  <c r="M14" i="19"/>
  <c r="K14" i="19"/>
  <c r="J14" i="19"/>
  <c r="I14" i="19"/>
  <c r="H14" i="19"/>
  <c r="E14" i="19"/>
  <c r="Q14" i="19"/>
  <c r="P14" i="19"/>
  <c r="O14" i="19"/>
  <c r="N14" i="19"/>
  <c r="L14" i="19"/>
  <c r="D14" i="19"/>
  <c r="X30" i="21" l="1"/>
  <c r="F30" i="21"/>
  <c r="N30" i="21"/>
  <c r="K30" i="21"/>
  <c r="M30" i="21"/>
  <c r="E30" i="21"/>
  <c r="J30" i="21"/>
  <c r="I30" i="21"/>
  <c r="E50" i="20"/>
  <c r="D50" i="20"/>
  <c r="H30" i="21"/>
  <c r="P30" i="21"/>
  <c r="P58" i="21"/>
  <c r="V30" i="21"/>
  <c r="D30" i="21"/>
  <c r="L30" i="21"/>
  <c r="W30" i="21"/>
  <c r="J50" i="20"/>
  <c r="L26" i="20"/>
  <c r="G50" i="20"/>
  <c r="E26" i="20"/>
  <c r="H50" i="20"/>
  <c r="F50" i="20"/>
  <c r="H26" i="20"/>
  <c r="F26" i="20"/>
  <c r="G26" i="20"/>
  <c r="L50" i="20"/>
  <c r="J26" i="20"/>
  <c r="K50" i="20"/>
  <c r="K26" i="20"/>
  <c r="P5" i="12"/>
  <c r="N5" i="12" l="1"/>
  <c r="V14" i="13" l="1"/>
  <c r="W14" i="13"/>
  <c r="X29" i="1"/>
  <c r="X33" i="18" l="1"/>
  <c r="W18" i="13" l="1"/>
  <c r="X18" i="13" s="1"/>
  <c r="X24" i="1" l="1"/>
  <c r="V55" i="15" l="1"/>
  <c r="S84" i="3"/>
  <c r="X27" i="1" l="1"/>
  <c r="X15" i="13" l="1"/>
  <c r="X16" i="13"/>
  <c r="X17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13" i="13"/>
  <c r="U14" i="13"/>
  <c r="X14" i="13" s="1"/>
  <c r="K14" i="13"/>
  <c r="K39" i="8"/>
  <c r="V27" i="12" l="1"/>
  <c r="V17" i="12"/>
  <c r="V16" i="12"/>
  <c r="V12" i="12"/>
  <c r="V11" i="12"/>
  <c r="V9" i="12"/>
  <c r="V8" i="12"/>
  <c r="V5" i="12" l="1"/>
  <c r="V18" i="12"/>
  <c r="V13" i="12"/>
  <c r="V10" i="12"/>
  <c r="L73" i="8" l="1"/>
  <c r="X41" i="1"/>
  <c r="L39" i="8"/>
  <c r="X18" i="1"/>
  <c r="X16" i="1"/>
  <c r="X23" i="1"/>
  <c r="X21" i="1" s="1"/>
  <c r="X15" i="1" l="1"/>
  <c r="X17" i="1"/>
  <c r="X58" i="1"/>
  <c r="L60" i="8"/>
  <c r="L56" i="8"/>
  <c r="X52" i="1" l="1"/>
  <c r="X48" i="1" s="1"/>
  <c r="X30" i="1" l="1"/>
  <c r="K41" i="10"/>
  <c r="V26" i="12" l="1"/>
  <c r="V28" i="12" s="1"/>
  <c r="W27" i="5"/>
  <c r="H70" i="11" s="1"/>
  <c r="W23" i="5"/>
  <c r="K28" i="8" l="1"/>
  <c r="K79" i="10" l="1"/>
  <c r="K71" i="10"/>
  <c r="K87" i="10" l="1"/>
  <c r="X60" i="18"/>
  <c r="W61" i="5"/>
  <c r="K58" i="10"/>
  <c r="W55" i="5"/>
  <c r="K52" i="10"/>
  <c r="W75" i="5"/>
  <c r="W83" i="5"/>
  <c r="K38" i="10"/>
  <c r="W41" i="5"/>
  <c r="X36" i="18"/>
  <c r="X34" i="18"/>
  <c r="W37" i="5"/>
  <c r="K34" i="10"/>
  <c r="X30" i="18"/>
  <c r="W31" i="5"/>
  <c r="W30" i="5" s="1"/>
  <c r="K28" i="10"/>
  <c r="W54" i="5" l="1"/>
  <c r="C70" i="11"/>
  <c r="K51" i="10"/>
  <c r="H69" i="11"/>
  <c r="X53" i="18"/>
  <c r="W91" i="5"/>
  <c r="X29" i="18"/>
  <c r="X26" i="18"/>
  <c r="X22" i="18"/>
  <c r="X18" i="18"/>
  <c r="W19" i="5"/>
  <c r="K27" i="10"/>
  <c r="K24" i="10"/>
  <c r="K20" i="10"/>
  <c r="K16" i="10"/>
  <c r="W17" i="5" l="1"/>
  <c r="K14" i="10"/>
  <c r="X16" i="18"/>
  <c r="W67" i="5" l="1"/>
  <c r="W94" i="5" s="1"/>
  <c r="K64" i="10"/>
  <c r="K90" i="10" l="1"/>
  <c r="W84" i="3"/>
  <c r="W76" i="3"/>
  <c r="W75" i="3" s="1"/>
  <c r="W92" i="3" l="1"/>
  <c r="W57" i="3"/>
  <c r="W63" i="3" l="1"/>
  <c r="W52" i="3"/>
  <c r="W56" i="3" l="1"/>
  <c r="W46" i="3" l="1"/>
  <c r="W43" i="3" s="1"/>
  <c r="W39" i="3" l="1"/>
  <c r="W37" i="3"/>
  <c r="W33" i="3"/>
  <c r="W29" i="3"/>
  <c r="W28" i="3" l="1"/>
  <c r="W24" i="3"/>
  <c r="W20" i="3" l="1"/>
  <c r="W15" i="3"/>
  <c r="W13" i="3" s="1"/>
  <c r="W69" i="3" l="1"/>
  <c r="W95" i="3" s="1"/>
  <c r="V83" i="15"/>
  <c r="W90" i="15"/>
  <c r="W83" i="15" l="1"/>
  <c r="W75" i="15" l="1"/>
  <c r="W74" i="15" s="1"/>
  <c r="W91" i="15" s="1"/>
  <c r="W45" i="15"/>
  <c r="W42" i="15" s="1"/>
  <c r="W38" i="15"/>
  <c r="W36" i="15"/>
  <c r="W32" i="15"/>
  <c r="W28" i="15"/>
  <c r="W23" i="15"/>
  <c r="W19" i="15"/>
  <c r="W14" i="15"/>
  <c r="W12" i="15" s="1"/>
  <c r="X50" i="16"/>
  <c r="W27" i="15" l="1"/>
  <c r="W68" i="15" s="1"/>
  <c r="W94" i="15" s="1"/>
  <c r="X44" i="16" l="1"/>
  <c r="X41" i="16" s="1"/>
  <c r="X37" i="16"/>
  <c r="X31" i="16"/>
  <c r="X27" i="16"/>
  <c r="X22" i="16"/>
  <c r="X26" i="16" l="1"/>
  <c r="X18" i="16"/>
  <c r="X13" i="16"/>
  <c r="X11" i="16" s="1"/>
  <c r="V30" i="1" l="1"/>
  <c r="W30" i="1"/>
  <c r="V27" i="1"/>
  <c r="W27" i="1"/>
  <c r="V24" i="1"/>
  <c r="W24" i="1"/>
  <c r="W17" i="1"/>
  <c r="W16" i="1"/>
  <c r="W15" i="1"/>
  <c r="K19" i="8"/>
  <c r="M77" i="11" l="1"/>
  <c r="M76" i="11"/>
  <c r="M75" i="11"/>
  <c r="M74" i="11"/>
  <c r="M73" i="11"/>
  <c r="M72" i="11"/>
  <c r="M71" i="11"/>
  <c r="H74" i="11"/>
  <c r="H73" i="11"/>
  <c r="H71" i="11"/>
  <c r="H72" i="11"/>
  <c r="H75" i="11" l="1"/>
  <c r="I69" i="11" s="1"/>
  <c r="S13" i="13"/>
  <c r="S15" i="13"/>
  <c r="S16" i="13"/>
  <c r="S17" i="13"/>
  <c r="S19" i="13"/>
  <c r="S20" i="13"/>
  <c r="S21" i="13"/>
  <c r="S24" i="13"/>
  <c r="S25" i="13"/>
  <c r="S26" i="13"/>
  <c r="S29" i="13"/>
  <c r="S31" i="13"/>
  <c r="S32" i="13"/>
  <c r="S33" i="13"/>
  <c r="S35" i="13"/>
  <c r="S36" i="13"/>
  <c r="S38" i="13"/>
  <c r="S39" i="13"/>
  <c r="S40" i="13"/>
  <c r="S41" i="13"/>
  <c r="S44" i="13"/>
  <c r="S45" i="13"/>
  <c r="S46" i="13"/>
  <c r="S49" i="13"/>
  <c r="S50" i="13"/>
  <c r="S51" i="13"/>
  <c r="S52" i="13"/>
  <c r="S53" i="13"/>
  <c r="S55" i="13"/>
  <c r="S56" i="13"/>
  <c r="S57" i="13"/>
  <c r="S58" i="13"/>
  <c r="S59" i="13"/>
  <c r="R54" i="13"/>
  <c r="S54" i="13" s="1"/>
  <c r="R48" i="13"/>
  <c r="R43" i="13"/>
  <c r="R37" i="13"/>
  <c r="R34" i="13" s="1"/>
  <c r="R30" i="13"/>
  <c r="R28" i="13"/>
  <c r="R23" i="13"/>
  <c r="R18" i="13"/>
  <c r="R14" i="13"/>
  <c r="Q43" i="13"/>
  <c r="Q37" i="13"/>
  <c r="Q30" i="13"/>
  <c r="Q28" i="13"/>
  <c r="Q23" i="13"/>
  <c r="S23" i="13" s="1"/>
  <c r="Q18" i="13"/>
  <c r="Q14" i="13"/>
  <c r="P30" i="13"/>
  <c r="P22" i="13"/>
  <c r="P18" i="13"/>
  <c r="S14" i="13" l="1"/>
  <c r="R47" i="13"/>
  <c r="S47" i="13" s="1"/>
  <c r="Q22" i="13"/>
  <c r="S43" i="13"/>
  <c r="S37" i="13"/>
  <c r="S30" i="13"/>
  <c r="S28" i="13"/>
  <c r="S18" i="13"/>
  <c r="Q34" i="13"/>
  <c r="S34" i="13" s="1"/>
  <c r="S48" i="13"/>
  <c r="R22" i="13"/>
  <c r="S22" i="13" s="1"/>
  <c r="W58" i="1"/>
  <c r="W52" i="1"/>
  <c r="W48" i="1" s="1"/>
  <c r="W45" i="1"/>
  <c r="K56" i="8"/>
  <c r="K43" i="8"/>
  <c r="J16" i="8"/>
  <c r="K16" i="8"/>
  <c r="I16" i="8"/>
  <c r="J22" i="8"/>
  <c r="K22" i="8"/>
  <c r="J25" i="8"/>
  <c r="K25" i="8"/>
  <c r="J28" i="8"/>
  <c r="J19" i="8"/>
  <c r="K15" i="8"/>
  <c r="K14" i="8"/>
  <c r="W22" i="18"/>
  <c r="W60" i="18"/>
  <c r="W53" i="18" s="1"/>
  <c r="W36" i="18"/>
  <c r="W34" i="18"/>
  <c r="W30" i="18"/>
  <c r="W29" i="18" s="1"/>
  <c r="W26" i="18"/>
  <c r="W18" i="18"/>
  <c r="W16" i="18" s="1"/>
  <c r="V60" i="18"/>
  <c r="U60" i="18"/>
  <c r="S60" i="18"/>
  <c r="R60" i="18"/>
  <c r="Q60" i="18"/>
  <c r="P60" i="18"/>
  <c r="N60" i="18"/>
  <c r="P59" i="18"/>
  <c r="S53" i="18"/>
  <c r="R53" i="18"/>
  <c r="Q54" i="18"/>
  <c r="Q53" i="18" s="1"/>
  <c r="P54" i="18"/>
  <c r="P53" i="18" s="1"/>
  <c r="O54" i="18"/>
  <c r="O53" i="18" s="1"/>
  <c r="N54" i="18"/>
  <c r="M53" i="18"/>
  <c r="S49" i="18"/>
  <c r="R49" i="18"/>
  <c r="Q49" i="18"/>
  <c r="P49" i="18"/>
  <c r="S43" i="18"/>
  <c r="R43" i="18"/>
  <c r="R40" i="18" s="1"/>
  <c r="Q43" i="18"/>
  <c r="P43" i="18"/>
  <c r="P40" i="18" s="1"/>
  <c r="S40" i="18"/>
  <c r="Q40" i="18"/>
  <c r="V36" i="18"/>
  <c r="S36" i="18"/>
  <c r="R36" i="18"/>
  <c r="Q36" i="18"/>
  <c r="P36" i="18"/>
  <c r="O36" i="18"/>
  <c r="N36" i="18"/>
  <c r="M36" i="18"/>
  <c r="S34" i="18"/>
  <c r="R34" i="18"/>
  <c r="Q34" i="18"/>
  <c r="P34" i="18"/>
  <c r="O29" i="18"/>
  <c r="S30" i="18"/>
  <c r="R30" i="18"/>
  <c r="Q30" i="18"/>
  <c r="Q29" i="18" s="1"/>
  <c r="P30" i="18"/>
  <c r="P29" i="18" s="1"/>
  <c r="N30" i="18"/>
  <c r="V29" i="18"/>
  <c r="U29" i="18"/>
  <c r="M29" i="18"/>
  <c r="V26" i="18"/>
  <c r="U26" i="18"/>
  <c r="S26" i="18"/>
  <c r="R26" i="18"/>
  <c r="Q26" i="18"/>
  <c r="P26" i="18"/>
  <c r="O26" i="18"/>
  <c r="O24" i="18" s="1"/>
  <c r="O23" i="18" s="1"/>
  <c r="N26" i="18"/>
  <c r="M26" i="18"/>
  <c r="D26" i="18"/>
  <c r="V22" i="18"/>
  <c r="U22" i="18"/>
  <c r="T22" i="18"/>
  <c r="S22" i="18"/>
  <c r="R22" i="18"/>
  <c r="Q22" i="18"/>
  <c r="P22" i="18"/>
  <c r="N22" i="18"/>
  <c r="M22" i="18"/>
  <c r="L22" i="18"/>
  <c r="K22" i="18"/>
  <c r="J22" i="18"/>
  <c r="I22" i="18"/>
  <c r="H22" i="18"/>
  <c r="G22" i="18"/>
  <c r="F22" i="18"/>
  <c r="E22" i="18"/>
  <c r="D22" i="18"/>
  <c r="V18" i="18"/>
  <c r="V16" i="18" s="1"/>
  <c r="U18" i="18"/>
  <c r="T18" i="18"/>
  <c r="T16" i="18" s="1"/>
  <c r="S18" i="18"/>
  <c r="S16" i="18" s="1"/>
  <c r="R18" i="18"/>
  <c r="R16" i="18" s="1"/>
  <c r="Q18" i="18"/>
  <c r="P18" i="18"/>
  <c r="P16" i="18" s="1"/>
  <c r="O18" i="18"/>
  <c r="O16" i="18" s="1"/>
  <c r="N18" i="18"/>
  <c r="N16" i="18" s="1"/>
  <c r="M18" i="18"/>
  <c r="U16" i="18"/>
  <c r="Q16" i="18"/>
  <c r="M16" i="18"/>
  <c r="N29" i="18" l="1"/>
  <c r="R29" i="18"/>
  <c r="O21" i="18"/>
  <c r="O22" i="18"/>
  <c r="S29" i="18"/>
  <c r="V53" i="18"/>
  <c r="N53" i="18"/>
  <c r="K13" i="8"/>
  <c r="V19" i="5" l="1"/>
  <c r="V83" i="5" l="1"/>
  <c r="V75" i="5"/>
  <c r="V41" i="5"/>
  <c r="V37" i="5"/>
  <c r="V30" i="5" s="1"/>
  <c r="V27" i="5"/>
  <c r="V23" i="5"/>
  <c r="V17" i="5"/>
  <c r="I83" i="5"/>
  <c r="I75" i="5"/>
  <c r="V67" i="5" l="1"/>
  <c r="V91" i="5"/>
  <c r="J71" i="10"/>
  <c r="J79" i="10"/>
  <c r="J51" i="10"/>
  <c r="J24" i="10"/>
  <c r="J20" i="10"/>
  <c r="J16" i="10"/>
  <c r="J14" i="10" s="1"/>
  <c r="I16" i="10"/>
  <c r="I14" i="10" s="1"/>
  <c r="V94" i="5" l="1"/>
  <c r="J87" i="10"/>
  <c r="V84" i="3"/>
  <c r="V76" i="3"/>
  <c r="V75" i="3" s="1"/>
  <c r="V92" i="3" l="1"/>
  <c r="V63" i="3"/>
  <c r="V57" i="3"/>
  <c r="V46" i="3"/>
  <c r="V43" i="3" s="1"/>
  <c r="V39" i="3"/>
  <c r="V37" i="3"/>
  <c r="V33" i="3"/>
  <c r="V29" i="3"/>
  <c r="V24" i="3"/>
  <c r="V20" i="3"/>
  <c r="V15" i="3"/>
  <c r="V13" i="3" s="1"/>
  <c r="V56" i="3" l="1"/>
  <c r="V28" i="3"/>
  <c r="V69" i="3" l="1"/>
  <c r="V95" i="3" s="1"/>
  <c r="C76" i="11" l="1"/>
  <c r="C75" i="11"/>
  <c r="C74" i="11"/>
  <c r="C73" i="11"/>
  <c r="C72" i="11"/>
  <c r="C71" i="11"/>
  <c r="U28" i="12" l="1"/>
  <c r="U18" i="12"/>
  <c r="U13" i="12"/>
  <c r="U10" i="12" l="1"/>
  <c r="U5" i="12" l="1"/>
  <c r="V75" i="15" l="1"/>
  <c r="V74" i="15" s="1"/>
  <c r="V91" i="15" s="1"/>
  <c r="V28" i="15"/>
  <c r="V45" i="15"/>
  <c r="V42" i="15" s="1"/>
  <c r="V38" i="15"/>
  <c r="V36" i="15"/>
  <c r="V32" i="15"/>
  <c r="V23" i="15"/>
  <c r="V19" i="15"/>
  <c r="V14" i="15"/>
  <c r="V12" i="15" s="1"/>
  <c r="W50" i="16"/>
  <c r="W44" i="16"/>
  <c r="W41" i="16" s="1"/>
  <c r="W37" i="16"/>
  <c r="W35" i="16"/>
  <c r="W31" i="16"/>
  <c r="W27" i="16"/>
  <c r="W13" i="16"/>
  <c r="W11" i="16" s="1"/>
  <c r="W22" i="16"/>
  <c r="V22" i="16"/>
  <c r="W18" i="16"/>
  <c r="V27" i="15" l="1"/>
  <c r="V68" i="15" s="1"/>
  <c r="V94" i="15" s="1"/>
  <c r="W26" i="16"/>
  <c r="J41" i="10"/>
  <c r="J38" i="10" s="1"/>
  <c r="J34" i="10"/>
  <c r="J27" i="10" s="1"/>
  <c r="J64" i="10" s="1"/>
  <c r="J90" i="10" s="1"/>
  <c r="J43" i="8" l="1"/>
  <c r="V41" i="1" l="1"/>
  <c r="V17" i="1" l="1"/>
  <c r="V16" i="1"/>
  <c r="V15" i="1"/>
  <c r="J56" i="8" l="1"/>
  <c r="J50" i="8"/>
  <c r="J15" i="8"/>
  <c r="J13" i="8"/>
  <c r="J14" i="8"/>
  <c r="T28" i="12" l="1"/>
  <c r="T23" i="12"/>
  <c r="T18" i="12"/>
  <c r="T13" i="12"/>
  <c r="T10" i="12"/>
  <c r="T5" i="12"/>
  <c r="U83" i="5" l="1"/>
  <c r="U75" i="5"/>
  <c r="U91" i="5" l="1"/>
  <c r="U61" i="5"/>
  <c r="U55" i="5"/>
  <c r="U54" i="5" s="1"/>
  <c r="U37" i="5" l="1"/>
  <c r="U27" i="5" l="1"/>
  <c r="U23" i="5" l="1"/>
  <c r="U19" i="5" l="1"/>
  <c r="I10" i="11" l="1"/>
  <c r="U17" i="5"/>
  <c r="I79" i="10"/>
  <c r="I71" i="10"/>
  <c r="I58" i="10"/>
  <c r="I52" i="10"/>
  <c r="I41" i="10"/>
  <c r="I38" i="10" s="1"/>
  <c r="I34" i="10"/>
  <c r="I27" i="10" s="1"/>
  <c r="I24" i="10"/>
  <c r="I20" i="10"/>
  <c r="U67" i="5" l="1"/>
  <c r="U94" i="5" s="1"/>
  <c r="I51" i="10"/>
  <c r="I64" i="10" s="1"/>
  <c r="I9" i="11"/>
  <c r="I87" i="10"/>
  <c r="U48" i="3"/>
  <c r="I90" i="10" l="1"/>
  <c r="U84" i="3"/>
  <c r="U76" i="3"/>
  <c r="U75" i="3" s="1"/>
  <c r="D10" i="11" l="1"/>
  <c r="D14" i="11"/>
  <c r="D11" i="11"/>
  <c r="D15" i="11"/>
  <c r="D18" i="11"/>
  <c r="D13" i="11"/>
  <c r="D17" i="11"/>
  <c r="D16" i="11"/>
  <c r="U92" i="3"/>
  <c r="T29" i="3" l="1"/>
  <c r="U24" i="3" l="1"/>
  <c r="U63" i="3" l="1"/>
  <c r="U57" i="3"/>
  <c r="U46" i="3"/>
  <c r="U43" i="3" s="1"/>
  <c r="U39" i="3"/>
  <c r="U37" i="3"/>
  <c r="U33" i="3"/>
  <c r="U29" i="3"/>
  <c r="U20" i="3"/>
  <c r="U15" i="3"/>
  <c r="U13" i="3" s="1"/>
  <c r="U56" i="3" l="1"/>
  <c r="U28" i="3"/>
  <c r="V44" i="16"/>
  <c r="V13" i="16"/>
  <c r="V11" i="16" s="1"/>
  <c r="V61" i="16"/>
  <c r="V55" i="16"/>
  <c r="V50" i="16"/>
  <c r="V41" i="16"/>
  <c r="V37" i="16"/>
  <c r="V35" i="16"/>
  <c r="V31" i="16"/>
  <c r="V27" i="16"/>
  <c r="V18" i="16"/>
  <c r="U69" i="3" l="1"/>
  <c r="U95" i="3" s="1"/>
  <c r="V26" i="16"/>
  <c r="U83" i="15" l="1"/>
  <c r="U75" i="15"/>
  <c r="U74" i="15" s="1"/>
  <c r="U55" i="15"/>
  <c r="U45" i="15"/>
  <c r="U42" i="15" s="1"/>
  <c r="U38" i="15"/>
  <c r="U36" i="15"/>
  <c r="U32" i="15"/>
  <c r="U28" i="15"/>
  <c r="U23" i="15"/>
  <c r="U19" i="15"/>
  <c r="U14" i="15"/>
  <c r="U12" i="15" s="1"/>
  <c r="U91" i="15" l="1"/>
  <c r="U27" i="15"/>
  <c r="U68" i="15" s="1"/>
  <c r="U61" i="16"/>
  <c r="U55" i="16"/>
  <c r="U50" i="16"/>
  <c r="U44" i="16"/>
  <c r="U41" i="16" s="1"/>
  <c r="U37" i="16"/>
  <c r="U35" i="16"/>
  <c r="U31" i="16"/>
  <c r="U27" i="16"/>
  <c r="U26" i="16" s="1"/>
  <c r="U22" i="16"/>
  <c r="U18" i="16"/>
  <c r="U13" i="16"/>
  <c r="U11" i="16" s="1"/>
  <c r="T62" i="15"/>
  <c r="T55" i="15" s="1"/>
  <c r="T45" i="15"/>
  <c r="T42" i="15" s="1"/>
  <c r="T28" i="15"/>
  <c r="T32" i="15"/>
  <c r="T36" i="15"/>
  <c r="T38" i="15"/>
  <c r="T23" i="15"/>
  <c r="T19" i="15"/>
  <c r="U30" i="1"/>
  <c r="U75" i="1"/>
  <c r="T20" i="3"/>
  <c r="T83" i="5"/>
  <c r="S28" i="12"/>
  <c r="S23" i="12"/>
  <c r="S18" i="12"/>
  <c r="S13" i="12"/>
  <c r="S10" i="12"/>
  <c r="S5" i="12"/>
  <c r="T33" i="3"/>
  <c r="T37" i="3"/>
  <c r="T39" i="3"/>
  <c r="T75" i="5"/>
  <c r="T84" i="3"/>
  <c r="T75" i="15"/>
  <c r="T74" i="15" s="1"/>
  <c r="T76" i="3"/>
  <c r="T75" i="3" s="1"/>
  <c r="T57" i="3"/>
  <c r="T63" i="3"/>
  <c r="T46" i="3"/>
  <c r="T43" i="3" s="1"/>
  <c r="T15" i="3"/>
  <c r="T13" i="3" s="1"/>
  <c r="U45" i="1"/>
  <c r="I80" i="8"/>
  <c r="I73" i="8"/>
  <c r="I63" i="8"/>
  <c r="I60" i="8" s="1"/>
  <c r="I56" i="8"/>
  <c r="I54" i="8"/>
  <c r="S20" i="3"/>
  <c r="I28" i="8"/>
  <c r="H28" i="8"/>
  <c r="I27" i="8"/>
  <c r="I25" i="8" s="1"/>
  <c r="H25" i="8"/>
  <c r="I24" i="8"/>
  <c r="H24" i="8"/>
  <c r="H21" i="8" s="1"/>
  <c r="H15" i="8" s="1"/>
  <c r="I23" i="8"/>
  <c r="H23" i="8"/>
  <c r="H22" i="8" s="1"/>
  <c r="H16" i="8"/>
  <c r="U29" i="1"/>
  <c r="U23" i="1" s="1"/>
  <c r="U26" i="1"/>
  <c r="U25" i="1"/>
  <c r="U22" i="1" s="1"/>
  <c r="U20" i="1"/>
  <c r="T30" i="1"/>
  <c r="T27" i="1"/>
  <c r="T26" i="1"/>
  <c r="T23" i="1" s="1"/>
  <c r="T25" i="1"/>
  <c r="T22" i="1" s="1"/>
  <c r="T16" i="1" s="1"/>
  <c r="T18" i="1"/>
  <c r="T83" i="15"/>
  <c r="T14" i="15"/>
  <c r="T12" i="15" s="1"/>
  <c r="T61" i="16"/>
  <c r="H20" i="10"/>
  <c r="H52" i="10"/>
  <c r="H58" i="10"/>
  <c r="H41" i="10"/>
  <c r="H38" i="10" s="1"/>
  <c r="H34" i="10"/>
  <c r="H27" i="10" s="1"/>
  <c r="H24" i="10"/>
  <c r="H16" i="10"/>
  <c r="H14" i="10" s="1"/>
  <c r="H79" i="10"/>
  <c r="H87" i="10" s="1"/>
  <c r="H71" i="10"/>
  <c r="T55" i="5"/>
  <c r="T61" i="5"/>
  <c r="T37" i="5"/>
  <c r="T30" i="5"/>
  <c r="T27" i="5"/>
  <c r="T23" i="5"/>
  <c r="T19" i="5"/>
  <c r="T17" i="5" s="1"/>
  <c r="L19" i="11"/>
  <c r="L76" i="11" s="1"/>
  <c r="L77" i="11"/>
  <c r="L16" i="11"/>
  <c r="L73" i="11" s="1"/>
  <c r="L75" i="11"/>
  <c r="B18" i="11"/>
  <c r="B9" i="11"/>
  <c r="B70" i="11" s="1"/>
  <c r="B14" i="11"/>
  <c r="G13" i="11" s="1"/>
  <c r="L10" i="11" s="1"/>
  <c r="B17" i="11"/>
  <c r="B10" i="11"/>
  <c r="G9" i="11" s="1"/>
  <c r="L15" i="11" s="1"/>
  <c r="B15" i="11"/>
  <c r="B74" i="11" s="1"/>
  <c r="G69" i="11" s="1"/>
  <c r="B11" i="11"/>
  <c r="B13" i="11"/>
  <c r="B16" i="11"/>
  <c r="B75" i="11" s="1"/>
  <c r="G73" i="11" s="1"/>
  <c r="B12" i="11"/>
  <c r="F64" i="10"/>
  <c r="E64" i="10"/>
  <c r="C64" i="10"/>
  <c r="G64" i="10"/>
  <c r="R28" i="12"/>
  <c r="R23" i="12"/>
  <c r="R18" i="12"/>
  <c r="S30" i="5"/>
  <c r="R13" i="12"/>
  <c r="R10" i="12"/>
  <c r="R5" i="12"/>
  <c r="G63" i="8"/>
  <c r="G14" i="13"/>
  <c r="F14" i="13"/>
  <c r="E14" i="13"/>
  <c r="D14" i="13"/>
  <c r="S76" i="3"/>
  <c r="S75" i="3" s="1"/>
  <c r="S92" i="3" s="1"/>
  <c r="S46" i="3"/>
  <c r="S43" i="3" s="1"/>
  <c r="S15" i="3"/>
  <c r="S13" i="3" s="1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R20" i="3"/>
  <c r="R19" i="15"/>
  <c r="R56" i="15"/>
  <c r="R55" i="15" s="1"/>
  <c r="R62" i="15"/>
  <c r="R51" i="15"/>
  <c r="R45" i="15"/>
  <c r="R42" i="15" s="1"/>
  <c r="R30" i="15"/>
  <c r="R28" i="15" s="1"/>
  <c r="R32" i="15"/>
  <c r="R36" i="15"/>
  <c r="R38" i="15"/>
  <c r="R25" i="15"/>
  <c r="R23" i="15" s="1"/>
  <c r="R14" i="15"/>
  <c r="R12" i="15" s="1"/>
  <c r="R83" i="15"/>
  <c r="R77" i="15"/>
  <c r="R75" i="15" s="1"/>
  <c r="R74" i="15" s="1"/>
  <c r="Q19" i="15"/>
  <c r="Q56" i="15"/>
  <c r="Q55" i="15" s="1"/>
  <c r="Q62" i="15"/>
  <c r="Q51" i="15"/>
  <c r="Q45" i="15"/>
  <c r="Q42" i="15" s="1"/>
  <c r="Q30" i="15"/>
  <c r="Q28" i="15" s="1"/>
  <c r="Q34" i="15"/>
  <c r="Q32" i="15" s="1"/>
  <c r="Q38" i="15"/>
  <c r="Q23" i="15"/>
  <c r="Q14" i="15"/>
  <c r="Q12" i="15" s="1"/>
  <c r="Q83" i="15"/>
  <c r="Q75" i="15"/>
  <c r="Q74" i="15" s="1"/>
  <c r="P19" i="15"/>
  <c r="P56" i="15"/>
  <c r="P55" i="15" s="1"/>
  <c r="P62" i="15"/>
  <c r="P51" i="15"/>
  <c r="P45" i="15"/>
  <c r="P42" i="15" s="1"/>
  <c r="P28" i="15"/>
  <c r="P32" i="15"/>
  <c r="P38" i="15"/>
  <c r="P23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S19" i="15"/>
  <c r="T44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T18" i="16"/>
  <c r="R23" i="5"/>
  <c r="Q23" i="5"/>
  <c r="P23" i="5"/>
  <c r="O23" i="5"/>
  <c r="N23" i="5"/>
  <c r="M23" i="5"/>
  <c r="L23" i="5"/>
  <c r="K23" i="5"/>
  <c r="K67" i="5" s="1"/>
  <c r="J23" i="5"/>
  <c r="I23" i="5"/>
  <c r="I67" i="5" s="1"/>
  <c r="H23" i="5"/>
  <c r="H67" i="5" s="1"/>
  <c r="G23" i="5"/>
  <c r="G67" i="5" s="1"/>
  <c r="F23" i="5"/>
  <c r="F67" i="5" s="1"/>
  <c r="E23" i="5"/>
  <c r="D23" i="5"/>
  <c r="C23" i="5"/>
  <c r="C67" i="5" s="1"/>
  <c r="S23" i="5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H39" i="8"/>
  <c r="G39" i="8"/>
  <c r="F39" i="8"/>
  <c r="E39" i="8"/>
  <c r="D39" i="8"/>
  <c r="S83" i="5"/>
  <c r="S91" i="5" s="1"/>
  <c r="S19" i="5"/>
  <c r="S17" i="5" s="1"/>
  <c r="R19" i="5"/>
  <c r="R17" i="5" s="1"/>
  <c r="R27" i="5"/>
  <c r="R31" i="5"/>
  <c r="R35" i="5"/>
  <c r="R37" i="5"/>
  <c r="R44" i="5"/>
  <c r="R41" i="5" s="1"/>
  <c r="R55" i="5"/>
  <c r="R61" i="5"/>
  <c r="R75" i="5"/>
  <c r="R91" i="5" s="1"/>
  <c r="R83" i="5"/>
  <c r="O45" i="15"/>
  <c r="O42" i="15" s="1"/>
  <c r="N45" i="15"/>
  <c r="N42" i="15" s="1"/>
  <c r="M45" i="15"/>
  <c r="M42" i="15" s="1"/>
  <c r="L45" i="15"/>
  <c r="L42" i="15" s="1"/>
  <c r="S45" i="15"/>
  <c r="S42" i="15" s="1"/>
  <c r="G79" i="10"/>
  <c r="G71" i="10"/>
  <c r="S83" i="15"/>
  <c r="S75" i="15"/>
  <c r="S74" i="15" s="1"/>
  <c r="S62" i="15"/>
  <c r="S51" i="15"/>
  <c r="S28" i="15"/>
  <c r="S32" i="15"/>
  <c r="S27" i="15" s="1"/>
  <c r="S36" i="15"/>
  <c r="S38" i="15"/>
  <c r="S23" i="15"/>
  <c r="T55" i="16"/>
  <c r="T54" i="16"/>
  <c r="T50" i="16"/>
  <c r="T41" i="16"/>
  <c r="T37" i="16"/>
  <c r="T27" i="16"/>
  <c r="T31" i="16"/>
  <c r="T35" i="16"/>
  <c r="T22" i="16"/>
  <c r="T13" i="16"/>
  <c r="T11" i="16" s="1"/>
  <c r="S61" i="16"/>
  <c r="R61" i="16"/>
  <c r="R55" i="16"/>
  <c r="Q61" i="16"/>
  <c r="P61" i="16"/>
  <c r="O61" i="16"/>
  <c r="N61" i="16"/>
  <c r="M61" i="16"/>
  <c r="L61" i="16"/>
  <c r="K61" i="16"/>
  <c r="J61" i="16"/>
  <c r="I61" i="16"/>
  <c r="H61" i="16"/>
  <c r="G61" i="16"/>
  <c r="F61" i="16"/>
  <c r="E61" i="16"/>
  <c r="D61" i="16"/>
  <c r="P59" i="16"/>
  <c r="P55" i="16" s="1"/>
  <c r="S55" i="16"/>
  <c r="S54" i="16" s="1"/>
  <c r="Q55" i="16"/>
  <c r="Q54" i="16" s="1"/>
  <c r="O55" i="16"/>
  <c r="O54" i="16"/>
  <c r="N55" i="16"/>
  <c r="N54" i="16" s="1"/>
  <c r="M55" i="16"/>
  <c r="L55" i="16"/>
  <c r="L54" i="16" s="1"/>
  <c r="K55" i="16"/>
  <c r="J55" i="16"/>
  <c r="I55" i="16"/>
  <c r="H55" i="16"/>
  <c r="G55" i="16"/>
  <c r="F55" i="16"/>
  <c r="E55" i="16"/>
  <c r="D55" i="16"/>
  <c r="S50" i="16"/>
  <c r="R50" i="16"/>
  <c r="Q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D50" i="16"/>
  <c r="S44" i="16"/>
  <c r="S41" i="16"/>
  <c r="R44" i="16"/>
  <c r="R41" i="16" s="1"/>
  <c r="Q44" i="16"/>
  <c r="Q41" i="16"/>
  <c r="P44" i="16"/>
  <c r="P41" i="16" s="1"/>
  <c r="O44" i="16"/>
  <c r="O41" i="16" s="1"/>
  <c r="N44" i="16"/>
  <c r="N41" i="16" s="1"/>
  <c r="M44" i="16"/>
  <c r="M41" i="16" s="1"/>
  <c r="D41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E37" i="16"/>
  <c r="D37" i="16"/>
  <c r="S35" i="16"/>
  <c r="R35" i="16"/>
  <c r="Q35" i="16"/>
  <c r="P35" i="16"/>
  <c r="O35" i="16"/>
  <c r="N35" i="16"/>
  <c r="M35" i="16"/>
  <c r="L35" i="16"/>
  <c r="K35" i="16"/>
  <c r="K27" i="16"/>
  <c r="K26" i="16" s="1"/>
  <c r="K31" i="16"/>
  <c r="J35" i="16"/>
  <c r="I35" i="16"/>
  <c r="H35" i="16"/>
  <c r="G35" i="16"/>
  <c r="F35" i="16"/>
  <c r="E35" i="16"/>
  <c r="D35" i="16"/>
  <c r="S34" i="16"/>
  <c r="S33" i="16" s="1"/>
  <c r="S31" i="16" s="1"/>
  <c r="S29" i="16"/>
  <c r="S27" i="16"/>
  <c r="R31" i="16"/>
  <c r="Q31" i="16"/>
  <c r="P31" i="16"/>
  <c r="P27" i="16"/>
  <c r="O31" i="16"/>
  <c r="O26" i="16" s="1"/>
  <c r="N31" i="16"/>
  <c r="M31" i="16"/>
  <c r="M27" i="16"/>
  <c r="M26" i="16" s="1"/>
  <c r="L31" i="16"/>
  <c r="J31" i="16"/>
  <c r="I31" i="16"/>
  <c r="I27" i="16"/>
  <c r="I26" i="16" s="1"/>
  <c r="H31" i="16"/>
  <c r="G31" i="16"/>
  <c r="F31" i="16"/>
  <c r="E31" i="16"/>
  <c r="D31" i="16"/>
  <c r="R27" i="16"/>
  <c r="Q27" i="16"/>
  <c r="Q26" i="16" s="1"/>
  <c r="O27" i="16"/>
  <c r="N27" i="16"/>
  <c r="L27" i="16"/>
  <c r="J27" i="16"/>
  <c r="H27" i="16"/>
  <c r="G27" i="16"/>
  <c r="F27" i="16"/>
  <c r="E27" i="16"/>
  <c r="D27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S13" i="16"/>
  <c r="S11" i="16" s="1"/>
  <c r="R13" i="16"/>
  <c r="R11" i="16" s="1"/>
  <c r="Q13" i="16"/>
  <c r="Q11" i="16" s="1"/>
  <c r="P13" i="16"/>
  <c r="P11" i="16"/>
  <c r="O13" i="16"/>
  <c r="O11" i="16" s="1"/>
  <c r="N13" i="16"/>
  <c r="N11" i="16"/>
  <c r="M13" i="16"/>
  <c r="M11" i="16" s="1"/>
  <c r="L13" i="16"/>
  <c r="L11" i="16"/>
  <c r="K13" i="16"/>
  <c r="K11" i="16" s="1"/>
  <c r="J13" i="16"/>
  <c r="J11" i="16" s="1"/>
  <c r="I13" i="16"/>
  <c r="I11" i="16" s="1"/>
  <c r="H13" i="16"/>
  <c r="H11" i="16" s="1"/>
  <c r="G13" i="16"/>
  <c r="G11" i="16" s="1"/>
  <c r="F13" i="16"/>
  <c r="F11" i="16"/>
  <c r="E13" i="16"/>
  <c r="E11" i="16" s="1"/>
  <c r="D13" i="16"/>
  <c r="D11" i="16" s="1"/>
  <c r="N83" i="15"/>
  <c r="M83" i="15"/>
  <c r="L83" i="15"/>
  <c r="K83" i="15"/>
  <c r="J83" i="15"/>
  <c r="I83" i="15"/>
  <c r="I75" i="15"/>
  <c r="I74" i="15" s="1"/>
  <c r="I91" i="15" s="1"/>
  <c r="H83" i="15"/>
  <c r="F83" i="15"/>
  <c r="E83" i="15"/>
  <c r="D83" i="15"/>
  <c r="C83" i="15"/>
  <c r="P83" i="15"/>
  <c r="O83" i="15"/>
  <c r="G83" i="15"/>
  <c r="P75" i="15"/>
  <c r="P74" i="15" s="1"/>
  <c r="O75" i="15"/>
  <c r="O74" i="15"/>
  <c r="O91" i="15" s="1"/>
  <c r="N75" i="15"/>
  <c r="N74" i="15" s="1"/>
  <c r="M75" i="15"/>
  <c r="M74" i="15" s="1"/>
  <c r="M56" i="15"/>
  <c r="M62" i="15"/>
  <c r="M51" i="15"/>
  <c r="M28" i="15"/>
  <c r="M32" i="15"/>
  <c r="M38" i="15"/>
  <c r="M23" i="15"/>
  <c r="L75" i="15"/>
  <c r="L74" i="15" s="1"/>
  <c r="K75" i="15"/>
  <c r="K74" i="15" s="1"/>
  <c r="K91" i="15" s="1"/>
  <c r="J75" i="15"/>
  <c r="J74" i="15" s="1"/>
  <c r="H75" i="15"/>
  <c r="H74" i="15" s="1"/>
  <c r="H91" i="15" s="1"/>
  <c r="G75" i="15"/>
  <c r="G74" i="15" s="1"/>
  <c r="F75" i="15"/>
  <c r="F74" i="15" s="1"/>
  <c r="F91" i="15" s="1"/>
  <c r="E75" i="15"/>
  <c r="E74" i="15" s="1"/>
  <c r="D75" i="15"/>
  <c r="D74" i="15" s="1"/>
  <c r="C75" i="15"/>
  <c r="C74" i="15" s="1"/>
  <c r="C91" i="15" s="1"/>
  <c r="O62" i="15"/>
  <c r="N62" i="15"/>
  <c r="L62" i="15"/>
  <c r="K62" i="15"/>
  <c r="J62" i="15"/>
  <c r="I62" i="15"/>
  <c r="I55" i="15" s="1"/>
  <c r="H62" i="15"/>
  <c r="G62" i="15"/>
  <c r="F62" i="15"/>
  <c r="E62" i="15"/>
  <c r="D62" i="15"/>
  <c r="C62" i="15"/>
  <c r="O60" i="15"/>
  <c r="O56" i="15" s="1"/>
  <c r="N56" i="15"/>
  <c r="N55" i="15" s="1"/>
  <c r="L56" i="15"/>
  <c r="L55" i="15" s="1"/>
  <c r="K56" i="15"/>
  <c r="K55" i="15" s="1"/>
  <c r="K28" i="15"/>
  <c r="K32" i="15"/>
  <c r="K38" i="15"/>
  <c r="K23" i="15"/>
  <c r="J56" i="15"/>
  <c r="J55" i="15" s="1"/>
  <c r="J68" i="15" s="1"/>
  <c r="I56" i="15"/>
  <c r="H56" i="15"/>
  <c r="G56" i="15"/>
  <c r="G55" i="15" s="1"/>
  <c r="F56" i="15"/>
  <c r="F55" i="15" s="1"/>
  <c r="E56" i="15"/>
  <c r="D56" i="15"/>
  <c r="D55" i="15"/>
  <c r="C56" i="15"/>
  <c r="C55" i="15" s="1"/>
  <c r="O51" i="15"/>
  <c r="N51" i="15"/>
  <c r="L51" i="15"/>
  <c r="O38" i="15"/>
  <c r="N38" i="15"/>
  <c r="L38" i="15"/>
  <c r="J38" i="15"/>
  <c r="I38" i="15"/>
  <c r="H38" i="15"/>
  <c r="G38" i="15"/>
  <c r="F38" i="15"/>
  <c r="E38" i="15"/>
  <c r="D38" i="15"/>
  <c r="C38" i="15"/>
  <c r="O36" i="15"/>
  <c r="R35" i="15"/>
  <c r="O32" i="15"/>
  <c r="N32" i="15"/>
  <c r="L32" i="15"/>
  <c r="L28" i="15"/>
  <c r="J32" i="15"/>
  <c r="I32" i="15"/>
  <c r="H32" i="15"/>
  <c r="H28" i="15"/>
  <c r="H27" i="15" s="1"/>
  <c r="G32" i="15"/>
  <c r="F32" i="15"/>
  <c r="E32" i="15"/>
  <c r="D32" i="15"/>
  <c r="D28" i="15"/>
  <c r="C32" i="15"/>
  <c r="O28" i="15"/>
  <c r="N28" i="15"/>
  <c r="N27" i="15" s="1"/>
  <c r="J28" i="15"/>
  <c r="J27" i="15" s="1"/>
  <c r="I28" i="15"/>
  <c r="G28" i="15"/>
  <c r="F28" i="15"/>
  <c r="F27" i="15" s="1"/>
  <c r="E28" i="15"/>
  <c r="C28" i="15"/>
  <c r="O23" i="15"/>
  <c r="N23" i="15"/>
  <c r="L23" i="15"/>
  <c r="J23" i="15"/>
  <c r="I23" i="15"/>
  <c r="H23" i="15"/>
  <c r="G23" i="15"/>
  <c r="F23" i="15"/>
  <c r="E23" i="15"/>
  <c r="D23" i="15"/>
  <c r="C23" i="15"/>
  <c r="P14" i="15"/>
  <c r="O14" i="15"/>
  <c r="O12" i="15"/>
  <c r="N14" i="15"/>
  <c r="M14" i="15"/>
  <c r="L14" i="15"/>
  <c r="L12" i="15" s="1"/>
  <c r="K14" i="15"/>
  <c r="J14" i="15"/>
  <c r="I14" i="15"/>
  <c r="H14" i="15"/>
  <c r="G14" i="15"/>
  <c r="F14" i="15"/>
  <c r="E14" i="15"/>
  <c r="D14" i="15"/>
  <c r="C14" i="15"/>
  <c r="J26" i="16"/>
  <c r="R26" i="16"/>
  <c r="M54" i="16"/>
  <c r="T52" i="1"/>
  <c r="T48" i="1" s="1"/>
  <c r="H63" i="8"/>
  <c r="H60" i="8"/>
  <c r="H56" i="8"/>
  <c r="H54" i="8"/>
  <c r="H50" i="8"/>
  <c r="H47" i="8"/>
  <c r="H43" i="8"/>
  <c r="J28" i="12"/>
  <c r="K28" i="12"/>
  <c r="L28" i="12"/>
  <c r="M28" i="12"/>
  <c r="N28" i="12"/>
  <c r="O28" i="12"/>
  <c r="P28" i="12"/>
  <c r="Q28" i="12"/>
  <c r="I28" i="12"/>
  <c r="P25" i="1"/>
  <c r="P26" i="1"/>
  <c r="Q25" i="1"/>
  <c r="Q24" i="1" s="1"/>
  <c r="Q22" i="1"/>
  <c r="Q26" i="1"/>
  <c r="Q23" i="1" s="1"/>
  <c r="Q17" i="1" s="1"/>
  <c r="R25" i="1"/>
  <c r="R24" i="1" s="1"/>
  <c r="R26" i="1"/>
  <c r="R23" i="1" s="1"/>
  <c r="R17" i="1" s="1"/>
  <c r="S26" i="1"/>
  <c r="S23" i="1" s="1"/>
  <c r="S17" i="1" s="1"/>
  <c r="S25" i="1"/>
  <c r="R46" i="3"/>
  <c r="R43" i="3" s="1"/>
  <c r="R33" i="3"/>
  <c r="F79" i="10"/>
  <c r="F87" i="10" s="1"/>
  <c r="F71" i="10"/>
  <c r="F60" i="8"/>
  <c r="G60" i="8"/>
  <c r="G69" i="8"/>
  <c r="G80" i="8"/>
  <c r="G50" i="8"/>
  <c r="G47" i="8"/>
  <c r="G54" i="8"/>
  <c r="G56" i="8"/>
  <c r="G43" i="8"/>
  <c r="S82" i="1"/>
  <c r="S75" i="1"/>
  <c r="S71" i="1"/>
  <c r="S65" i="1"/>
  <c r="S62" i="1"/>
  <c r="S58" i="1"/>
  <c r="S56" i="1"/>
  <c r="S52" i="1"/>
  <c r="S49" i="1"/>
  <c r="S45" i="1"/>
  <c r="G28" i="8"/>
  <c r="G25" i="8"/>
  <c r="G16" i="8"/>
  <c r="E16" i="8"/>
  <c r="D30" i="8"/>
  <c r="D28" i="8"/>
  <c r="S27" i="1"/>
  <c r="S30" i="1"/>
  <c r="Q18" i="1"/>
  <c r="Q27" i="1"/>
  <c r="Q30" i="1"/>
  <c r="G22" i="8"/>
  <c r="G21" i="8"/>
  <c r="G15" i="8"/>
  <c r="G20" i="8"/>
  <c r="G14" i="8" s="1"/>
  <c r="G13" i="8" s="1"/>
  <c r="B5" i="12"/>
  <c r="C5" i="12"/>
  <c r="D5" i="12"/>
  <c r="E5" i="12"/>
  <c r="F5" i="12"/>
  <c r="G5" i="12"/>
  <c r="H5" i="12"/>
  <c r="I5" i="12"/>
  <c r="J5" i="12"/>
  <c r="K5" i="12"/>
  <c r="L5" i="12"/>
  <c r="M5" i="12"/>
  <c r="O5" i="12"/>
  <c r="Q5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G18" i="12"/>
  <c r="H18" i="12"/>
  <c r="I18" i="12"/>
  <c r="J18" i="12"/>
  <c r="K18" i="12"/>
  <c r="L18" i="12"/>
  <c r="M18" i="12"/>
  <c r="N18" i="12"/>
  <c r="O18" i="12"/>
  <c r="P18" i="12"/>
  <c r="Q18" i="12"/>
  <c r="K23" i="12"/>
  <c r="L23" i="12"/>
  <c r="M23" i="12"/>
  <c r="N23" i="12"/>
  <c r="O23" i="12"/>
  <c r="P23" i="12"/>
  <c r="Q23" i="12"/>
  <c r="L37" i="5"/>
  <c r="N37" i="5"/>
  <c r="N30" i="5" s="1"/>
  <c r="R78" i="3"/>
  <c r="R76" i="3" s="1"/>
  <c r="R75" i="3" s="1"/>
  <c r="R84" i="3"/>
  <c r="R63" i="3"/>
  <c r="R57" i="3"/>
  <c r="R52" i="3"/>
  <c r="R31" i="3"/>
  <c r="R29" i="3" s="1"/>
  <c r="R37" i="3"/>
  <c r="R39" i="3"/>
  <c r="R26" i="3"/>
  <c r="R24" i="3" s="1"/>
  <c r="R15" i="3"/>
  <c r="R13" i="3" s="1"/>
  <c r="Q39" i="3"/>
  <c r="Q35" i="3"/>
  <c r="Q33" i="3" s="1"/>
  <c r="Q31" i="3"/>
  <c r="Q29" i="3" s="1"/>
  <c r="R36" i="3"/>
  <c r="M17" i="1"/>
  <c r="J17" i="1"/>
  <c r="I17" i="1"/>
  <c r="I16" i="1"/>
  <c r="H17" i="1"/>
  <c r="H15" i="1" s="1"/>
  <c r="G17" i="1"/>
  <c r="F17" i="1"/>
  <c r="E17" i="1"/>
  <c r="M16" i="1"/>
  <c r="J16" i="1"/>
  <c r="J15" i="1" s="1"/>
  <c r="H16" i="1"/>
  <c r="G16" i="1"/>
  <c r="F16" i="1"/>
  <c r="E16" i="1"/>
  <c r="D16" i="1"/>
  <c r="D17" i="1"/>
  <c r="S18" i="1"/>
  <c r="F15" i="1"/>
  <c r="E79" i="10"/>
  <c r="E87" i="10" s="1"/>
  <c r="D79" i="10"/>
  <c r="C79" i="10"/>
  <c r="D72" i="10"/>
  <c r="D71" i="10" s="1"/>
  <c r="C72" i="10"/>
  <c r="E71" i="10"/>
  <c r="D43" i="8"/>
  <c r="E43" i="8"/>
  <c r="F43" i="8"/>
  <c r="D47" i="8"/>
  <c r="E47" i="8"/>
  <c r="E50" i="8"/>
  <c r="E56" i="8"/>
  <c r="F47" i="8"/>
  <c r="D50" i="8"/>
  <c r="F50" i="8"/>
  <c r="F54" i="8"/>
  <c r="F56" i="8"/>
  <c r="D54" i="8"/>
  <c r="D56" i="8"/>
  <c r="E60" i="8"/>
  <c r="F69" i="8"/>
  <c r="D73" i="8"/>
  <c r="E73" i="8"/>
  <c r="F80" i="8"/>
  <c r="P76" i="3"/>
  <c r="P75" i="3" s="1"/>
  <c r="O76" i="3"/>
  <c r="O75" i="3" s="1"/>
  <c r="N76" i="3"/>
  <c r="N75" i="3" s="1"/>
  <c r="M76" i="3"/>
  <c r="M75" i="3" s="1"/>
  <c r="M84" i="3"/>
  <c r="L76" i="3"/>
  <c r="L75" i="3" s="1"/>
  <c r="K76" i="3"/>
  <c r="K75" i="3" s="1"/>
  <c r="J76" i="3"/>
  <c r="J75" i="3" s="1"/>
  <c r="I76" i="3"/>
  <c r="I75" i="3" s="1"/>
  <c r="I84" i="3"/>
  <c r="H76" i="3"/>
  <c r="H75" i="3" s="1"/>
  <c r="G76" i="3"/>
  <c r="G75" i="3" s="1"/>
  <c r="F76" i="3"/>
  <c r="F75" i="3" s="1"/>
  <c r="E76" i="3"/>
  <c r="E75" i="3" s="1"/>
  <c r="E84" i="3"/>
  <c r="D76" i="3"/>
  <c r="D75" i="3" s="1"/>
  <c r="C76" i="3"/>
  <c r="C75" i="3" s="1"/>
  <c r="Q76" i="3"/>
  <c r="Q75" i="3" s="1"/>
  <c r="P57" i="3"/>
  <c r="N57" i="3"/>
  <c r="N63" i="3"/>
  <c r="N52" i="3"/>
  <c r="N46" i="3"/>
  <c r="N43" i="3"/>
  <c r="N29" i="3"/>
  <c r="N33" i="3"/>
  <c r="N39" i="3"/>
  <c r="N24" i="3"/>
  <c r="N84" i="3"/>
  <c r="M57" i="3"/>
  <c r="L57" i="3"/>
  <c r="K57" i="3"/>
  <c r="J57" i="3"/>
  <c r="J63" i="3"/>
  <c r="J29" i="3"/>
  <c r="J33" i="3"/>
  <c r="J39" i="3"/>
  <c r="J24" i="3"/>
  <c r="J84" i="3"/>
  <c r="I57" i="3"/>
  <c r="H57" i="3"/>
  <c r="G57" i="3"/>
  <c r="F57" i="3"/>
  <c r="E57" i="3"/>
  <c r="D57" i="3"/>
  <c r="C57" i="3"/>
  <c r="P63" i="3"/>
  <c r="P56" i="3" s="1"/>
  <c r="P52" i="3"/>
  <c r="P46" i="3"/>
  <c r="P43" i="3" s="1"/>
  <c r="P29" i="3"/>
  <c r="P33" i="3"/>
  <c r="P39" i="3"/>
  <c r="P24" i="3"/>
  <c r="O63" i="3"/>
  <c r="M63" i="3"/>
  <c r="L63" i="3"/>
  <c r="L56" i="3" s="1"/>
  <c r="L52" i="3"/>
  <c r="L46" i="3"/>
  <c r="L43" i="3" s="1"/>
  <c r="L29" i="3"/>
  <c r="L33" i="3"/>
  <c r="L28" i="3" s="1"/>
  <c r="L39" i="3"/>
  <c r="L24" i="3"/>
  <c r="L15" i="3"/>
  <c r="L13" i="3" s="1"/>
  <c r="K63" i="3"/>
  <c r="I63" i="3"/>
  <c r="H63" i="3"/>
  <c r="H29" i="3"/>
  <c r="H33" i="3"/>
  <c r="H39" i="3"/>
  <c r="H24" i="3"/>
  <c r="G63" i="3"/>
  <c r="G56" i="3" s="1"/>
  <c r="F63" i="3"/>
  <c r="F56" i="3" s="1"/>
  <c r="E63" i="3"/>
  <c r="E56" i="3" s="1"/>
  <c r="D63" i="3"/>
  <c r="D29" i="3"/>
  <c r="D33" i="3"/>
  <c r="D39" i="3"/>
  <c r="D24" i="3"/>
  <c r="D84" i="3"/>
  <c r="C63" i="3"/>
  <c r="C56" i="3" s="1"/>
  <c r="Q63" i="3"/>
  <c r="Q57" i="3"/>
  <c r="Q46" i="3"/>
  <c r="Q43" i="3" s="1"/>
  <c r="O39" i="3"/>
  <c r="M39" i="3"/>
  <c r="K39" i="3"/>
  <c r="I39" i="3"/>
  <c r="G39" i="3"/>
  <c r="F39" i="3"/>
  <c r="E39" i="3"/>
  <c r="C39" i="3"/>
  <c r="O33" i="3"/>
  <c r="O29" i="3"/>
  <c r="O37" i="3"/>
  <c r="M33" i="3"/>
  <c r="K33" i="3"/>
  <c r="K29" i="3"/>
  <c r="K24" i="3"/>
  <c r="I33" i="3"/>
  <c r="G33" i="3"/>
  <c r="G29" i="3"/>
  <c r="G24" i="3"/>
  <c r="G84" i="3"/>
  <c r="G92" i="3" s="1"/>
  <c r="F33" i="3"/>
  <c r="E33" i="3"/>
  <c r="C33" i="3"/>
  <c r="M29" i="3"/>
  <c r="I29" i="3"/>
  <c r="F29" i="3"/>
  <c r="E29" i="3"/>
  <c r="C29" i="3"/>
  <c r="O24" i="3"/>
  <c r="M24" i="3"/>
  <c r="I24" i="3"/>
  <c r="F24" i="3"/>
  <c r="E24" i="3"/>
  <c r="C24" i="3"/>
  <c r="Q24" i="3"/>
  <c r="Q15" i="3"/>
  <c r="Q13" i="3" s="1"/>
  <c r="O15" i="3"/>
  <c r="O13" i="3" s="1"/>
  <c r="N15" i="3"/>
  <c r="M15" i="3"/>
  <c r="K15" i="3"/>
  <c r="J15" i="3"/>
  <c r="I15" i="3"/>
  <c r="H15" i="3"/>
  <c r="G15" i="3"/>
  <c r="F15" i="3"/>
  <c r="E15" i="3"/>
  <c r="D15" i="3"/>
  <c r="C15" i="3"/>
  <c r="P15" i="3"/>
  <c r="D20" i="8"/>
  <c r="F28" i="8"/>
  <c r="E28" i="8"/>
  <c r="D27" i="8"/>
  <c r="F25" i="8"/>
  <c r="E25" i="8"/>
  <c r="F22" i="8"/>
  <c r="E22" i="8"/>
  <c r="D22" i="8"/>
  <c r="F21" i="8"/>
  <c r="F15" i="8" s="1"/>
  <c r="E21" i="8"/>
  <c r="E15" i="8" s="1"/>
  <c r="F20" i="8"/>
  <c r="E20" i="8"/>
  <c r="E14" i="8" s="1"/>
  <c r="E13" i="8" s="1"/>
  <c r="D16" i="8"/>
  <c r="F16" i="8"/>
  <c r="O30" i="1"/>
  <c r="N30" i="1"/>
  <c r="M30" i="1"/>
  <c r="L30" i="1"/>
  <c r="K30" i="1"/>
  <c r="J30" i="1"/>
  <c r="I30" i="1"/>
  <c r="H30" i="1"/>
  <c r="G30" i="1"/>
  <c r="F30" i="1"/>
  <c r="E30" i="1"/>
  <c r="D30" i="1"/>
  <c r="R30" i="1"/>
  <c r="O27" i="1"/>
  <c r="N27" i="1"/>
  <c r="M27" i="1"/>
  <c r="L27" i="1"/>
  <c r="K27" i="1"/>
  <c r="J27" i="1"/>
  <c r="I27" i="1"/>
  <c r="H27" i="1"/>
  <c r="G27" i="1"/>
  <c r="F27" i="1"/>
  <c r="E27" i="1"/>
  <c r="D27" i="1"/>
  <c r="R27" i="1"/>
  <c r="O24" i="1"/>
  <c r="N24" i="1"/>
  <c r="M24" i="1"/>
  <c r="L24" i="1"/>
  <c r="K24" i="1"/>
  <c r="J24" i="1"/>
  <c r="I24" i="1"/>
  <c r="H24" i="1"/>
  <c r="G24" i="1"/>
  <c r="F24" i="1"/>
  <c r="E24" i="1"/>
  <c r="D24" i="1"/>
  <c r="M21" i="1"/>
  <c r="J21" i="1"/>
  <c r="I21" i="1"/>
  <c r="H21" i="1"/>
  <c r="G21" i="1"/>
  <c r="F21" i="1"/>
  <c r="E21" i="1"/>
  <c r="D21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Q27" i="5"/>
  <c r="Q31" i="5"/>
  <c r="Q35" i="5"/>
  <c r="Q37" i="5"/>
  <c r="Q44" i="5"/>
  <c r="Q41" i="5" s="1"/>
  <c r="Q55" i="5"/>
  <c r="Q61" i="5"/>
  <c r="Q19" i="5"/>
  <c r="Q17" i="5"/>
  <c r="Q52" i="3"/>
  <c r="O84" i="3"/>
  <c r="L84" i="3"/>
  <c r="K84" i="3"/>
  <c r="H84" i="3"/>
  <c r="H92" i="3" s="1"/>
  <c r="F84" i="3"/>
  <c r="C84" i="3"/>
  <c r="H83" i="5"/>
  <c r="G83" i="5"/>
  <c r="F83" i="5"/>
  <c r="F91" i="5" s="1"/>
  <c r="F94" i="5" s="1"/>
  <c r="E83" i="5"/>
  <c r="P76" i="5"/>
  <c r="P75" i="5" s="1"/>
  <c r="Q75" i="5"/>
  <c r="Q83" i="5"/>
  <c r="D91" i="5"/>
  <c r="D54" i="5"/>
  <c r="D67" i="5" s="1"/>
  <c r="D94" i="5" s="1"/>
  <c r="C91" i="5"/>
  <c r="N75" i="5"/>
  <c r="M75" i="5"/>
  <c r="L75" i="5"/>
  <c r="K75" i="5"/>
  <c r="H75" i="5"/>
  <c r="H91" i="5" s="1"/>
  <c r="G75" i="5"/>
  <c r="F75" i="5"/>
  <c r="E75" i="5"/>
  <c r="P35" i="5"/>
  <c r="P27" i="5"/>
  <c r="O27" i="5"/>
  <c r="P19" i="5"/>
  <c r="P17" i="5"/>
  <c r="O19" i="5"/>
  <c r="O17" i="5" s="1"/>
  <c r="L19" i="5"/>
  <c r="L17" i="5" s="1"/>
  <c r="M19" i="5"/>
  <c r="M17" i="5" s="1"/>
  <c r="N19" i="5"/>
  <c r="N17" i="5" s="1"/>
  <c r="P52" i="1"/>
  <c r="R49" i="1"/>
  <c r="Q49" i="1"/>
  <c r="P49" i="1"/>
  <c r="P56" i="1"/>
  <c r="P58" i="1"/>
  <c r="R45" i="1"/>
  <c r="Q45" i="1"/>
  <c r="P45" i="1"/>
  <c r="R82" i="1"/>
  <c r="R71" i="1"/>
  <c r="R65" i="1"/>
  <c r="R62" i="1" s="1"/>
  <c r="R58" i="1"/>
  <c r="R56" i="1"/>
  <c r="R52" i="1"/>
  <c r="R18" i="1"/>
  <c r="Q75" i="1"/>
  <c r="Q58" i="1"/>
  <c r="P75" i="1"/>
  <c r="P83" i="5"/>
  <c r="O83" i="5"/>
  <c r="O76" i="5"/>
  <c r="P29" i="1"/>
  <c r="P27" i="1" s="1"/>
  <c r="P32" i="1"/>
  <c r="P22" i="1"/>
  <c r="P16" i="1" s="1"/>
  <c r="O55" i="5"/>
  <c r="O54" i="5" s="1"/>
  <c r="O50" i="5"/>
  <c r="O44" i="5"/>
  <c r="O41" i="5" s="1"/>
  <c r="O37" i="5"/>
  <c r="O35" i="5"/>
  <c r="O31" i="5"/>
  <c r="P61" i="5"/>
  <c r="P55" i="5"/>
  <c r="P50" i="5"/>
  <c r="P44" i="5"/>
  <c r="P41" i="5" s="1"/>
  <c r="P31" i="5"/>
  <c r="P37" i="5"/>
  <c r="P84" i="3"/>
  <c r="O61" i="3"/>
  <c r="O57" i="3" s="1"/>
  <c r="O56" i="3" s="1"/>
  <c r="O52" i="3"/>
  <c r="O46" i="3"/>
  <c r="O43" i="3" s="1"/>
  <c r="N83" i="5"/>
  <c r="N61" i="5"/>
  <c r="N55" i="5"/>
  <c r="N27" i="5"/>
  <c r="O23" i="1"/>
  <c r="O22" i="1"/>
  <c r="M83" i="5"/>
  <c r="M61" i="5"/>
  <c r="M55" i="5"/>
  <c r="M54" i="5" s="1"/>
  <c r="M31" i="5"/>
  <c r="M37" i="5"/>
  <c r="M27" i="5"/>
  <c r="M52" i="3"/>
  <c r="M46" i="3"/>
  <c r="N23" i="1"/>
  <c r="N17" i="1" s="1"/>
  <c r="N22" i="1"/>
  <c r="N16" i="1" s="1"/>
  <c r="N15" i="1" s="1"/>
  <c r="L83" i="5"/>
  <c r="L91" i="5" s="1"/>
  <c r="L61" i="5"/>
  <c r="L55" i="5"/>
  <c r="L54" i="5" s="1"/>
  <c r="L30" i="5"/>
  <c r="L27" i="5"/>
  <c r="K83" i="5"/>
  <c r="K91" i="5" s="1"/>
  <c r="L23" i="1"/>
  <c r="L17" i="1" s="1"/>
  <c r="L22" i="1"/>
  <c r="L16" i="1" s="1"/>
  <c r="L15" i="1" s="1"/>
  <c r="K23" i="1"/>
  <c r="K17" i="1" s="1"/>
  <c r="K22" i="1"/>
  <c r="K16" i="1" s="1"/>
  <c r="E54" i="5"/>
  <c r="G91" i="5"/>
  <c r="G94" i="5" s="1"/>
  <c r="Q84" i="3"/>
  <c r="Q92" i="3" s="1"/>
  <c r="C71" i="10"/>
  <c r="O75" i="5"/>
  <c r="D46" i="8"/>
  <c r="F73" i="8"/>
  <c r="F14" i="8"/>
  <c r="O16" i="1"/>
  <c r="N21" i="1"/>
  <c r="E28" i="3"/>
  <c r="F19" i="8"/>
  <c r="D14" i="8"/>
  <c r="D25" i="8"/>
  <c r="I91" i="5"/>
  <c r="I94" i="5" s="1"/>
  <c r="R54" i="5"/>
  <c r="D21" i="8"/>
  <c r="D15" i="8" s="1"/>
  <c r="G73" i="8"/>
  <c r="S22" i="1"/>
  <c r="S16" i="1" s="1"/>
  <c r="S15" i="1" s="1"/>
  <c r="S24" i="1"/>
  <c r="R30" i="5"/>
  <c r="P91" i="15"/>
  <c r="Q16" i="1"/>
  <c r="M15" i="1"/>
  <c r="G19" i="8"/>
  <c r="U16" i="1"/>
  <c r="E27" i="15"/>
  <c r="U24" i="1"/>
  <c r="G10" i="11"/>
  <c r="L14" i="11" s="1"/>
  <c r="L71" i="11" s="1"/>
  <c r="I22" i="8"/>
  <c r="I20" i="8"/>
  <c r="D13" i="8"/>
  <c r="I14" i="8"/>
  <c r="Q91" i="5" l="1"/>
  <c r="M91" i="5"/>
  <c r="E67" i="5"/>
  <c r="N54" i="5"/>
  <c r="N91" i="5"/>
  <c r="D91" i="15"/>
  <c r="L91" i="15"/>
  <c r="M91" i="15"/>
  <c r="T91" i="15"/>
  <c r="P27" i="15"/>
  <c r="G27" i="15"/>
  <c r="N68" i="15"/>
  <c r="I27" i="15"/>
  <c r="M55" i="15"/>
  <c r="T56" i="3"/>
  <c r="T27" i="15"/>
  <c r="U94" i="15"/>
  <c r="L92" i="3"/>
  <c r="T92" i="3"/>
  <c r="N92" i="3"/>
  <c r="P54" i="5"/>
  <c r="D15" i="1"/>
  <c r="S48" i="1"/>
  <c r="S21" i="1"/>
  <c r="Q48" i="1"/>
  <c r="D87" i="10"/>
  <c r="D90" i="10" s="1"/>
  <c r="G28" i="3"/>
  <c r="G69" i="3" s="1"/>
  <c r="G95" i="3" s="1"/>
  <c r="O28" i="3"/>
  <c r="O69" i="3" s="1"/>
  <c r="M56" i="3"/>
  <c r="D56" i="3"/>
  <c r="N56" i="3"/>
  <c r="K28" i="3"/>
  <c r="E69" i="3"/>
  <c r="C92" i="3"/>
  <c r="E90" i="10"/>
  <c r="G14" i="11"/>
  <c r="G12" i="11"/>
  <c r="L69" i="11" s="1"/>
  <c r="J67" i="5"/>
  <c r="I28" i="3"/>
  <c r="H56" i="3"/>
  <c r="R56" i="3"/>
  <c r="O92" i="3"/>
  <c r="S69" i="3"/>
  <c r="H28" i="3"/>
  <c r="H69" i="3" s="1"/>
  <c r="H95" i="3" s="1"/>
  <c r="E95" i="3"/>
  <c r="E92" i="3"/>
  <c r="F28" i="3"/>
  <c r="F69" i="3" s="1"/>
  <c r="F95" i="3" s="1"/>
  <c r="F92" i="3"/>
  <c r="J28" i="3"/>
  <c r="R28" i="3"/>
  <c r="G15" i="11"/>
  <c r="L74" i="11" s="1"/>
  <c r="B72" i="11"/>
  <c r="G71" i="11" s="1"/>
  <c r="G11" i="11"/>
  <c r="B76" i="11"/>
  <c r="G74" i="11" s="1"/>
  <c r="B71" i="11"/>
  <c r="G70" i="11" s="1"/>
  <c r="G17" i="11"/>
  <c r="L13" i="11"/>
  <c r="L70" i="11" s="1"/>
  <c r="G16" i="11"/>
  <c r="L9" i="11" s="1"/>
  <c r="G68" i="15"/>
  <c r="T17" i="1"/>
  <c r="T15" i="1" s="1"/>
  <c r="T21" i="1"/>
  <c r="L21" i="1"/>
  <c r="R75" i="1"/>
  <c r="Q56" i="3"/>
  <c r="L69" i="3"/>
  <c r="L95" i="3" s="1"/>
  <c r="O27" i="15"/>
  <c r="T26" i="16"/>
  <c r="S67" i="5"/>
  <c r="S94" i="5" s="1"/>
  <c r="T24" i="1"/>
  <c r="U27" i="1"/>
  <c r="P30" i="5"/>
  <c r="M28" i="3"/>
  <c r="M69" i="3" s="1"/>
  <c r="I56" i="3"/>
  <c r="J56" i="3"/>
  <c r="J69" i="3" s="1"/>
  <c r="E15" i="1"/>
  <c r="G46" i="8"/>
  <c r="D27" i="15"/>
  <c r="D68" i="15" s="1"/>
  <c r="D94" i="15" s="1"/>
  <c r="L27" i="15"/>
  <c r="L68" i="15" s="1"/>
  <c r="L94" i="15" s="1"/>
  <c r="O55" i="15"/>
  <c r="E91" i="15"/>
  <c r="K94" i="5"/>
  <c r="C94" i="5"/>
  <c r="K56" i="3"/>
  <c r="N28" i="3"/>
  <c r="E46" i="8"/>
  <c r="F90" i="10"/>
  <c r="E55" i="15"/>
  <c r="E68" i="15" s="1"/>
  <c r="E94" i="15" s="1"/>
  <c r="N26" i="16"/>
  <c r="Q27" i="15"/>
  <c r="R91" i="15"/>
  <c r="R27" i="15"/>
  <c r="R48" i="1"/>
  <c r="Q21" i="1"/>
  <c r="F68" i="15"/>
  <c r="F94" i="15" s="1"/>
  <c r="F26" i="16"/>
  <c r="Q91" i="15"/>
  <c r="R22" i="1"/>
  <c r="R16" i="1" s="1"/>
  <c r="R15" i="1" s="1"/>
  <c r="H46" i="8"/>
  <c r="K27" i="15"/>
  <c r="K68" i="15" s="1"/>
  <c r="K94" i="15" s="1"/>
  <c r="B73" i="11"/>
  <c r="G72" i="11" s="1"/>
  <c r="P92" i="3"/>
  <c r="K92" i="3"/>
  <c r="F13" i="8"/>
  <c r="P28" i="3"/>
  <c r="P69" i="3" s="1"/>
  <c r="D92" i="3"/>
  <c r="I92" i="3"/>
  <c r="M92" i="3"/>
  <c r="I15" i="1"/>
  <c r="Q15" i="1"/>
  <c r="P91" i="5"/>
  <c r="K21" i="1"/>
  <c r="D28" i="3"/>
  <c r="D69" i="3" s="1"/>
  <c r="D95" i="3" s="1"/>
  <c r="P24" i="1"/>
  <c r="H55" i="15"/>
  <c r="H68" i="15" s="1"/>
  <c r="H94" i="15" s="1"/>
  <c r="E26" i="16"/>
  <c r="L26" i="16"/>
  <c r="G26" i="16"/>
  <c r="S91" i="15"/>
  <c r="G87" i="10"/>
  <c r="G90" i="10" s="1"/>
  <c r="H51" i="10"/>
  <c r="T28" i="3"/>
  <c r="T69" i="3" s="1"/>
  <c r="T95" i="3" s="1"/>
  <c r="P48" i="1"/>
  <c r="E19" i="8"/>
  <c r="F46" i="8"/>
  <c r="G15" i="1"/>
  <c r="Q68" i="15"/>
  <c r="Q94" i="15" s="1"/>
  <c r="D19" i="8"/>
  <c r="K15" i="1"/>
  <c r="P30" i="1"/>
  <c r="P23" i="1"/>
  <c r="C28" i="3"/>
  <c r="C69" i="3" s="1"/>
  <c r="J92" i="3"/>
  <c r="R69" i="3"/>
  <c r="R92" i="3"/>
  <c r="U21" i="1"/>
  <c r="U15" i="1" s="1"/>
  <c r="U17" i="1"/>
  <c r="O17" i="1"/>
  <c r="O15" i="1" s="1"/>
  <c r="O21" i="1"/>
  <c r="C87" i="10"/>
  <c r="C90" i="10" s="1"/>
  <c r="Q28" i="3"/>
  <c r="Q69" i="3" s="1"/>
  <c r="Q95" i="3" s="1"/>
  <c r="Q54" i="5"/>
  <c r="M27" i="15"/>
  <c r="M68" i="15" s="1"/>
  <c r="M94" i="15" s="1"/>
  <c r="H26" i="16"/>
  <c r="P68" i="15"/>
  <c r="P94" i="15" s="1"/>
  <c r="R68" i="15"/>
  <c r="R94" i="15" s="1"/>
  <c r="N67" i="5"/>
  <c r="N94" i="5" s="1"/>
  <c r="M30" i="5"/>
  <c r="M67" i="5" s="1"/>
  <c r="M94" i="5" s="1"/>
  <c r="G91" i="15"/>
  <c r="J91" i="15"/>
  <c r="J94" i="15" s="1"/>
  <c r="N91" i="15"/>
  <c r="P26" i="16"/>
  <c r="S26" i="16"/>
  <c r="R54" i="16"/>
  <c r="S55" i="15"/>
  <c r="S68" i="15" s="1"/>
  <c r="O91" i="5"/>
  <c r="L67" i="5"/>
  <c r="L94" i="5" s="1"/>
  <c r="O30" i="5"/>
  <c r="E91" i="5"/>
  <c r="E94" i="5" s="1"/>
  <c r="Q30" i="5"/>
  <c r="I68" i="15"/>
  <c r="I94" i="15" s="1"/>
  <c r="C27" i="15"/>
  <c r="C68" i="15" s="1"/>
  <c r="C94" i="15" s="1"/>
  <c r="D26" i="16"/>
  <c r="P54" i="16"/>
  <c r="T68" i="15"/>
  <c r="T94" i="15" s="1"/>
  <c r="T54" i="5"/>
  <c r="R67" i="5"/>
  <c r="R94" i="5" s="1"/>
  <c r="C77" i="11"/>
  <c r="D70" i="11" s="1"/>
  <c r="H20" i="8"/>
  <c r="H94" i="5"/>
  <c r="O67" i="5"/>
  <c r="O94" i="5" s="1"/>
  <c r="T91" i="5"/>
  <c r="N20" i="11"/>
  <c r="P67" i="5" l="1"/>
  <c r="N94" i="15"/>
  <c r="G94" i="15"/>
  <c r="O68" i="15"/>
  <c r="O94" i="15" s="1"/>
  <c r="K69" i="3"/>
  <c r="K95" i="3" s="1"/>
  <c r="N69" i="3"/>
  <c r="N95" i="3" s="1"/>
  <c r="O95" i="3"/>
  <c r="T67" i="5"/>
  <c r="T94" i="5" s="1"/>
  <c r="H64" i="10"/>
  <c r="H90" i="10" s="1"/>
  <c r="C95" i="3"/>
  <c r="I69" i="3"/>
  <c r="I95" i="3" s="1"/>
  <c r="P95" i="3"/>
  <c r="S94" i="15"/>
  <c r="J95" i="3"/>
  <c r="S95" i="3"/>
  <c r="M95" i="3"/>
  <c r="R21" i="1"/>
  <c r="P94" i="5"/>
  <c r="H14" i="8"/>
  <c r="H13" i="8" s="1"/>
  <c r="H19" i="8"/>
  <c r="Q67" i="5"/>
  <c r="Q94" i="5" s="1"/>
  <c r="R95" i="3"/>
  <c r="P21" i="1"/>
  <c r="P17" i="1"/>
  <c r="P15" i="1" s="1"/>
  <c r="I19" i="8"/>
  <c r="M78" i="11"/>
  <c r="N77" i="11" s="1"/>
  <c r="N15" i="11"/>
  <c r="N13" i="11"/>
  <c r="D73" i="11"/>
  <c r="D74" i="11"/>
  <c r="D76" i="11"/>
  <c r="D72" i="11"/>
  <c r="D71" i="11"/>
  <c r="D75" i="11"/>
  <c r="D19" i="11"/>
  <c r="N16" i="11"/>
  <c r="N12" i="11"/>
  <c r="N10" i="11"/>
  <c r="N11" i="11"/>
  <c r="N14" i="11"/>
  <c r="N18" i="11"/>
  <c r="N19" i="11"/>
  <c r="N17" i="11"/>
  <c r="N74" i="11" l="1"/>
  <c r="N71" i="11"/>
  <c r="N72" i="11"/>
  <c r="N73" i="11"/>
  <c r="N76" i="11"/>
  <c r="N69" i="11"/>
  <c r="N75" i="11"/>
  <c r="N70" i="11"/>
  <c r="D77" i="11"/>
  <c r="I11" i="11"/>
  <c r="I12" i="11"/>
  <c r="N21" i="11"/>
  <c r="N78" i="11" l="1"/>
  <c r="I18" i="11"/>
  <c r="I74" i="11"/>
  <c r="I72" i="11"/>
  <c r="I70" i="11"/>
  <c r="I73" i="11"/>
  <c r="I71" i="11"/>
  <c r="I75" i="11" l="1"/>
  <c r="J79" i="5" l="1"/>
  <c r="J75" i="5" s="1"/>
  <c r="J91" i="5" s="1"/>
  <c r="J94" i="5" s="1"/>
  <c r="J87" i="5" l="1"/>
  <c r="J90" i="5" s="1"/>
  <c r="I15" i="8"/>
  <c r="I13" i="8"/>
</calcChain>
</file>

<file path=xl/comments1.xml><?xml version="1.0" encoding="utf-8"?>
<comments xmlns="http://schemas.openxmlformats.org/spreadsheetml/2006/main">
  <authors>
    <author>Boscana Goires Mariana Renee</author>
  </authors>
  <commentList>
    <comment ref="A20" authorId="0" shapeId="0">
      <text>
        <r>
          <rPr>
            <b/>
            <sz val="9"/>
            <color indexed="81"/>
            <rFont val="Tahoma"/>
            <family val="2"/>
          </rPr>
          <t>Boscana Goires Mariana Renee:</t>
        </r>
        <r>
          <rPr>
            <sz val="9"/>
            <color indexed="81"/>
            <rFont val="Tahoma"/>
            <family val="2"/>
          </rPr>
          <t xml:space="preserve">
no se exporto</t>
        </r>
      </text>
    </comment>
  </commentList>
</comments>
</file>

<file path=xl/sharedStrings.xml><?xml version="1.0" encoding="utf-8"?>
<sst xmlns="http://schemas.openxmlformats.org/spreadsheetml/2006/main" count="1897" uniqueCount="353">
  <si>
    <t xml:space="preserve"> </t>
  </si>
  <si>
    <t>Producto</t>
  </si>
  <si>
    <t>1.C</t>
  </si>
  <si>
    <t>1.NC</t>
  </si>
  <si>
    <t>1.1.C</t>
  </si>
  <si>
    <t>1.1.NC</t>
  </si>
  <si>
    <t>1.2.C</t>
  </si>
  <si>
    <t>1.2.NC</t>
  </si>
  <si>
    <t>1.2.1</t>
  </si>
  <si>
    <t>1.2.1.C</t>
  </si>
  <si>
    <t>1.2.1.NC</t>
  </si>
  <si>
    <t>1.2.2</t>
  </si>
  <si>
    <t>1.2.2.C</t>
  </si>
  <si>
    <t>1.2.2.NC</t>
  </si>
  <si>
    <t>1.2.3</t>
  </si>
  <si>
    <t>1.2.3.C</t>
  </si>
  <si>
    <t>1.2.3.NC</t>
  </si>
  <si>
    <t>1000 mt</t>
  </si>
  <si>
    <t>5.C</t>
  </si>
  <si>
    <t>5.NC</t>
  </si>
  <si>
    <t>6.1.C</t>
  </si>
  <si>
    <t>6.1.NC</t>
  </si>
  <si>
    <t>6.2.C</t>
  </si>
  <si>
    <t>6.2.NC</t>
  </si>
  <si>
    <t>6.3.1</t>
  </si>
  <si>
    <t>6.4.1</t>
  </si>
  <si>
    <t>6.4.2</t>
  </si>
  <si>
    <t>6.4.3</t>
  </si>
  <si>
    <t>7.3.1</t>
  </si>
  <si>
    <t>7.3.2</t>
  </si>
  <si>
    <t>7.3.3</t>
  </si>
  <si>
    <t>7.3.4</t>
  </si>
  <si>
    <t>10.1.1</t>
  </si>
  <si>
    <t>10.1.2</t>
  </si>
  <si>
    <t>10.1.3</t>
  </si>
  <si>
    <t>10.1.4</t>
  </si>
  <si>
    <t>10.3.1</t>
  </si>
  <si>
    <t>10.3.2</t>
  </si>
  <si>
    <t>10.3.3</t>
  </si>
  <si>
    <t>10.3.4</t>
  </si>
  <si>
    <r>
      <t>1000 m</t>
    </r>
    <r>
      <rPr>
        <vertAlign val="superscript"/>
        <sz val="11"/>
        <rFont val="Univers"/>
        <family val="2"/>
      </rPr>
      <t>3</t>
    </r>
  </si>
  <si>
    <t>1000 m3</t>
  </si>
  <si>
    <t>11.1</t>
  </si>
  <si>
    <t>11.1.C</t>
  </si>
  <si>
    <t>11.1.NC</t>
  </si>
  <si>
    <t>11.1.NC.T</t>
  </si>
  <si>
    <t>11.2</t>
  </si>
  <si>
    <t>11.3</t>
  </si>
  <si>
    <t>11.4</t>
  </si>
  <si>
    <t>11.5</t>
  </si>
  <si>
    <t xml:space="preserve">SUBTOTAL </t>
  </si>
  <si>
    <t>TOTAL</t>
  </si>
  <si>
    <t>SUBTOTAL</t>
  </si>
  <si>
    <t>1000 ton</t>
  </si>
  <si>
    <r>
      <t>1000 m</t>
    </r>
    <r>
      <rPr>
        <vertAlign val="superscript"/>
        <sz val="12"/>
        <rFont val="Univers"/>
        <family val="2"/>
      </rPr>
      <t>3</t>
    </r>
  </si>
  <si>
    <t xml:space="preserve"> s/d</t>
  </si>
  <si>
    <t>5.1.C</t>
  </si>
  <si>
    <t>5.2.NC</t>
  </si>
  <si>
    <t>Fuente: Dirección General Forestal - División Evaluación &amp; Información en base a BCU y Comercio Exterior Urunet</t>
  </si>
  <si>
    <t>2</t>
  </si>
  <si>
    <t>1000 tm</t>
  </si>
  <si>
    <t>6,2.M</t>
  </si>
  <si>
    <t>6.2. M</t>
  </si>
  <si>
    <t xml:space="preserve">     1.2.NC.T</t>
  </si>
  <si>
    <t xml:space="preserve">    5.2.NC.T</t>
  </si>
  <si>
    <t xml:space="preserve">    6.1.NC.T</t>
  </si>
  <si>
    <t xml:space="preserve">     6.2.NC.T</t>
  </si>
  <si>
    <t xml:space="preserve">      1.2.NC.T</t>
  </si>
  <si>
    <t xml:space="preserve">       5.NC.T</t>
  </si>
  <si>
    <t xml:space="preserve">      6.1.NC.T</t>
  </si>
  <si>
    <t xml:space="preserve">      6.2.NC.T</t>
  </si>
  <si>
    <r>
      <t>1000 m</t>
    </r>
    <r>
      <rPr>
        <vertAlign val="superscript"/>
        <sz val="11"/>
        <color indexed="8"/>
        <rFont val="Univers"/>
        <family val="2"/>
      </rPr>
      <t>3</t>
    </r>
  </si>
  <si>
    <r>
      <t>1000 m</t>
    </r>
    <r>
      <rPr>
        <vertAlign val="superscript"/>
        <sz val="10"/>
        <rFont val="Univers"/>
        <family val="2"/>
      </rPr>
      <t>3</t>
    </r>
  </si>
  <si>
    <t>Fuente: División Evaluación &amp; Información. DGF, MGAP</t>
  </si>
  <si>
    <t>Graficas Serie</t>
  </si>
  <si>
    <t>EXPORTACIONES EN VALOR  (Miles de U$S) Con productos desde Zona Franca</t>
  </si>
  <si>
    <t>%</t>
  </si>
  <si>
    <t>Incluidos Productos Madereros y Papeleros Secundarios</t>
  </si>
  <si>
    <t>Sin Productos Madereros y Papeleros Secundarios</t>
  </si>
  <si>
    <t>EXPORTACIONES EN VALOR  (Miles de U$S) Sin productos de Zona Franca</t>
  </si>
  <si>
    <t>IMPORTACIONES EN VALOR  (Miles de U$S) Sin productos de Zona Franca</t>
  </si>
  <si>
    <t xml:space="preserve">                        1.1  Datos aportados por la Dirección Nacional de Energía (MIEM)</t>
  </si>
  <si>
    <t xml:space="preserve">Precio corriente FOB (U$S/ton) </t>
  </si>
  <si>
    <t>1000 TON</t>
  </si>
  <si>
    <t>valor miles de dolares</t>
  </si>
  <si>
    <t xml:space="preserve">Precio corriente FOB (U$S/m3) </t>
  </si>
  <si>
    <r>
      <t>1000 m</t>
    </r>
    <r>
      <rPr>
        <vertAlign val="superscript"/>
        <sz val="10"/>
        <rFont val="Calibri "/>
      </rPr>
      <t>3</t>
    </r>
  </si>
  <si>
    <r>
      <t>Precio corriente FOB (U$S/m</t>
    </r>
    <r>
      <rPr>
        <b/>
        <vertAlign val="superscript"/>
        <sz val="10"/>
        <rFont val="Calibri "/>
      </rPr>
      <t>3</t>
    </r>
    <r>
      <rPr>
        <b/>
        <sz val="10"/>
        <rFont val="Calibri "/>
      </rPr>
      <t xml:space="preserve">) </t>
    </r>
  </si>
  <si>
    <t>No coníferas miles de dol</t>
  </si>
  <si>
    <t>Coníferas miles de dol</t>
  </si>
  <si>
    <t>Produccion</t>
  </si>
  <si>
    <t xml:space="preserve">Exportacion </t>
  </si>
  <si>
    <t>Consumo</t>
  </si>
  <si>
    <t>Importacion</t>
  </si>
  <si>
    <t>Fuente: Encuestas elaboradas por la Division  Evaluación &amp; Información . DGF . MGAP</t>
  </si>
  <si>
    <t>Fuente: Encuestas elaboradas por la Division  Evaluación &amp; Información DGF- MGAP</t>
  </si>
  <si>
    <t>3</t>
  </si>
  <si>
    <t>3,1</t>
  </si>
  <si>
    <t>3,2</t>
  </si>
  <si>
    <t>4</t>
  </si>
  <si>
    <t>s/d</t>
  </si>
  <si>
    <t>Código / Code</t>
  </si>
  <si>
    <t>Producto / Product</t>
  </si>
  <si>
    <t>Unidad / Unity</t>
  </si>
  <si>
    <r>
      <t xml:space="preserve">Código / </t>
    </r>
    <r>
      <rPr>
        <b/>
        <i/>
        <sz val="12"/>
        <color theme="0"/>
        <rFont val="Univers"/>
      </rPr>
      <t>Code</t>
    </r>
  </si>
  <si>
    <r>
      <t xml:space="preserve">MADERA EN ROLLO / </t>
    </r>
    <r>
      <rPr>
        <b/>
        <sz val="12"/>
        <rFont val="Univers"/>
      </rPr>
      <t>ROUNDWOOD</t>
    </r>
  </si>
  <si>
    <r>
      <t xml:space="preserve">MADERA EN ROLLO / </t>
    </r>
    <r>
      <rPr>
        <b/>
        <sz val="12"/>
        <color theme="1"/>
        <rFont val="Univers"/>
      </rPr>
      <t>ROUNDWOOD</t>
    </r>
  </si>
  <si>
    <r>
      <t xml:space="preserve">MADERA ASERRADA / </t>
    </r>
    <r>
      <rPr>
        <b/>
        <sz val="12"/>
        <rFont val="Univers"/>
      </rPr>
      <t>SAWNWOOD</t>
    </r>
  </si>
  <si>
    <r>
      <t xml:space="preserve">PULPA DE MADERA / </t>
    </r>
    <r>
      <rPr>
        <b/>
        <sz val="12"/>
        <rFont val="Univers"/>
      </rPr>
      <t>WOOD PULP</t>
    </r>
  </si>
  <si>
    <r>
      <t xml:space="preserve">PAPEL RECUPERADO / </t>
    </r>
    <r>
      <rPr>
        <b/>
        <sz val="12"/>
        <rFont val="Univers"/>
      </rPr>
      <t>RECOVERED PAPER</t>
    </r>
  </si>
  <si>
    <r>
      <t xml:space="preserve">PAPEL Y CARTÓN / </t>
    </r>
    <r>
      <rPr>
        <b/>
        <sz val="12"/>
        <rFont val="Univers"/>
      </rPr>
      <t>PAPER AND PAPERBOARD</t>
    </r>
  </si>
  <si>
    <r>
      <t>Producto /</t>
    </r>
    <r>
      <rPr>
        <b/>
        <i/>
        <sz val="12"/>
        <color theme="0"/>
        <rFont val="Univers"/>
      </rPr>
      <t xml:space="preserve"> </t>
    </r>
    <r>
      <rPr>
        <b/>
        <sz val="12"/>
        <color theme="0"/>
        <rFont val="Univers"/>
      </rPr>
      <t>Product</t>
    </r>
  </si>
  <si>
    <r>
      <t xml:space="preserve">Código / </t>
    </r>
    <r>
      <rPr>
        <b/>
        <sz val="12"/>
        <color theme="0"/>
        <rFont val="Univers"/>
      </rPr>
      <t>Code</t>
    </r>
  </si>
  <si>
    <r>
      <t>Producto /</t>
    </r>
    <r>
      <rPr>
        <b/>
        <sz val="12"/>
        <color theme="0"/>
        <rFont val="Univers"/>
      </rPr>
      <t xml:space="preserve"> Product</t>
    </r>
  </si>
  <si>
    <r>
      <rPr>
        <b/>
        <sz val="18"/>
        <color theme="4"/>
        <rFont val="Calibri"/>
        <family val="2"/>
        <scheme val="minor"/>
      </rPr>
      <t>EXTRACCIÓN DE MADERA EN ROLLO</t>
    </r>
    <r>
      <rPr>
        <b/>
        <i/>
        <sz val="18"/>
        <color theme="4"/>
        <rFont val="Calibri"/>
        <family val="2"/>
        <scheme val="minor"/>
      </rPr>
      <t xml:space="preserve"> / </t>
    </r>
    <r>
      <rPr>
        <b/>
        <sz val="18"/>
        <color theme="1"/>
        <rFont val="Calibri"/>
        <family val="2"/>
        <scheme val="minor"/>
      </rPr>
      <t xml:space="preserve">EXTRACTION OF ROUNDWOOD  </t>
    </r>
  </si>
  <si>
    <r>
      <t xml:space="preserve">PRODUCCIÓN  (SIN ZONAS FRANCAS) / </t>
    </r>
    <r>
      <rPr>
        <b/>
        <sz val="18"/>
        <color theme="1"/>
        <rFont val="Calibri"/>
        <family val="2"/>
        <scheme val="minor"/>
      </rPr>
      <t>PRODUCTION (WITHOUT FREE ZONES)</t>
    </r>
  </si>
  <si>
    <r>
      <t xml:space="preserve">                                                                             PRODUCCIÓN (CON ZONAS FRANCAS)  / </t>
    </r>
    <r>
      <rPr>
        <b/>
        <sz val="18"/>
        <color theme="1"/>
        <rFont val="Calibri"/>
        <family val="2"/>
        <scheme val="minor"/>
      </rPr>
      <t>PRODUCTION (WITH FREE ZONES)</t>
    </r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</si>
  <si>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</si>
  <si>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</si>
  <si>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>OTROS TIPOS DE PULPA /</t>
    </r>
    <r>
      <rPr>
        <b/>
        <sz val="12"/>
        <rFont val="Calibri"/>
        <family val="2"/>
        <scheme val="minor"/>
      </rPr>
      <t xml:space="preserve"> OTHER TYPES OF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</si>
  <si>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</si>
  <si>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</si>
  <si>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</si>
  <si>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</si>
  <si>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</t>
    </r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</si>
  <si>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</si>
  <si>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</si>
  <si>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r>
      <t xml:space="preserve">ASTILLAS Y PARTÍCULAS (CHIPS) / </t>
    </r>
    <r>
      <rPr>
        <b/>
        <sz val="12"/>
        <rFont val="Calibri"/>
        <family val="2"/>
        <scheme val="minor"/>
      </rPr>
      <t>WOOD CHIPS</t>
    </r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</si>
  <si>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</si>
  <si>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</si>
  <si>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</si>
  <si>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 xml:space="preserve">PULP OF OTHER FIBRE 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</si>
  <si>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</si>
  <si>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MECÁNICO SIN ESTUCO / </t>
    </r>
    <r>
      <rPr>
        <b/>
        <sz val="12"/>
        <color theme="1"/>
        <rFont val="Calibri"/>
        <family val="2"/>
        <scheme val="minor"/>
      </rPr>
      <t xml:space="preserve">UNCOATED MECHANICAL PAPER  </t>
    </r>
  </si>
  <si>
    <r>
      <t>PAPEL ESTUCADO /</t>
    </r>
    <r>
      <rPr>
        <b/>
        <sz val="12"/>
        <color theme="1"/>
        <rFont val="Calibri"/>
        <family val="2"/>
        <scheme val="minor"/>
      </rPr>
      <t xml:space="preserve"> 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</si>
  <si>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</si>
  <si>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</si>
  <si>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r>
      <t xml:space="preserve">CONIFERAS / </t>
    </r>
    <r>
      <rPr>
        <b/>
        <sz val="12"/>
        <color theme="1"/>
        <rFont val="Univers"/>
      </rPr>
      <t>CONIFEROUS</t>
    </r>
    <r>
      <rPr>
        <b/>
        <sz val="12"/>
        <color theme="1"/>
        <rFont val="Univers"/>
        <family val="2"/>
      </rPr>
      <t xml:space="preserve"> </t>
    </r>
  </si>
  <si>
    <r>
      <t xml:space="preserve">NO CONIFERAS / </t>
    </r>
    <r>
      <rPr>
        <b/>
        <sz val="12"/>
        <color theme="1"/>
        <rFont val="Univers"/>
      </rPr>
      <t xml:space="preserve">NON-CONIFEROUS </t>
    </r>
  </si>
  <si>
    <r>
      <t xml:space="preserve">COMBUSTIBLE DE MADERA, INCLUIDA LA MADERA PARA PRODUCIR CARBÓN VEGETAL / </t>
    </r>
    <r>
      <rPr>
        <b/>
        <sz val="12"/>
        <rFont val="Univers"/>
      </rPr>
      <t>WOOD FUEL</t>
    </r>
  </si>
  <si>
    <r>
      <t xml:space="preserve">MADERA EN ROLLO INDUSTRIAL (MADERA EN BRUTO) / </t>
    </r>
    <r>
      <rPr>
        <b/>
        <sz val="12"/>
        <rFont val="Univers"/>
      </rPr>
      <t>INDUSTRIAL ROUNDWOOD</t>
    </r>
  </si>
  <si>
    <r>
      <t xml:space="preserve">OTRA MADERA EN ROLLO INDUSTRIAL / </t>
    </r>
    <r>
      <rPr>
        <b/>
        <sz val="12"/>
        <color theme="1"/>
        <rFont val="Univers"/>
      </rPr>
      <t>OTHER INDUSTRIAL ROUNDWOOD</t>
    </r>
  </si>
  <si>
    <r>
      <t>MADERA TERCIADA /</t>
    </r>
    <r>
      <rPr>
        <b/>
        <sz val="12"/>
        <rFont val="Univers"/>
      </rPr>
      <t xml:space="preserve"> PLYWOOD</t>
    </r>
  </si>
  <si>
    <r>
      <t xml:space="preserve">TABLEROS DE FIBRA / </t>
    </r>
    <r>
      <rPr>
        <b/>
        <sz val="12"/>
        <rFont val="Univers"/>
      </rPr>
      <t>FIBERBOARDS</t>
    </r>
  </si>
  <si>
    <r>
      <t>MDF (DENSIDAD MEDIA)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>MEDIUM DENSITY FIBREBOARD</t>
    </r>
  </si>
  <si>
    <r>
      <t xml:space="preserve">PULPA DE FIBRA RECUPERADA / </t>
    </r>
    <r>
      <rPr>
        <b/>
        <sz val="12"/>
        <rFont val="Univers"/>
      </rPr>
      <t>RECOVERED FIBER PULP</t>
    </r>
  </si>
  <si>
    <r>
      <t xml:space="preserve">PAPEL MECÁNICO SIN ESTUCO / </t>
    </r>
    <r>
      <rPr>
        <b/>
        <sz val="12"/>
        <color theme="1"/>
        <rFont val="Univers"/>
      </rPr>
      <t xml:space="preserve">UNCOATED MECHANICAL PAPER  </t>
    </r>
  </si>
  <si>
    <r>
      <t>PAPEL ESTUCADO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COATED PAPER</t>
    </r>
  </si>
  <si>
    <r>
      <t xml:space="preserve">PAPEL DE USO DOMÉSTICO Y SANITARIO /  </t>
    </r>
    <r>
      <rPr>
        <b/>
        <sz val="12"/>
        <rFont val="Univers"/>
      </rPr>
      <t>HOUSEHOLD AND SANITARY PAPER</t>
    </r>
  </si>
  <si>
    <r>
      <t>MATERIAL PARA EMPAQUETAR /</t>
    </r>
    <r>
      <rPr>
        <b/>
        <sz val="12"/>
        <rFont val="Univers"/>
      </rPr>
      <t xml:space="preserve"> PACKAGING MATERIAL</t>
    </r>
  </si>
  <si>
    <r>
      <t xml:space="preserve">                                                       </t>
    </r>
    <r>
      <rPr>
        <b/>
        <sz val="18"/>
        <color theme="4"/>
        <rFont val="Calibri"/>
        <family val="2"/>
        <scheme val="minor"/>
      </rPr>
      <t xml:space="preserve">EXTRACCIÓN DE MADERA EN ROLLO  / </t>
    </r>
    <r>
      <rPr>
        <b/>
        <sz val="18"/>
        <color theme="1"/>
        <rFont val="Calibri"/>
        <family val="2"/>
        <scheme val="minor"/>
      </rPr>
      <t>EXTRACTION OF ROUNDWOOD</t>
    </r>
  </si>
  <si>
    <r>
      <t>EXPORTACIONES (VALOR FOB Miles de U$S  SIN ZONAS FRANCAS) /</t>
    </r>
    <r>
      <rPr>
        <b/>
        <sz val="18"/>
        <color theme="1"/>
        <rFont val="Calibri"/>
        <family val="2"/>
        <scheme val="minor"/>
      </rPr>
      <t xml:space="preserve"> EXPORTS (WITHOUT FREE ZONES VOLUME VALUE U$S Mill. FOB)</t>
    </r>
  </si>
  <si>
    <r>
      <t xml:space="preserve">SUBTOTAL / </t>
    </r>
    <r>
      <rPr>
        <b/>
        <sz val="14"/>
        <color theme="0"/>
        <rFont val="Univers"/>
      </rPr>
      <t>SUBTOTAL</t>
    </r>
  </si>
  <si>
    <r>
      <t xml:space="preserve">   EXPORTACIONES (VOLUMEN CON ZONA FRANCA) /</t>
    </r>
    <r>
      <rPr>
        <b/>
        <sz val="18"/>
        <color theme="1"/>
        <rFont val="Calibri"/>
        <family val="2"/>
        <scheme val="minor"/>
      </rPr>
      <t xml:space="preserve"> EXPORTS ( WITH FREE ZONES VOLUME)</t>
    </r>
  </si>
  <si>
    <r>
      <t xml:space="preserve">IMPORTACIONES (VOLUMEN SIN ZONA FRANCA) / </t>
    </r>
    <r>
      <rPr>
        <b/>
        <sz val="18"/>
        <color theme="1"/>
        <rFont val="Calibri"/>
        <family val="2"/>
        <scheme val="minor"/>
      </rPr>
      <t>IMPORTS ( WITHOUT FREE ZONES VOLUME)</t>
    </r>
  </si>
  <si>
    <r>
      <t xml:space="preserve">     Tropical / </t>
    </r>
    <r>
      <rPr>
        <b/>
        <sz val="12"/>
        <color theme="1"/>
        <rFont val="Calibri"/>
        <family val="2"/>
        <scheme val="minor"/>
      </rPr>
      <t>Tropical</t>
    </r>
  </si>
  <si>
    <r>
      <t>IMPORTACIONES (VALOR FOB Miles de U$S  SIN ZONAS FRANCAS) /</t>
    </r>
    <r>
      <rPr>
        <b/>
        <sz val="18"/>
        <color theme="1"/>
        <rFont val="Calibri"/>
        <family val="2"/>
        <scheme val="minor"/>
      </rPr>
      <t xml:space="preserve"> IMPORTS (WITHOUT FREE ZONES VOLUME VALUE U$S Mill. FOB)</t>
    </r>
  </si>
  <si>
    <r>
      <t xml:space="preserve">IMPORTACIONES (VOLUMEN CON ZONA FRANCA) / </t>
    </r>
    <r>
      <rPr>
        <b/>
        <sz val="18"/>
        <color theme="1"/>
        <rFont val="Calibri"/>
        <family val="2"/>
        <scheme val="minor"/>
      </rPr>
      <t>IMPORTS ( WITH FREE ZONES VOLUME)</t>
    </r>
  </si>
  <si>
    <t xml:space="preserve">                                                       Encuestas elaboradas por la Division  Evaluación &amp; Información DGF- MGAP</t>
  </si>
  <si>
    <t xml:space="preserve">                                                             1.1  Datos aportados por la Dirección Nacional de Energía (MIEM)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</si>
  <si>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</si>
  <si>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t xml:space="preserve">    5.NC.T</t>
  </si>
  <si>
    <r>
      <t xml:space="preserve">CONSUMO APARENTE sin Zona Franca / </t>
    </r>
    <r>
      <rPr>
        <b/>
        <sz val="18"/>
        <rFont val="Calibri"/>
        <family val="2"/>
        <scheme val="minor"/>
      </rPr>
      <t>APARENT CONSUMPTION without Free Zones</t>
    </r>
  </si>
  <si>
    <r>
      <t>CONSUMO APARENTE con Zona Franca /</t>
    </r>
    <r>
      <rPr>
        <b/>
        <sz val="18"/>
        <rFont val="Calibri"/>
        <family val="2"/>
        <scheme val="minor"/>
      </rPr>
      <t xml:space="preserve"> APARENT CONSUMPTION with Free Zones</t>
    </r>
  </si>
  <si>
    <t xml:space="preserve">    11.1.NC.T</t>
  </si>
  <si>
    <r>
      <t xml:space="preserve">IMPORTACIONES DE PRODUCTOS SECUNDARIOS (VALOR FOB Miles de U$S  ) / </t>
    </r>
    <r>
      <rPr>
        <b/>
        <sz val="18"/>
        <rFont val="Calibri"/>
        <family val="2"/>
        <scheme val="minor"/>
      </rPr>
      <t xml:space="preserve">IMPORTS OF SECONDARY PRODUCTS (VOLUME VALUE U$S MILL FOB) </t>
    </r>
  </si>
  <si>
    <r>
      <t xml:space="preserve">EXPORTACIONES DE PRODUCTOS SECUNDARIOS (VALOR CIF Miles de U$S  ) / </t>
    </r>
    <r>
      <rPr>
        <b/>
        <sz val="18"/>
        <rFont val="Calibri"/>
        <family val="2"/>
        <scheme val="minor"/>
      </rPr>
      <t xml:space="preserve">EXPORTS OF SECONDARY PRODUCTS (VOLUME VALUE U$S MILL CIF) </t>
    </r>
  </si>
  <si>
    <r>
      <t xml:space="preserve">Productos madereros secundarios / </t>
    </r>
    <r>
      <rPr>
        <b/>
        <sz val="12"/>
        <color theme="1"/>
        <rFont val="Calibri"/>
        <family val="2"/>
        <scheme val="minor"/>
      </rPr>
      <t>Secondary wood products</t>
    </r>
  </si>
  <si>
    <r>
      <t xml:space="preserve">Muebles de madera / </t>
    </r>
    <r>
      <rPr>
        <b/>
        <sz val="12"/>
        <color theme="1"/>
        <rFont val="Calibri"/>
        <family val="2"/>
        <scheme val="minor"/>
      </rPr>
      <t>Wooden furniture</t>
    </r>
  </si>
  <si>
    <r>
      <t xml:space="preserve">Edificios prefabricados / </t>
    </r>
    <r>
      <rPr>
        <b/>
        <sz val="12"/>
        <color theme="1"/>
        <rFont val="Calibri"/>
        <family val="2"/>
        <scheme val="minor"/>
      </rPr>
      <t>Prefabricated buildings</t>
    </r>
  </si>
  <si>
    <r>
      <t xml:space="preserve">Productos papeleros secundarios / </t>
    </r>
    <r>
      <rPr>
        <b/>
        <sz val="12"/>
        <color theme="1"/>
        <rFont val="Calibri"/>
        <family val="2"/>
        <scheme val="minor"/>
      </rPr>
      <t>Secondary paper products</t>
    </r>
  </si>
  <si>
    <r>
      <t xml:space="preserve">Papel y cartón compuestos / </t>
    </r>
    <r>
      <rPr>
        <b/>
        <sz val="12"/>
        <color theme="1"/>
        <rFont val="Calibri"/>
        <family val="2"/>
        <scheme val="minor"/>
      </rPr>
      <t>Composite paper and paperboard</t>
    </r>
  </si>
  <si>
    <r>
      <t xml:space="preserve">Papel de uso doméstico y sanitario / </t>
    </r>
    <r>
      <rPr>
        <b/>
        <sz val="12"/>
        <color theme="1"/>
        <rFont val="Calibri"/>
        <family val="2"/>
        <scheme val="minor"/>
      </rPr>
      <t>Household and sanitary paper</t>
    </r>
  </si>
  <si>
    <r>
      <t xml:space="preserve">Cajas de cartón, etc.  Para envasar / </t>
    </r>
    <r>
      <rPr>
        <b/>
        <sz val="12"/>
        <color theme="1"/>
        <rFont val="Calibri"/>
        <family val="2"/>
        <scheme val="minor"/>
      </rPr>
      <t>Boxes of cardboard, etc. To pack</t>
    </r>
  </si>
  <si>
    <r>
      <t xml:space="preserve">Artículos impresos (Libros, Periodicos, etc) / </t>
    </r>
    <r>
      <rPr>
        <b/>
        <sz val="12"/>
        <color theme="1"/>
        <rFont val="Calibri"/>
        <family val="2"/>
        <scheme val="minor"/>
      </rPr>
      <t>Printed items (Books, Newspapers, etc.)</t>
    </r>
  </si>
  <si>
    <t xml:space="preserve">Fuente: Dirección General Forestal - División Evaluación &amp; Información </t>
  </si>
  <si>
    <t>TOTAL EXPORTACIONES EN VALOR (Miles  de U$S)</t>
  </si>
  <si>
    <t>TOTAL EXPORTACIONES EN VALOR (Miles de U$S)</t>
  </si>
  <si>
    <r>
      <t>EXPORTACIONES DE PRODUCTOS SECUNDARIOS (VALOR FOB Miles de U$S  ) /</t>
    </r>
    <r>
      <rPr>
        <b/>
        <sz val="14"/>
        <rFont val="Calibri"/>
        <family val="2"/>
        <scheme val="minor"/>
      </rPr>
      <t xml:space="preserve"> EXPORTS OF SECONDARY PRODUCTS (VOLUME VALUE U$S MILL FOB) </t>
    </r>
  </si>
  <si>
    <t xml:space="preserve">  </t>
  </si>
  <si>
    <t>RESIDUOS DE MADERA / WOOD WASTE</t>
  </si>
  <si>
    <t>Fuente: Dirección General Forestal - División Evaluación &amp; Información en base a BCU y Comercio Exterior Descartes Datamyne Latam</t>
  </si>
  <si>
    <t xml:space="preserve">PULPA DE MADERA QUIMICA (U$S/ton) </t>
  </si>
  <si>
    <t>PAPEL Y CARTÓN / PAPER AND PAPERBOARD</t>
  </si>
  <si>
    <t>MADERA EN ROLLO / ROUNDWOOD</t>
  </si>
  <si>
    <r>
      <t xml:space="preserve">TROZAS DE ASERRÍO, TABLEROS  Y  CHAPAS / </t>
    </r>
    <r>
      <rPr>
        <b/>
        <sz val="12"/>
        <color theme="1"/>
        <rFont val="Univers"/>
      </rPr>
      <t>SAWLOGS AND VENEERS LOGS</t>
    </r>
  </si>
  <si>
    <r>
      <t xml:space="preserve">MADERA PARA PULPA (ROLLIZA Y CHIPS) / </t>
    </r>
    <r>
      <rPr>
        <b/>
        <sz val="12"/>
        <color theme="1"/>
        <rFont val="Univers"/>
      </rPr>
      <t>PULPWOOD ROUND AND SPLIT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</si>
  <si>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Univers"/>
      </rPr>
      <t>CHARCOAL</t>
    </r>
  </si>
  <si>
    <r>
      <t>ASTILLAS, PARTÍCULAS (CHIPS) Y RESIDUOS DE MADERA /</t>
    </r>
    <r>
      <rPr>
        <b/>
        <sz val="12"/>
        <rFont val="Univers"/>
      </rPr>
      <t xml:space="preserve"> WOOD CHIPS, PARTICLES AND RESIDUES</t>
    </r>
  </si>
  <si>
    <r>
      <t xml:space="preserve">ASTILLAS Y PARTÍCULAS (CHIPS) / </t>
    </r>
    <r>
      <rPr>
        <b/>
        <sz val="12"/>
        <rFont val="Univers"/>
      </rPr>
      <t>WOOD CHIPS AND PARTICLES</t>
    </r>
  </si>
  <si>
    <r>
      <t xml:space="preserve">HOJAS DE CHAPA / </t>
    </r>
    <r>
      <rPr>
        <b/>
        <sz val="12"/>
        <rFont val="Univers"/>
      </rPr>
      <t>VENEER SHEETS</t>
    </r>
  </si>
  <si>
    <r>
      <t xml:space="preserve">      Mezcla Coniferas y No coniferas /</t>
    </r>
    <r>
      <rPr>
        <b/>
        <sz val="12"/>
        <rFont val="Calibri"/>
        <family val="2"/>
        <scheme val="minor"/>
      </rPr>
      <t xml:space="preserve">  Coniferous and Non Coniferous Mixture</t>
    </r>
  </si>
  <si>
    <r>
      <t xml:space="preserve">TABLEROS DE PARTÍCULAS (incluidos los TPO) / </t>
    </r>
    <r>
      <rPr>
        <b/>
        <sz val="12"/>
        <rFont val="Univers"/>
      </rPr>
      <t>PARTICLE BOARD, ORIENTED STRANDBOARD (OSB) AND SIMILAR BOARD</t>
    </r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</si>
  <si>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</si>
  <si>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>DUROS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 xml:space="preserve">HARDBOARD </t>
    </r>
  </si>
  <si>
    <r>
      <t xml:space="preserve">AISLANTES / </t>
    </r>
    <r>
      <rPr>
        <b/>
        <sz val="12"/>
        <rFont val="Calibri"/>
        <family val="2"/>
        <scheme val="minor"/>
      </rPr>
      <t>INSULATION,  OTHER FIBREBOARDS</t>
    </r>
  </si>
  <si>
    <r>
      <t xml:space="preserve">MECÁNICA / </t>
    </r>
    <r>
      <rPr>
        <b/>
        <sz val="12"/>
        <rFont val="Univers"/>
      </rPr>
      <t>MECHANICAL WOOD PULP</t>
    </r>
  </si>
  <si>
    <r>
      <t xml:space="preserve">SEMIQUÍMICA / </t>
    </r>
    <r>
      <rPr>
        <b/>
        <sz val="12"/>
        <rFont val="Univers"/>
      </rPr>
      <t>SEMI-CHEMICAL WOOD PULP</t>
    </r>
  </si>
  <si>
    <r>
      <t>QUÍMICA /</t>
    </r>
    <r>
      <rPr>
        <b/>
        <sz val="12"/>
        <rFont val="Univers"/>
      </rPr>
      <t>CHEMICAL WOOD PULP</t>
    </r>
  </si>
  <si>
    <r>
      <t xml:space="preserve">AL SULFATO SIN BLANQUEAR / </t>
    </r>
    <r>
      <rPr>
        <b/>
        <sz val="12"/>
        <rFont val="Calibri"/>
        <family val="2"/>
        <scheme val="minor"/>
      </rPr>
      <t>SULPHATE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UNBLEACHED PULP</t>
    </r>
  </si>
  <si>
    <r>
      <t xml:space="preserve">AL SULFATO BLANQUEADA / </t>
    </r>
    <r>
      <rPr>
        <b/>
        <sz val="12"/>
        <color theme="1"/>
        <rFont val="Univers"/>
      </rPr>
      <t>SULPHATE BLEACHED PULP</t>
    </r>
  </si>
  <si>
    <r>
      <t>AL SULFITO SIN BLANQUEAR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Univers"/>
      </rPr>
      <t>SULPHITE UNBLEACHED PULP</t>
    </r>
  </si>
  <si>
    <r>
      <t xml:space="preserve">AL SULFITO BLANQUEADA /  </t>
    </r>
    <r>
      <rPr>
        <b/>
        <sz val="12"/>
        <color theme="1"/>
        <rFont val="Univers"/>
      </rPr>
      <t>SULPHITE</t>
    </r>
    <r>
      <rPr>
        <b/>
        <sz val="12"/>
        <color theme="6" tint="-0.499984740745262"/>
        <rFont val="Univers"/>
        <family val="2"/>
      </rPr>
      <t xml:space="preserve"> </t>
    </r>
    <r>
      <rPr>
        <b/>
        <sz val="12"/>
        <rFont val="Univers"/>
      </rPr>
      <t>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</si>
  <si>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</si>
  <si>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Univers"/>
      </rPr>
      <t xml:space="preserve"> OTHER PULP</t>
    </r>
  </si>
  <si>
    <r>
      <t xml:space="preserve">PULPA DE OTRAS FIBRAS DISTINTAS DE LA MADERA / </t>
    </r>
    <r>
      <rPr>
        <b/>
        <sz val="12"/>
        <rFont val="Univers"/>
      </rPr>
      <t>PULP FROM FIBRE OTHER THAN WOOD</t>
    </r>
  </si>
  <si>
    <r>
      <t>PAPEL CON FINES GRÁFICOS/</t>
    </r>
    <r>
      <rPr>
        <b/>
        <sz val="12"/>
        <rFont val="Univers"/>
      </rPr>
      <t xml:space="preserve"> GRAPHIC PAPERS</t>
    </r>
  </si>
  <si>
    <r>
      <t xml:space="preserve">PAPEL PARA PERIÓDICOS / </t>
    </r>
    <r>
      <rPr>
        <b/>
        <sz val="12"/>
        <color theme="1"/>
        <rFont val="Univers"/>
      </rPr>
      <t>NEWSPRINT</t>
    </r>
  </si>
  <si>
    <r>
      <t xml:space="preserve">PAPEL SIN ESTUCO Y SIN MADERA / </t>
    </r>
    <r>
      <rPr>
        <b/>
        <sz val="12"/>
        <color theme="1"/>
        <rFont val="Univers"/>
      </rPr>
      <t>UNCOATED WOODFREE</t>
    </r>
  </si>
  <si>
    <r>
      <t>MATERIAL DE ENVASAR /</t>
    </r>
    <r>
      <rPr>
        <b/>
        <sz val="12"/>
        <color theme="1"/>
        <rFont val="Univers"/>
      </rPr>
      <t>CASE PAPER</t>
    </r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</si>
  <si>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CARTONBOARD</t>
    </r>
  </si>
  <si>
    <r>
      <t xml:space="preserve">PAPEL PARA ENVOLVER / </t>
    </r>
    <r>
      <rPr>
        <b/>
        <sz val="12"/>
        <color theme="1"/>
        <rFont val="Univers"/>
      </rPr>
      <t>WRAPPING PAPERS</t>
    </r>
  </si>
  <si>
    <r>
      <t xml:space="preserve">OTROS PAPELES, UTILIZADOS PRINCIPALMENTE PARA EMPAQUETAR / </t>
    </r>
    <r>
      <rPr>
        <b/>
        <sz val="12"/>
        <color theme="1"/>
        <rFont val="Univers"/>
      </rPr>
      <t xml:space="preserve">OTHER PAPERSMAINLY FOR PACKAGING </t>
    </r>
  </si>
  <si>
    <r>
      <t xml:space="preserve">OTROS PAPELES Y CARTONES N.E.P. / </t>
    </r>
    <r>
      <rPr>
        <b/>
        <sz val="12"/>
        <rFont val="Univers"/>
      </rPr>
      <t>OTHER PAPER AND PAPERBOARD N.E.S. (NOT ELSEWHERE SPECIFIED)</t>
    </r>
  </si>
  <si>
    <r>
      <t xml:space="preserve">TROZAS DE ASERRÍO, TABLEROS Y  CHAPAS / </t>
    </r>
    <r>
      <rPr>
        <b/>
        <sz val="12"/>
        <color theme="1"/>
        <rFont val="Univers"/>
      </rPr>
      <t>SAWLOGS AND VENEER LOGS</t>
    </r>
  </si>
  <si>
    <r>
      <t xml:space="preserve">MADERA PARA PULPA (ROLLIZA Y CHIPS) / </t>
    </r>
    <r>
      <rPr>
        <b/>
        <sz val="12"/>
        <color theme="1"/>
        <rFont val="Univers"/>
      </rPr>
      <t>PULPWOOD, ROUND AND SPLIT</t>
    </r>
  </si>
  <si>
    <r>
      <t xml:space="preserve">ASTILLAS, PARTÍCULAS (CHIPS) Y RESIDUOS DE MADERA / </t>
    </r>
    <r>
      <rPr>
        <b/>
        <sz val="12"/>
        <rFont val="Calibri"/>
        <family val="2"/>
        <scheme val="minor"/>
      </rPr>
      <t>WOOD CHIPS, PARTICLES AND RESIDUES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</si>
  <si>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</si>
  <si>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r>
      <t xml:space="preserve">TABLEROS DE FIBRA / </t>
    </r>
    <r>
      <rPr>
        <b/>
        <sz val="12"/>
        <rFont val="Univers"/>
      </rPr>
      <t>FIBREBOARDS</t>
    </r>
  </si>
  <si>
    <r>
      <t xml:space="preserve">AISLANTES / </t>
    </r>
    <r>
      <rPr>
        <b/>
        <sz val="12"/>
        <rFont val="Calibri"/>
        <family val="2"/>
        <scheme val="minor"/>
      </rPr>
      <t xml:space="preserve">INSULATION, OTHER FIBREBOARD </t>
    </r>
  </si>
  <si>
    <r>
      <t xml:space="preserve">AL SULFATO SIN BLANQUEAR / </t>
    </r>
    <r>
      <rPr>
        <b/>
        <sz val="12"/>
        <rFont val="Univers"/>
      </rPr>
      <t>SULPHATE UNBLEACHED PULP</t>
    </r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</si>
  <si>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Univers"/>
      </rPr>
      <t>SULPHATE BLEACHED PULP</t>
    </r>
  </si>
  <si>
    <r>
      <t>AL SULFITO SIN BLANQUEAR /</t>
    </r>
    <r>
      <rPr>
        <b/>
        <sz val="12"/>
        <color theme="1"/>
        <rFont val="Univers"/>
      </rPr>
      <t xml:space="preserve"> SULPHITE</t>
    </r>
    <r>
      <rPr>
        <b/>
        <sz val="12"/>
        <color theme="6" tint="-0.499984740745262"/>
        <rFont val="Univers"/>
      </rPr>
      <t xml:space="preserve"> </t>
    </r>
    <r>
      <rPr>
        <b/>
        <sz val="12"/>
        <rFont val="Univers"/>
      </rPr>
      <t>UNBLEACHED PULP</t>
    </r>
  </si>
  <si>
    <r>
      <t xml:space="preserve">AL SULFITO BLANQUEADA / </t>
    </r>
    <r>
      <rPr>
        <b/>
        <sz val="12"/>
        <color theme="1"/>
        <rFont val="Univers"/>
      </rPr>
      <t>SULPHITE BLEACHED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</si>
  <si>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FROM FIBRES OTHER THAN WOOD</t>
    </r>
  </si>
  <si>
    <r>
      <t xml:space="preserve">PAPEL SIN ESTUCO Y SIN MADERA / </t>
    </r>
    <r>
      <rPr>
        <b/>
        <sz val="12"/>
        <color theme="1"/>
        <rFont val="Univers"/>
      </rPr>
      <t>UNCOATED WOODFREE PAPER</t>
    </r>
  </si>
  <si>
    <r>
      <t xml:space="preserve">MATERIAL DE ENVASAR / </t>
    </r>
    <r>
      <rPr>
        <b/>
        <sz val="12"/>
        <color theme="1"/>
        <rFont val="Univers"/>
      </rPr>
      <t>CASE MATERIALS</t>
    </r>
  </si>
  <si>
    <r>
      <t xml:space="preserve">OTROS PAPELES, UTILIZADOS PRINCIPALMENTE PARA EMPAQUETAR / </t>
    </r>
    <r>
      <rPr>
        <b/>
        <sz val="12"/>
        <color theme="1"/>
        <rFont val="Univers"/>
      </rPr>
      <t>OTHER PAPERS MAINLY FOR PACKAGING</t>
    </r>
  </si>
  <si>
    <r>
      <t xml:space="preserve">CARBÓN VEGETAL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CHARCOAL</t>
    </r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</si>
  <si>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</si>
  <si>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</si>
  <si>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>PARTICLE BOARD, ORIENTED STRANDBOARD (OSB) AND SIMILAR BOARD</t>
    </r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</si>
  <si>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</si>
  <si>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</si>
  <si>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</si>
  <si>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>QUÍMICA /</t>
    </r>
    <r>
      <rPr>
        <b/>
        <sz val="12"/>
        <rFont val="Calibri"/>
        <family val="2"/>
        <scheme val="minor"/>
      </rPr>
      <t>CHEMICAL WOOD PULP</t>
    </r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</si>
  <si>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</si>
  <si>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r>
      <t>AL SULFITO SIN BLANQUEAR /</t>
    </r>
    <r>
      <rPr>
        <b/>
        <sz val="12"/>
        <color theme="1"/>
        <rFont val="Calibri"/>
        <family val="2"/>
        <scheme val="minor"/>
      </rPr>
      <t xml:space="preserve"> SULPHITE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</si>
  <si>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 xml:space="preserve">SULPHITE BLEACHED PULP </t>
    </r>
  </si>
  <si>
    <r>
      <t>OTROS TIPOS DE PULPA /</t>
    </r>
    <r>
      <rPr>
        <b/>
        <sz val="12"/>
        <rFont val="Calibri"/>
        <family val="2"/>
        <scheme val="minor"/>
      </rPr>
      <t xml:space="preserve"> OTHER PULP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</si>
  <si>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PAPERS</t>
    </r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</si>
  <si>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</si>
  <si>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r>
      <t xml:space="preserve">PAPEL SIN ESTUCO Y SIN MADERA / </t>
    </r>
    <r>
      <rPr>
        <b/>
        <sz val="12"/>
        <color theme="1"/>
        <rFont val="Calibri"/>
        <family val="2"/>
        <scheme val="minor"/>
      </rPr>
      <t>UNCOATED WOODFREE PAPER</t>
    </r>
  </si>
  <si>
    <r>
      <t>MATERIAL DE ENVASAR /</t>
    </r>
    <r>
      <rPr>
        <b/>
        <sz val="12"/>
        <color theme="1"/>
        <rFont val="Calibri"/>
        <family val="2"/>
        <scheme val="minor"/>
      </rPr>
      <t>CASE PAPER</t>
    </r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</si>
  <si>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CARTONBOARD</t>
    </r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</si>
  <si>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PAPERS</t>
    </r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</si>
  <si>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</si>
  <si>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</si>
  <si>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r>
      <t>DUROS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</si>
  <si>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r>
      <t>MDF (DENSIDAD MEDIA)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</si>
  <si>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r>
      <t xml:space="preserve">AISLANTES / </t>
    </r>
    <r>
      <rPr>
        <b/>
        <sz val="12"/>
        <rFont val="Calibri"/>
        <family val="2"/>
        <scheme val="minor"/>
      </rPr>
      <t>INSULATION, OTHER FIBREBOARD</t>
    </r>
  </si>
  <si>
    <r>
      <t xml:space="preserve">QUÍMICA / </t>
    </r>
    <r>
      <rPr>
        <b/>
        <sz val="12"/>
        <rFont val="Calibri"/>
        <family val="2"/>
        <scheme val="minor"/>
      </rPr>
      <t>CHEMICAL WOOD PULP</t>
    </r>
  </si>
  <si>
    <r>
      <t xml:space="preserve">AL SULFATO SIN BLANQUEAR / </t>
    </r>
    <r>
      <rPr>
        <b/>
        <sz val="12"/>
        <color theme="1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>SULPHATE UNBLEACHED PULP</t>
    </r>
  </si>
  <si>
    <r>
      <t>AL SULFITO SIN BLANQUEAR /</t>
    </r>
    <r>
      <rPr>
        <b/>
        <sz val="12"/>
        <color theme="6" tint="-0.499984740745262"/>
        <rFont val="Univers"/>
      </rPr>
      <t xml:space="preserve"> </t>
    </r>
    <r>
      <rPr>
        <b/>
        <sz val="12"/>
        <color theme="1"/>
        <rFont val="Calibri"/>
        <family val="2"/>
        <scheme val="minor"/>
      </rPr>
      <t xml:space="preserve">SULPHITE UNBLEACHED PULP </t>
    </r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</si>
  <si>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</si>
  <si>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>OTROS TIPOS DE PULPA /</t>
    </r>
    <r>
      <rPr>
        <b/>
        <sz val="12"/>
        <rFont val="Univers"/>
      </rPr>
      <t xml:space="preserve"> </t>
    </r>
    <r>
      <rPr>
        <b/>
        <sz val="12"/>
        <rFont val="Calibri"/>
        <family val="2"/>
        <scheme val="minor"/>
      </rPr>
      <t>OTHER PULP</t>
    </r>
  </si>
  <si>
    <r>
      <t>PAPEL MECÁNICO SIN ESTUCO /</t>
    </r>
    <r>
      <rPr>
        <b/>
        <sz val="12"/>
        <color theme="1"/>
        <rFont val="Calibri"/>
        <family val="2"/>
        <scheme val="minor"/>
      </rPr>
      <t xml:space="preserve"> UNCOATED MECHANICAL PAPER  </t>
    </r>
  </si>
  <si>
    <r>
      <t>PAPEL SIN ESTUCO Y SIN MADERA /</t>
    </r>
    <r>
      <rPr>
        <b/>
        <sz val="12"/>
        <color theme="1"/>
        <rFont val="Calibri"/>
        <family val="2"/>
        <scheme val="minor"/>
      </rPr>
      <t xml:space="preserve"> UNCOATED WOODFREE PAPER</t>
    </r>
  </si>
  <si>
    <r>
      <t xml:space="preserve">PAPEL ESTUCADO / </t>
    </r>
    <r>
      <rPr>
        <b/>
        <sz val="12"/>
        <color theme="1"/>
        <rFont val="Calibri"/>
        <family val="2"/>
        <scheme val="minor"/>
      </rPr>
      <t>COATED PAPER</t>
    </r>
  </si>
  <si>
    <r>
      <t>MATERIAL DE ENVASAR /</t>
    </r>
    <r>
      <rPr>
        <b/>
        <sz val="12"/>
        <color theme="1"/>
        <rFont val="Calibri"/>
        <family val="2"/>
        <scheme val="minor"/>
      </rPr>
      <t xml:space="preserve"> CASE PAPER</t>
    </r>
  </si>
  <si>
    <r>
      <t xml:space="preserve">Madera aserrada elaborada / </t>
    </r>
    <r>
      <rPr>
        <b/>
        <sz val="12"/>
        <color theme="1"/>
        <rFont val="Calibri"/>
        <family val="2"/>
        <scheme val="minor"/>
      </rPr>
      <t>Further processed sawnwood</t>
    </r>
  </si>
  <si>
    <r>
      <t xml:space="preserve">Material de madera para empaquetar y embalar / </t>
    </r>
    <r>
      <rPr>
        <b/>
        <sz val="12"/>
        <rFont val="Calibri"/>
        <family val="2"/>
        <scheme val="minor"/>
      </rPr>
      <t>Wooden wrapping and packaging material</t>
    </r>
  </si>
  <si>
    <r>
      <t xml:space="preserve">CARTÓN PARA CAJAS PLEGABLES / </t>
    </r>
    <r>
      <rPr>
        <b/>
        <sz val="12"/>
        <color theme="1"/>
        <rFont val="Calibri"/>
        <family val="2"/>
        <scheme val="minor"/>
      </rPr>
      <t>CARTONBOARD</t>
    </r>
  </si>
  <si>
    <r>
      <t xml:space="preserve">TABLEROS DE MADERA Y HOJAS DE CHAPA / </t>
    </r>
    <r>
      <rPr>
        <b/>
        <sz val="12"/>
        <rFont val="Calibri"/>
        <family val="2"/>
        <scheme val="minor"/>
      </rPr>
      <t>WOOD-BASED PANELS AND VENEERS</t>
    </r>
  </si>
  <si>
    <r>
      <t xml:space="preserve">PELLETS DE MADERA / </t>
    </r>
    <r>
      <rPr>
        <b/>
        <sz val="12"/>
        <rFont val="Calibri"/>
        <family val="2"/>
        <scheme val="minor"/>
      </rPr>
      <t xml:space="preserve">WOOD PELLETS </t>
    </r>
  </si>
  <si>
    <r>
      <t xml:space="preserve">RESIDUOS DE MADERA / </t>
    </r>
    <r>
      <rPr>
        <b/>
        <sz val="12"/>
        <rFont val="Calibri"/>
        <family val="2"/>
        <scheme val="minor"/>
      </rPr>
      <t>WOOD RESIDUES</t>
    </r>
  </si>
  <si>
    <r>
      <t xml:space="preserve">TABLEROS DE MADERA Y HOJAS DE CHAPA / </t>
    </r>
    <r>
      <rPr>
        <b/>
        <sz val="12"/>
        <rFont val="Univers"/>
      </rPr>
      <t>WOOD-BASED PANELS AND VENEERS</t>
    </r>
  </si>
  <si>
    <r>
      <t xml:space="preserve">PELLETS DE MADERA / </t>
    </r>
    <r>
      <rPr>
        <b/>
        <sz val="12"/>
        <rFont val="Univers"/>
      </rPr>
      <t xml:space="preserve">WOOD PELLETS </t>
    </r>
  </si>
  <si>
    <r>
      <t xml:space="preserve">RESIDUOS DE MADERA / </t>
    </r>
    <r>
      <rPr>
        <b/>
        <sz val="12"/>
        <rFont val="Univers"/>
      </rPr>
      <t xml:space="preserve">WOOD RESIDUES </t>
    </r>
  </si>
  <si>
    <r>
      <t xml:space="preserve">TABLEROS DE MADERA Y HOJAS DE CHAPA / </t>
    </r>
    <r>
      <rPr>
        <b/>
        <sz val="12"/>
        <rFont val="Calibri"/>
        <family val="2"/>
        <scheme val="minor"/>
      </rPr>
      <t xml:space="preserve">WOOD-BASED </t>
    </r>
    <r>
      <rPr>
        <b/>
        <sz val="12"/>
        <rFont val="Univers"/>
      </rPr>
      <t>PANELS AND VENEERS</t>
    </r>
  </si>
  <si>
    <r>
      <t xml:space="preserve">PELLETS DE MADERA / WOOD </t>
    </r>
    <r>
      <rPr>
        <b/>
        <sz val="12"/>
        <rFont val="Univers"/>
      </rPr>
      <t xml:space="preserve">PELLETS </t>
    </r>
  </si>
  <si>
    <r>
      <t xml:space="preserve">RESIDUOS DE MADERA / </t>
    </r>
    <r>
      <rPr>
        <b/>
        <sz val="12"/>
        <rFont val="Univers"/>
      </rPr>
      <t>WOOD RESIDUES</t>
    </r>
  </si>
  <si>
    <r>
      <t xml:space="preserve">Obras y piezas de carpintería de madera para construcciones / </t>
    </r>
    <r>
      <rPr>
        <b/>
        <sz val="12"/>
        <color theme="1"/>
        <rFont val="Calibri"/>
        <family val="2"/>
        <scheme val="minor"/>
      </rPr>
      <t>Builder's joinery and carpentery of wood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</si>
  <si>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paper and pulp products </t>
    </r>
  </si>
  <si>
    <r>
      <t xml:space="preserve">Papel carbón y papel para copia / </t>
    </r>
    <r>
      <rPr>
        <b/>
        <sz val="12"/>
        <color theme="1"/>
        <rFont val="Calibri"/>
        <family val="2"/>
        <scheme val="minor"/>
      </rPr>
      <t>Carbon paper and copying paper</t>
    </r>
  </si>
  <si>
    <r>
      <t xml:space="preserve">Cajas de cartón, etc.  Para envasar / </t>
    </r>
    <r>
      <rPr>
        <b/>
        <sz val="12"/>
        <rFont val="Calibri"/>
        <family val="2"/>
        <scheme val="minor"/>
      </rPr>
      <t>Packing carton, boxes, etc. To pack</t>
    </r>
  </si>
  <si>
    <r>
      <t xml:space="preserve">Otros artículos de papel y cartón / </t>
    </r>
    <r>
      <rPr>
        <b/>
        <sz val="12"/>
        <color theme="1"/>
        <rFont val="Calibri"/>
        <family val="2"/>
        <scheme val="minor"/>
      </rPr>
      <t>Other articles of paper and paperboard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</si>
  <si>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 (WOOD IN THE ROUGH)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</si>
  <si>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(INCLUDING WOOD FOR CHARCOAL)</t>
    </r>
  </si>
  <si>
    <r>
      <t xml:space="preserve">CARBÓN VEGETAL / WOOD </t>
    </r>
    <r>
      <rPr>
        <b/>
        <sz val="12"/>
        <rFont val="Calibri"/>
        <family val="2"/>
        <scheme val="minor"/>
      </rPr>
      <t>CHARCOAL</t>
    </r>
  </si>
  <si>
    <r>
      <t xml:space="preserve">RESIDUOS DE MADERA / </t>
    </r>
    <r>
      <rPr>
        <b/>
        <sz val="12"/>
        <rFont val="Calibri"/>
        <family val="2"/>
        <scheme val="minor"/>
      </rPr>
      <t>WOOD RESIDUE</t>
    </r>
  </si>
  <si>
    <r>
      <t xml:space="preserve">TABLEROS DE MADERA Y HOJAS DE CHAPA / WOOD-BASED </t>
    </r>
    <r>
      <rPr>
        <b/>
        <sz val="12"/>
        <rFont val="Calibri"/>
        <family val="2"/>
        <scheme val="minor"/>
      </rPr>
      <t>PANELS AND VENEERS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</si>
  <si>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ORIENTED STRANDBOARD (OSB) 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</si>
  <si>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inc. ORIENTED STRANDBOARD (OSB) </t>
    </r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</si>
  <si>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</si>
  <si>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</si>
  <si>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</t>
    </r>
    <r>
      <rPr>
        <b/>
        <sz val="12"/>
        <color theme="6" tint="-0.499984740745262"/>
        <rFont val="Calibri"/>
        <family val="2"/>
        <scheme val="minor"/>
      </rPr>
      <t xml:space="preserve"> 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</si>
  <si>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INCLUDING WOOD FOR CHARCOAL</t>
    </r>
  </si>
  <si>
    <r>
      <t xml:space="preserve">PELLETS DE MADERA / </t>
    </r>
    <r>
      <rPr>
        <b/>
        <sz val="12"/>
        <rFont val="Calibri"/>
        <family val="2"/>
        <scheme val="minor"/>
      </rPr>
      <t>WOOD</t>
    </r>
    <r>
      <rPr>
        <b/>
        <sz val="12"/>
        <color theme="3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PELLETS 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</si>
  <si>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INC. ORIENTED STRANDBOARD (OSB) </t>
    </r>
  </si>
  <si>
    <r>
      <t xml:space="preserve"> TPO / </t>
    </r>
    <r>
      <rPr>
        <b/>
        <sz val="12"/>
        <rFont val="Calibri"/>
        <family val="2"/>
        <scheme val="minor"/>
      </rPr>
      <t xml:space="preserve">ORIENTED STRANDBOARD (OSB) </t>
    </r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</si>
  <si>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 UNBLEACHED PULP</t>
    </r>
  </si>
  <si>
    <r>
      <t>AL SULFITO SIN BLANQUEAR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SULPHITE UNBLEACHED PULP</t>
    </r>
  </si>
  <si>
    <r>
      <t xml:space="preserve">MATERIAL DE ENVASAR / </t>
    </r>
    <r>
      <rPr>
        <b/>
        <sz val="12"/>
        <rFont val="Calibri"/>
        <family val="2"/>
        <scheme val="minor"/>
      </rPr>
      <t>CASE PAPER</t>
    </r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</si>
  <si>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 xml:space="preserve">WRAPPING PAPER </t>
    </r>
  </si>
  <si>
    <r>
      <t xml:space="preserve">Material de madera para empaquetar y embalar / </t>
    </r>
    <r>
      <rPr>
        <b/>
        <sz val="12"/>
        <rFont val="Calibri"/>
        <family val="2"/>
        <scheme val="minor"/>
      </rPr>
      <t>Wooden wrapping and packing material</t>
    </r>
  </si>
  <si>
    <r>
      <t xml:space="preserve">Obras y piezas de carpintería de madera para construcciones / </t>
    </r>
    <r>
      <rPr>
        <b/>
        <sz val="12"/>
        <rFont val="Calibri"/>
        <family val="2"/>
        <scheme val="minor"/>
      </rPr>
      <t xml:space="preserve">Builder's joinery and carpentery of wood 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</si>
  <si>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papers and pulp products</t>
    </r>
  </si>
  <si>
    <r>
      <t xml:space="preserve">Papel carbón y papel para copia / </t>
    </r>
    <r>
      <rPr>
        <b/>
        <sz val="12"/>
        <color theme="1"/>
        <rFont val="Calibri"/>
        <family val="2"/>
        <scheme val="minor"/>
      </rPr>
      <t>Csrbon paper and copying paper</t>
    </r>
  </si>
  <si>
    <r>
      <t>AL SULFITO SIN BLANQUEAR /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</si>
  <si>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MATERIAL DE ENVASAR / </t>
    </r>
    <r>
      <rPr>
        <b/>
        <sz val="12"/>
        <color theme="1"/>
        <rFont val="Calibri"/>
        <family val="2"/>
        <scheme val="minor"/>
      </rPr>
      <t>CASE PAPER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</si>
  <si>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PARTICLEBOARDS INC. ORIENTED STRANDBOARD (OSB) </t>
    </r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</si>
  <si>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 xml:space="preserve">OTHER PAPER, MAINLY FOR PACKAGING </t>
    </r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</si>
  <si>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PAPER, MAINLY FOR PACKAGING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</si>
  <si>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paper and pulp products</t>
    </r>
  </si>
  <si>
    <r>
      <t>Papel carbón y papel para copia / Carbon</t>
    </r>
    <r>
      <rPr>
        <b/>
        <sz val="12"/>
        <color theme="1"/>
        <rFont val="Calibri"/>
        <family val="2"/>
        <scheme val="minor"/>
      </rPr>
      <t xml:space="preserve"> paper and copying paper</t>
    </r>
  </si>
  <si>
    <r>
      <t xml:space="preserve">Cajas de cartón, etc.  Para envasar / </t>
    </r>
    <r>
      <rPr>
        <b/>
        <sz val="12"/>
        <color theme="1"/>
        <rFont val="Calibri"/>
        <family val="2"/>
        <scheme val="minor"/>
      </rPr>
      <t>Cartonboard, boxes, etc. To pack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</si>
  <si>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FIBRES OTHER THAN WOOD</t>
    </r>
  </si>
  <si>
    <r>
      <t xml:space="preserve">MATERIAL DE ENVASAR / </t>
    </r>
    <r>
      <rPr>
        <b/>
        <sz val="12"/>
        <rFont val="Calibri"/>
        <family val="2"/>
        <scheme val="minor"/>
      </rPr>
      <t>CASE</t>
    </r>
    <r>
      <rPr>
        <b/>
        <sz val="12"/>
        <color theme="1"/>
        <rFont val="Calibri"/>
        <family val="2"/>
        <scheme val="minor"/>
      </rPr>
      <t xml:space="preserve"> PAPER</t>
    </r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</si>
  <si>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PAPERS, MAINLY FOR PACKAGING</t>
    </r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</si>
  <si>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 xml:space="preserve">OTHER PAPERS, MAINLY FOR PACKAGING </t>
    </r>
  </si>
  <si>
    <r>
      <t>SOLUBLE /</t>
    </r>
    <r>
      <rPr>
        <b/>
        <sz val="12"/>
        <rFont val="Calibri"/>
        <family val="2"/>
        <scheme val="minor"/>
      </rPr>
      <t xml:space="preserve"> DISSOLVING GRADES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</si>
  <si>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OF FIBRES OTHER THAN WOOD</t>
    </r>
  </si>
  <si>
    <r>
      <t>Productos especiales de papel y pulpa estucados y recubiertos /</t>
    </r>
    <r>
      <rPr>
        <b/>
        <sz val="12"/>
        <color theme="1"/>
        <rFont val="Calibri"/>
        <family val="2"/>
        <scheme val="minor"/>
      </rPr>
      <t xml:space="preserve"> Special coated  papers and pulp products</t>
    </r>
  </si>
  <si>
    <r>
      <t xml:space="preserve">Cajas de cartón, etc.  Para envasar / </t>
    </r>
    <r>
      <rPr>
        <b/>
        <sz val="12"/>
        <color theme="1"/>
        <rFont val="Calibri"/>
        <family val="2"/>
        <scheme val="minor"/>
      </rPr>
      <t>cartonboard, boxes, etc. To pack</t>
    </r>
  </si>
  <si>
    <r>
      <t xml:space="preserve">CARBÓN VEGETAL / </t>
    </r>
    <r>
      <rPr>
        <b/>
        <sz val="12"/>
        <rFont val="Calibri"/>
        <family val="2"/>
        <scheme val="minor"/>
      </rPr>
      <t>WOOD CHARCOAL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</si>
  <si>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>PARTICLEBOARDS INC. ORIENTED STRANDBOARD (OSB)</t>
    </r>
  </si>
  <si>
    <r>
      <t xml:space="preserve">AL SULFITO BLANQUEADA /  </t>
    </r>
    <r>
      <rPr>
        <b/>
        <sz val="12"/>
        <color theme="1"/>
        <rFont val="Calibri"/>
        <family val="2"/>
        <scheme val="minor"/>
      </rPr>
      <t>SULPHITE BLEACHED PULP</t>
    </r>
  </si>
  <si>
    <r>
      <t>PAPEL PARA ENVOLVER /</t>
    </r>
    <r>
      <rPr>
        <b/>
        <sz val="12"/>
        <rFont val="Calibri"/>
        <family val="2"/>
        <scheme val="minor"/>
      </rPr>
      <t>WRAPPING</t>
    </r>
    <r>
      <rPr>
        <b/>
        <sz val="12"/>
        <color theme="1"/>
        <rFont val="Calibri"/>
        <family val="2"/>
        <scheme val="minor"/>
      </rPr>
      <t xml:space="preserve"> PAPER 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</si>
  <si>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>PULP OF FIBRE OTHER THAN WOOD</t>
    </r>
  </si>
  <si>
    <r>
      <t>MATERIAL DE ENVASAR /</t>
    </r>
    <r>
      <rPr>
        <b/>
        <sz val="12"/>
        <rFont val="Calibri"/>
        <family val="2"/>
        <scheme val="minor"/>
      </rPr>
      <t xml:space="preserve"> CASE</t>
    </r>
    <r>
      <rPr>
        <b/>
        <sz val="12"/>
        <color theme="1"/>
        <rFont val="Calibri"/>
        <family val="2"/>
        <scheme val="minor"/>
      </rPr>
      <t xml:space="preserve"> PAPER</t>
    </r>
  </si>
  <si>
    <t>ASTILLAS, PARTÍCULAS (CHIPS)</t>
  </si>
  <si>
    <t>Destino</t>
  </si>
  <si>
    <t>Miles de m3</t>
  </si>
  <si>
    <t>Madera para pulpa (rolliza y chips)</t>
  </si>
  <si>
    <t xml:space="preserve">Combustible de madera, incluida la madera para producir carbón </t>
  </si>
  <si>
    <t>Trozas de aserrío y para chapas</t>
  </si>
  <si>
    <t>Otra madera en rollo industrial</t>
  </si>
  <si>
    <r>
      <t>ASTILLAS Y PARTÍCULAS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</si>
  <si>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MADERA ASERRADA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</si>
  <si>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MADERA ASERRADA CONÍFERAS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</si>
  <si>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MADERA ASERRADA NO CONÍFERAS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>)</t>
    </r>
  </si>
  <si>
    <r>
      <t>TABLEROS DE MADERA TERCIADA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</si>
  <si>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TABLEROS MDF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</si>
  <si>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ROLLOS PARA PULPA (ZONA FRANCA URUGUAY)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 </t>
    </r>
  </si>
  <si>
    <r>
      <t>Precio corriente FOB (U$S/m</t>
    </r>
    <r>
      <rPr>
        <b/>
        <vertAlign val="superscript"/>
        <sz val="12"/>
        <color theme="3"/>
        <rFont val="Calibri"/>
        <family val="2"/>
        <scheme val="minor"/>
      </rPr>
      <t>3</t>
    </r>
    <r>
      <rPr>
        <b/>
        <sz val="12"/>
        <color theme="3"/>
        <rFont val="Calibri"/>
        <family val="2"/>
        <scheme val="minor"/>
      </rPr>
      <t xml:space="preserve">) </t>
    </r>
  </si>
  <si>
    <r>
      <t>IMPORTACIONES (VALOR FOB Miles de U$S CON ZONAS FRANCAS) /</t>
    </r>
    <r>
      <rPr>
        <b/>
        <sz val="18"/>
        <color theme="1"/>
        <rFont val="Calibri"/>
        <family val="2"/>
        <scheme val="minor"/>
      </rPr>
      <t xml:space="preserve"> IMPORTS (WITH FREE ZONES VOLUME VALUE U$S Mill. FOB)</t>
    </r>
  </si>
  <si>
    <r>
      <t xml:space="preserve">EXPORTACIONES (VOLUMEN SIN ZONA FRANCA) / </t>
    </r>
    <r>
      <rPr>
        <b/>
        <sz val="18"/>
        <color theme="1"/>
        <rFont val="Calibri"/>
        <family val="2"/>
        <scheme val="minor"/>
      </rPr>
      <t>EXPORTS ( WITHOUT FREE ZONES VOLUME)</t>
    </r>
  </si>
  <si>
    <r>
      <t xml:space="preserve">RESIDUOS DE MADERA / </t>
    </r>
    <r>
      <rPr>
        <b/>
        <sz val="12"/>
        <rFont val="Calibri"/>
        <family val="2"/>
        <scheme val="minor"/>
      </rPr>
      <t xml:space="preserve">WOOD RESIDUES </t>
    </r>
  </si>
  <si>
    <r>
      <t xml:space="preserve">AL SULFATO SIN BLANQUEAR / </t>
    </r>
    <r>
      <rPr>
        <b/>
        <sz val="12"/>
        <rFont val="Calibri"/>
        <family val="2"/>
        <scheme val="minor"/>
      </rPr>
      <t>SULPHATE UNBLEACHED PULP</t>
    </r>
  </si>
  <si>
    <t>TABLEROS DE MADERA Y HOJAS DE CHAPA / WOOD-BASED PANELS AND VENEERS</t>
  </si>
  <si>
    <t>PAPEL RECUPERADO / RECOVERED PAPER</t>
  </si>
  <si>
    <r>
      <t xml:space="preserve">EXPORTACIONES (VALOR FOB Miles de U$S  CON ZONAS FRANCAS) / </t>
    </r>
    <r>
      <rPr>
        <b/>
        <sz val="14"/>
        <color theme="1"/>
        <rFont val="Calibri"/>
        <family val="2"/>
        <scheme val="minor"/>
      </rPr>
      <t>EXPORTS (WITH FREE ZONES VOLUME VALUE U$S Mil. FOB)</t>
    </r>
  </si>
  <si>
    <t>1000 ton (hasta 2010 en m3 inclusive, despues en ton Y solo NC)</t>
  </si>
  <si>
    <r>
      <t>Mezcla Coniferas y No coniferas /</t>
    </r>
    <r>
      <rPr>
        <b/>
        <sz val="12"/>
        <rFont val="Calibri"/>
        <family val="2"/>
        <scheme val="minor"/>
      </rPr>
      <t xml:space="preserve"> Coniferous and Non Coniferous Mixture</t>
    </r>
  </si>
  <si>
    <t xml:space="preserve">Total </t>
  </si>
  <si>
    <t xml:space="preserve"> m3</t>
  </si>
  <si>
    <t>Graficas 2022</t>
  </si>
  <si>
    <t>coniferas</t>
  </si>
  <si>
    <t xml:space="preserve">NC </t>
  </si>
  <si>
    <t>Mezcla</t>
  </si>
  <si>
    <t>tableros estimaciones</t>
  </si>
  <si>
    <t>IMPO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</si>
</sst>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0.0_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Univers"/>
      <family val="2"/>
    </font>
    <font>
      <sz val="10"/>
      <name val="Univers"/>
      <family val="2"/>
    </font>
    <font>
      <sz val="10"/>
      <color indexed="9"/>
      <name val="Univers"/>
      <family val="2"/>
    </font>
    <font>
      <sz val="8"/>
      <name val="Arial"/>
      <family val="2"/>
    </font>
    <font>
      <b/>
      <sz val="11"/>
      <name val="Univers"/>
      <family val="2"/>
    </font>
    <font>
      <b/>
      <sz val="12"/>
      <name val="Univers"/>
      <family val="2"/>
    </font>
    <font>
      <sz val="11"/>
      <name val="Univers"/>
      <family val="2"/>
    </font>
    <font>
      <vertAlign val="superscript"/>
      <sz val="11"/>
      <name val="Univers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48"/>
      <name val="Arial"/>
      <family val="2"/>
    </font>
    <font>
      <sz val="10"/>
      <name val="Arial"/>
      <family val="2"/>
    </font>
    <font>
      <b/>
      <sz val="14"/>
      <name val="Univers"/>
      <family val="2"/>
    </font>
    <font>
      <b/>
      <sz val="18"/>
      <name val="Univers"/>
      <family val="2"/>
    </font>
    <font>
      <vertAlign val="superscript"/>
      <sz val="12"/>
      <name val="Univers"/>
      <family val="2"/>
    </font>
    <font>
      <sz val="18"/>
      <name val="Univers"/>
      <family val="2"/>
    </font>
    <font>
      <u/>
      <sz val="10"/>
      <name val="Arial"/>
      <family val="2"/>
    </font>
    <font>
      <vertAlign val="superscript"/>
      <sz val="11"/>
      <color indexed="8"/>
      <name val="Univers"/>
      <family val="2"/>
    </font>
    <font>
      <vertAlign val="superscript"/>
      <sz val="10"/>
      <name val="Univers"/>
      <family val="2"/>
    </font>
    <font>
      <b/>
      <sz val="12"/>
      <color theme="0"/>
      <name val="Univers"/>
      <family val="2"/>
    </font>
    <font>
      <b/>
      <sz val="10"/>
      <color rgb="FF0070C0"/>
      <name val="Arial"/>
      <family val="2"/>
    </font>
    <font>
      <b/>
      <sz val="10"/>
      <color rgb="FF0070C0"/>
      <name val="Univers"/>
      <family val="2"/>
    </font>
    <font>
      <b/>
      <sz val="12"/>
      <color theme="1"/>
      <name val="Univers"/>
      <family val="2"/>
    </font>
    <font>
      <b/>
      <sz val="10"/>
      <color theme="1"/>
      <name val="Univers"/>
      <family val="2"/>
    </font>
    <font>
      <b/>
      <sz val="10"/>
      <color theme="6" tint="-0.499984740745262"/>
      <name val="Arial"/>
      <family val="2"/>
    </font>
    <font>
      <b/>
      <sz val="10"/>
      <color theme="6" tint="-0.499984740745262"/>
      <name val="Univers"/>
      <family val="2"/>
    </font>
    <font>
      <b/>
      <i/>
      <u/>
      <sz val="28"/>
      <color theme="6" tint="-0.499984740745262"/>
      <name val="Calibri"/>
      <family val="2"/>
    </font>
    <font>
      <i/>
      <u/>
      <sz val="28"/>
      <color theme="6" tint="-0.499984740745262"/>
      <name val="Univers"/>
      <family val="2"/>
    </font>
    <font>
      <i/>
      <u/>
      <sz val="28"/>
      <color theme="6" tint="-0.499984740745262"/>
      <name val="Arial"/>
      <family val="2"/>
    </font>
    <font>
      <b/>
      <i/>
      <sz val="12"/>
      <color rgb="FFC00000"/>
      <name val="Arial"/>
      <family val="2"/>
    </font>
    <font>
      <b/>
      <sz val="12"/>
      <color theme="1"/>
      <name val="Univers"/>
    </font>
    <font>
      <b/>
      <i/>
      <u/>
      <sz val="18"/>
      <color theme="6" tint="-0.499984740745262"/>
      <name val="Calibri"/>
      <family val="2"/>
    </font>
    <font>
      <b/>
      <i/>
      <sz val="18"/>
      <color theme="6" tint="-0.499984740745262"/>
      <name val="Calibri"/>
      <family val="2"/>
    </font>
    <font>
      <b/>
      <sz val="24"/>
      <color theme="6" tint="-0.249977111117893"/>
      <name val="Arial"/>
      <family val="2"/>
    </font>
    <font>
      <b/>
      <sz val="14"/>
      <color theme="6" tint="-0.499984740745262"/>
      <name val="Arial"/>
      <family val="2"/>
    </font>
    <font>
      <b/>
      <sz val="16"/>
      <color theme="6" tint="-0.49998474074526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2"/>
      <name val="Calibri "/>
    </font>
    <font>
      <b/>
      <sz val="12"/>
      <name val="Calibri "/>
    </font>
    <font>
      <b/>
      <sz val="10"/>
      <name val="Calibri "/>
    </font>
    <font>
      <vertAlign val="superscript"/>
      <sz val="10"/>
      <name val="Calibri "/>
    </font>
    <font>
      <sz val="10"/>
      <color theme="1"/>
      <name val="Calibri"/>
      <family val="2"/>
      <scheme val="minor"/>
    </font>
    <font>
      <b/>
      <vertAlign val="superscript"/>
      <sz val="10"/>
      <name val="Calibri 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2"/>
      <color rgb="FFFF0000"/>
      <name val="Univers"/>
      <family val="2"/>
    </font>
    <font>
      <sz val="11"/>
      <color indexed="39"/>
      <name val="Univers"/>
      <family val="2"/>
    </font>
    <font>
      <b/>
      <sz val="10"/>
      <color rgb="FFFF0000"/>
      <name val="Univers"/>
      <family val="2"/>
    </font>
    <font>
      <b/>
      <sz val="10"/>
      <color rgb="FFFF0000"/>
      <name val="Arial"/>
      <family val="2"/>
    </font>
    <font>
      <b/>
      <sz val="13"/>
      <color theme="3"/>
      <name val="Calibri"/>
      <family val="2"/>
      <scheme val="minor"/>
    </font>
    <font>
      <b/>
      <i/>
      <sz val="12"/>
      <color theme="0"/>
      <name val="Univers"/>
    </font>
    <font>
      <b/>
      <sz val="13"/>
      <color theme="0"/>
      <name val="Calibri"/>
      <family val="2"/>
      <scheme val="minor"/>
    </font>
    <font>
      <b/>
      <sz val="12"/>
      <name val="Univers"/>
    </font>
    <font>
      <b/>
      <sz val="18"/>
      <color theme="1"/>
      <name val="Calibri"/>
      <family val="2"/>
      <scheme val="minor"/>
    </font>
    <font>
      <b/>
      <sz val="12"/>
      <color theme="0"/>
      <name val="Univers"/>
    </font>
    <font>
      <b/>
      <i/>
      <sz val="18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6" tint="-0.499984740745262"/>
      <name val="Univers"/>
    </font>
    <font>
      <b/>
      <sz val="12"/>
      <color theme="6" tint="-0.499984740745262"/>
      <name val="Univers"/>
      <family val="2"/>
    </font>
    <font>
      <b/>
      <sz val="12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Univers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24"/>
      <color theme="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FF"/>
      <name val="Calibri"/>
      <family val="2"/>
    </font>
    <font>
      <sz val="10"/>
      <name val="Calibri"/>
      <family val="2"/>
    </font>
    <font>
      <b/>
      <sz val="13"/>
      <color theme="1"/>
      <name val="Calibri"/>
      <family val="2"/>
      <scheme val="minor"/>
    </font>
    <font>
      <b/>
      <vertAlign val="superscript"/>
      <sz val="12"/>
      <color theme="3"/>
      <name val="Calibri"/>
      <family val="2"/>
      <scheme val="minor"/>
    </font>
    <font>
      <sz val="10"/>
      <color rgb="FFFF0000"/>
      <name val="Arial"/>
      <family val="2"/>
    </font>
    <font>
      <b/>
      <sz val="13"/>
      <color rgb="FFFF0000"/>
      <name val="Calibri"/>
      <family val="2"/>
      <scheme val="minor"/>
    </font>
    <font>
      <sz val="10"/>
      <name val="Arial"/>
      <family val="2"/>
    </font>
    <font>
      <sz val="12"/>
      <name val="Courier"/>
    </font>
    <font>
      <sz val="11"/>
      <color theme="0"/>
      <name val="Calibri"/>
      <family val="2"/>
      <scheme val="minor"/>
    </font>
    <font>
      <sz val="18"/>
      <name val="Arial"/>
      <family val="2"/>
    </font>
    <font>
      <sz val="16"/>
      <name val="Arial"/>
      <family val="2"/>
    </font>
    <font>
      <sz val="8"/>
      <name val="Calibri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C9B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93A299"/>
      </left>
      <right/>
      <top style="medium">
        <color rgb="FF93A299"/>
      </top>
      <bottom style="medium">
        <color rgb="FF93A299"/>
      </bottom>
      <diagonal/>
    </border>
    <border>
      <left/>
      <right style="medium">
        <color rgb="FF93A299"/>
      </right>
      <top style="medium">
        <color rgb="FF93A299"/>
      </top>
      <bottom style="medium">
        <color rgb="FF93A299"/>
      </bottom>
      <diagonal/>
    </border>
    <border>
      <left style="medium">
        <color rgb="FF93A299"/>
      </left>
      <right/>
      <top/>
      <bottom style="medium">
        <color rgb="FF93A299"/>
      </bottom>
      <diagonal/>
    </border>
    <border>
      <left/>
      <right style="medium">
        <color rgb="FF93A299"/>
      </right>
      <top/>
      <bottom style="medium">
        <color rgb="FF93A299"/>
      </bottom>
      <diagonal/>
    </border>
    <border>
      <left style="medium">
        <color rgb="FF93A299"/>
      </left>
      <right/>
      <top/>
      <bottom/>
      <diagonal/>
    </border>
    <border>
      <left/>
      <right style="medium">
        <color rgb="FF93A299"/>
      </right>
      <top/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</borders>
  <cellStyleXfs count="12">
    <xf numFmtId="0" fontId="0" fillId="0" borderId="0"/>
    <xf numFmtId="165" fontId="39" fillId="0" borderId="0" applyFont="0" applyFill="0" applyBorder="0" applyAlignment="0" applyProtection="0"/>
    <xf numFmtId="0" fontId="14" fillId="0" borderId="0"/>
    <xf numFmtId="0" fontId="56" fillId="0" borderId="4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167" fontId="88" fillId="0" borderId="0"/>
    <xf numFmtId="0" fontId="14" fillId="0" borderId="0"/>
    <xf numFmtId="0" fontId="87" fillId="0" borderId="0"/>
    <xf numFmtId="43" fontId="14" fillId="0" borderId="0" applyFont="0" applyFill="0" applyBorder="0" applyAlignment="0" applyProtection="0"/>
    <xf numFmtId="0" fontId="89" fillId="11" borderId="0" applyNumberFormat="0" applyBorder="0" applyAlignment="0" applyProtection="0"/>
    <xf numFmtId="0" fontId="1" fillId="12" borderId="0" applyNumberFormat="0" applyBorder="0" applyAlignment="0" applyProtection="0"/>
  </cellStyleXfs>
  <cellXfs count="229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Protection="1">
      <protection locked="0"/>
    </xf>
    <xf numFmtId="0" fontId="11" fillId="0" borderId="0" xfId="0" applyFont="1"/>
    <xf numFmtId="0" fontId="4" fillId="0" borderId="0" xfId="0" applyFont="1" applyFill="1" applyBorder="1" applyAlignment="1" applyProtection="1">
      <protection locked="0"/>
    </xf>
    <xf numFmtId="0" fontId="14" fillId="0" borderId="0" xfId="0" applyFont="1"/>
    <xf numFmtId="1" fontId="0" fillId="0" borderId="0" xfId="0" applyNumberFormat="1"/>
    <xf numFmtId="0" fontId="22" fillId="2" borderId="2" xfId="0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indent="3"/>
    </xf>
    <xf numFmtId="0" fontId="9" fillId="0" borderId="0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3" fontId="23" fillId="0" borderId="0" xfId="0" applyNumberFormat="1" applyFont="1" applyBorder="1" applyAlignment="1" applyProtection="1">
      <alignment horizontal="right" vertical="center"/>
      <protection locked="0"/>
    </xf>
    <xf numFmtId="3" fontId="24" fillId="0" borderId="0" xfId="0" applyNumberFormat="1" applyFont="1" applyBorder="1" applyAlignment="1" applyProtection="1">
      <alignment horizontal="right" vertical="center"/>
      <protection locked="0"/>
    </xf>
    <xf numFmtId="0" fontId="22" fillId="2" borderId="2" xfId="0" applyFont="1" applyFill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vertical="center"/>
      <protection locked="0"/>
    </xf>
    <xf numFmtId="0" fontId="29" fillId="0" borderId="0" xfId="0" applyFont="1" applyAlignment="1">
      <alignment horizontal="left" vertical="center" indent="4"/>
    </xf>
    <xf numFmtId="0" fontId="30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1" fillId="0" borderId="0" xfId="0" applyFont="1"/>
    <xf numFmtId="0" fontId="19" fillId="0" borderId="0" xfId="0" applyFont="1"/>
    <xf numFmtId="0" fontId="32" fillId="0" borderId="0" xfId="0" applyFont="1" applyBorder="1" applyAlignment="1">
      <alignment vertical="center"/>
    </xf>
    <xf numFmtId="0" fontId="22" fillId="2" borderId="3" xfId="0" applyFont="1" applyFill="1" applyBorder="1" applyAlignment="1" applyProtection="1">
      <alignment horizontal="center" vertical="center" shrinkToFit="1"/>
    </xf>
    <xf numFmtId="0" fontId="11" fillId="0" borderId="0" xfId="0" applyFont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164" fontId="41" fillId="0" borderId="0" xfId="2" applyNumberFormat="1" applyFont="1" applyBorder="1" applyAlignment="1">
      <alignment horizontal="center"/>
    </xf>
    <xf numFmtId="0" fontId="42" fillId="0" borderId="0" xfId="2" applyFont="1" applyFill="1" applyBorder="1" applyAlignment="1" applyProtection="1">
      <alignment horizontal="center" vertical="center"/>
    </xf>
    <xf numFmtId="0" fontId="0" fillId="0" borderId="0" xfId="0" applyFill="1" applyBorder="1"/>
    <xf numFmtId="3" fontId="0" fillId="0" borderId="0" xfId="0" applyNumberFormat="1" applyFill="1" applyBorder="1"/>
    <xf numFmtId="1" fontId="0" fillId="0" borderId="0" xfId="0" applyNumberFormat="1" applyFill="1" applyBorder="1"/>
    <xf numFmtId="0" fontId="45" fillId="0" borderId="0" xfId="0" applyFont="1"/>
    <xf numFmtId="0" fontId="45" fillId="0" borderId="0" xfId="0" applyFont="1" applyBorder="1"/>
    <xf numFmtId="1" fontId="28" fillId="0" borderId="0" xfId="0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right" vertical="center"/>
    </xf>
    <xf numFmtId="0" fontId="43" fillId="0" borderId="1" xfId="2" applyFont="1" applyFill="1" applyBorder="1" applyAlignment="1" applyProtection="1">
      <alignment horizontal="center" vertical="center"/>
    </xf>
    <xf numFmtId="1" fontId="26" fillId="0" borderId="0" xfId="0" applyNumberFormat="1" applyFont="1" applyFill="1" applyBorder="1" applyAlignment="1" applyProtection="1">
      <alignment horizontal="right" vertical="center"/>
      <protection locked="0"/>
    </xf>
    <xf numFmtId="0" fontId="45" fillId="0" borderId="0" xfId="0" applyFont="1" applyFill="1" applyBorder="1"/>
    <xf numFmtId="164" fontId="43" fillId="0" borderId="0" xfId="2" applyNumberFormat="1" applyFont="1" applyFill="1" applyBorder="1" applyAlignment="1" applyProtection="1">
      <alignment horizontal="center" vertical="center"/>
      <protection locked="0"/>
    </xf>
    <xf numFmtId="164" fontId="43" fillId="0" borderId="0" xfId="2" applyNumberFormat="1" applyFont="1" applyFill="1" applyBorder="1" applyAlignment="1">
      <alignment horizontal="center" vertical="center"/>
    </xf>
    <xf numFmtId="0" fontId="43" fillId="0" borderId="0" xfId="2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47" fillId="0" borderId="0" xfId="0" applyNumberFormat="1" applyFont="1"/>
    <xf numFmtId="0" fontId="48" fillId="0" borderId="0" xfId="0" applyFont="1"/>
    <xf numFmtId="0" fontId="51" fillId="0" borderId="0" xfId="0" applyFont="1"/>
    <xf numFmtId="1" fontId="9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2" fillId="0" borderId="0" xfId="0" applyFont="1" applyFill="1" applyBorder="1" applyAlignment="1" applyProtection="1">
      <alignment horizontal="center" vertical="center"/>
    </xf>
    <xf numFmtId="1" fontId="25" fillId="0" borderId="0" xfId="0" applyNumberFormat="1" applyFont="1" applyFill="1" applyBorder="1" applyAlignment="1" applyProtection="1">
      <alignment horizontal="right" vertical="center"/>
      <protection locked="0"/>
    </xf>
    <xf numFmtId="1" fontId="27" fillId="0" borderId="0" xfId="0" applyNumberFormat="1" applyFont="1" applyFill="1" applyBorder="1" applyAlignment="1">
      <alignment horizontal="right" vertical="center"/>
    </xf>
    <xf numFmtId="3" fontId="53" fillId="0" borderId="0" xfId="1" applyNumberFormat="1" applyFont="1" applyFill="1" applyBorder="1" applyAlignment="1" applyProtection="1">
      <alignment vertical="center"/>
      <protection locked="0"/>
    </xf>
    <xf numFmtId="1" fontId="53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</xf>
    <xf numFmtId="1" fontId="55" fillId="0" borderId="0" xfId="0" applyNumberFormat="1" applyFont="1" applyFill="1" applyBorder="1" applyAlignment="1">
      <alignment horizontal="right" vertical="center"/>
    </xf>
    <xf numFmtId="1" fontId="52" fillId="0" borderId="0" xfId="0" applyNumberFormat="1" applyFont="1" applyFill="1" applyBorder="1" applyAlignment="1" applyProtection="1">
      <alignment horizontal="right" vertical="center"/>
      <protection locked="0"/>
    </xf>
    <xf numFmtId="1" fontId="54" fillId="0" borderId="0" xfId="0" applyNumberFormat="1" applyFont="1" applyFill="1" applyBorder="1" applyAlignment="1" applyProtection="1">
      <alignment horizontal="right" vertical="center"/>
      <protection locked="0"/>
    </xf>
    <xf numFmtId="0" fontId="51" fillId="0" borderId="0" xfId="0" applyFont="1" applyFill="1"/>
    <xf numFmtId="0" fontId="7" fillId="0" borderId="0" xfId="0" quotePrefix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6" fillId="0" borderId="4" xfId="3" applyFill="1" applyAlignment="1" applyProtection="1">
      <alignment vertical="center"/>
    </xf>
    <xf numFmtId="0" fontId="56" fillId="0" borderId="4" xfId="3" applyFill="1" applyAlignment="1" applyProtection="1">
      <alignment horizontal="center" vertical="center"/>
    </xf>
    <xf numFmtId="1" fontId="56" fillId="0" borderId="4" xfId="3" applyNumberFormat="1" applyAlignment="1">
      <alignment horizontal="right"/>
    </xf>
    <xf numFmtId="1" fontId="56" fillId="0" borderId="4" xfId="3" applyNumberFormat="1" applyFill="1" applyAlignment="1" applyProtection="1">
      <alignment horizontal="right" vertical="center"/>
      <protection locked="0"/>
    </xf>
    <xf numFmtId="1" fontId="56" fillId="0" borderId="4" xfId="3" applyNumberFormat="1" applyFill="1" applyAlignment="1">
      <alignment horizontal="right"/>
    </xf>
    <xf numFmtId="49" fontId="56" fillId="0" borderId="4" xfId="3" applyNumberFormat="1" applyFill="1" applyAlignment="1" applyProtection="1">
      <alignment horizontal="left" vertical="center"/>
    </xf>
    <xf numFmtId="1" fontId="56" fillId="0" borderId="4" xfId="3" applyNumberFormat="1" applyFill="1" applyAlignment="1" applyProtection="1">
      <alignment horizontal="right" vertical="center"/>
    </xf>
    <xf numFmtId="1" fontId="56" fillId="3" borderId="4" xfId="3" applyNumberFormat="1" applyFill="1" applyAlignment="1" applyProtection="1">
      <alignment horizontal="right" vertical="center"/>
      <protection locked="0"/>
    </xf>
    <xf numFmtId="0" fontId="58" fillId="2" borderId="4" xfId="3" applyFont="1" applyFill="1" applyAlignment="1" applyProtection="1">
      <alignment horizontal="center" vertical="center"/>
    </xf>
    <xf numFmtId="0" fontId="58" fillId="2" borderId="4" xfId="3" applyFont="1" applyFill="1" applyAlignment="1" applyProtection="1">
      <alignment horizontal="center" vertical="center" shrinkToFit="1"/>
    </xf>
    <xf numFmtId="49" fontId="56" fillId="6" borderId="4" xfId="3" applyNumberFormat="1" applyFill="1" applyAlignment="1" applyProtection="1">
      <alignment horizontal="left" vertical="center"/>
    </xf>
    <xf numFmtId="0" fontId="56" fillId="6" borderId="4" xfId="3" applyFill="1" applyAlignment="1" applyProtection="1">
      <alignment horizontal="center" vertical="center"/>
    </xf>
    <xf numFmtId="1" fontId="56" fillId="6" borderId="4" xfId="3" applyNumberFormat="1" applyFill="1" applyAlignment="1" applyProtection="1">
      <alignment horizontal="right" vertical="center"/>
      <protection locked="0"/>
    </xf>
    <xf numFmtId="1" fontId="56" fillId="6" borderId="4" xfId="3" applyNumberFormat="1" applyFill="1" applyAlignment="1" applyProtection="1">
      <alignment horizontal="right" vertical="center"/>
    </xf>
    <xf numFmtId="0" fontId="56" fillId="4" borderId="4" xfId="3" quotePrefix="1" applyFill="1" applyAlignment="1" applyProtection="1">
      <alignment horizontal="center" vertical="center"/>
    </xf>
    <xf numFmtId="49" fontId="56" fillId="5" borderId="4" xfId="3" applyNumberFormat="1" applyFill="1" applyAlignment="1" applyProtection="1">
      <alignment horizontal="left" vertical="center"/>
      <protection locked="0"/>
    </xf>
    <xf numFmtId="0" fontId="56" fillId="5" borderId="4" xfId="3" quotePrefix="1" applyFill="1" applyAlignment="1" applyProtection="1">
      <alignment horizontal="center" vertical="center"/>
    </xf>
    <xf numFmtId="1" fontId="56" fillId="5" borderId="4" xfId="3" quotePrefix="1" applyNumberFormat="1" applyFill="1" applyAlignment="1" applyProtection="1">
      <alignment horizontal="right" vertical="center"/>
    </xf>
    <xf numFmtId="0" fontId="61" fillId="2" borderId="2" xfId="0" applyFont="1" applyFill="1" applyBorder="1" applyAlignment="1" applyProtection="1">
      <alignment horizontal="center" vertical="center"/>
    </xf>
    <xf numFmtId="0" fontId="61" fillId="2" borderId="2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/>
    </xf>
    <xf numFmtId="49" fontId="56" fillId="6" borderId="4" xfId="3" applyNumberFormat="1" applyFill="1" applyAlignment="1" applyProtection="1">
      <alignment horizontal="right" vertical="center"/>
    </xf>
    <xf numFmtId="0" fontId="56" fillId="6" borderId="4" xfId="3" applyFont="1" applyFill="1" applyAlignment="1" applyProtection="1">
      <alignment horizontal="right" vertical="center"/>
    </xf>
    <xf numFmtId="1" fontId="56" fillId="6" borderId="4" xfId="3" applyNumberFormat="1" applyFont="1" applyFill="1" applyAlignment="1" applyProtection="1">
      <alignment horizontal="right" vertical="center"/>
    </xf>
    <xf numFmtId="0" fontId="65" fillId="6" borderId="4" xfId="3" applyFont="1" applyFill="1" applyAlignment="1" applyProtection="1">
      <alignment horizontal="left" vertical="center"/>
    </xf>
    <xf numFmtId="0" fontId="65" fillId="5" borderId="4" xfId="3" applyFont="1" applyFill="1" applyAlignment="1" applyProtection="1">
      <alignment horizontal="left" vertical="center" wrapText="1" indent="1"/>
    </xf>
    <xf numFmtId="0" fontId="65" fillId="0" borderId="4" xfId="3" applyFont="1" applyAlignment="1" applyProtection="1">
      <alignment horizontal="left" vertical="center" indent="2"/>
    </xf>
    <xf numFmtId="0" fontId="65" fillId="0" borderId="4" xfId="3" applyFont="1" applyFill="1" applyAlignment="1" applyProtection="1">
      <alignment horizontal="left" vertical="center" indent="2"/>
    </xf>
    <xf numFmtId="0" fontId="65" fillId="0" borderId="4" xfId="3" applyFont="1" applyFill="1" applyAlignment="1" applyProtection="1">
      <alignment horizontal="left" vertical="center" wrapText="1" indent="2"/>
    </xf>
    <xf numFmtId="0" fontId="70" fillId="0" borderId="0" xfId="0" applyFont="1" applyBorder="1" applyAlignment="1" applyProtection="1">
      <alignment horizontal="left" vertical="center" indent="3"/>
    </xf>
    <xf numFmtId="0" fontId="70" fillId="0" borderId="0" xfId="0" applyFont="1" applyBorder="1" applyAlignment="1" applyProtection="1">
      <alignment vertical="center"/>
    </xf>
    <xf numFmtId="1" fontId="65" fillId="6" borderId="4" xfId="3" applyNumberFormat="1" applyFont="1" applyFill="1" applyAlignment="1" applyProtection="1">
      <alignment horizontal="right" vertical="center"/>
    </xf>
    <xf numFmtId="1" fontId="65" fillId="5" borderId="4" xfId="3" applyNumberFormat="1" applyFont="1" applyFill="1" applyAlignment="1" applyProtection="1">
      <alignment horizontal="right" vertical="center" wrapText="1"/>
    </xf>
    <xf numFmtId="1" fontId="65" fillId="0" borderId="4" xfId="3" applyNumberFormat="1" applyFont="1" applyAlignment="1" applyProtection="1">
      <alignment horizontal="right" vertical="center"/>
    </xf>
    <xf numFmtId="1" fontId="56" fillId="5" borderId="4" xfId="3" applyNumberFormat="1" applyFill="1" applyAlignment="1" applyProtection="1">
      <alignment horizontal="right" vertical="center"/>
      <protection locked="0"/>
    </xf>
    <xf numFmtId="1" fontId="65" fillId="0" borderId="4" xfId="3" applyNumberFormat="1" applyFont="1" applyFill="1" applyAlignment="1" applyProtection="1">
      <alignment horizontal="right" vertical="center"/>
    </xf>
    <xf numFmtId="49" fontId="71" fillId="7" borderId="4" xfId="3" applyNumberFormat="1" applyFont="1" applyFill="1" applyAlignment="1" applyProtection="1">
      <alignment horizontal="left" vertical="center"/>
    </xf>
    <xf numFmtId="0" fontId="71" fillId="7" borderId="4" xfId="3" applyFont="1" applyFill="1" applyAlignment="1" applyProtection="1">
      <alignment horizontal="left" vertical="center"/>
    </xf>
    <xf numFmtId="1" fontId="71" fillId="7" borderId="4" xfId="3" applyNumberFormat="1" applyFont="1" applyFill="1" applyAlignment="1" applyProtection="1">
      <alignment horizontal="right" vertical="center"/>
    </xf>
    <xf numFmtId="1" fontId="71" fillId="7" borderId="4" xfId="3" applyNumberFormat="1" applyFont="1" applyFill="1" applyAlignment="1" applyProtection="1">
      <alignment horizontal="left" vertical="center"/>
    </xf>
    <xf numFmtId="0" fontId="56" fillId="6" borderId="4" xfId="3" applyFill="1" applyAlignment="1" applyProtection="1">
      <alignment horizontal="right" vertical="center"/>
    </xf>
    <xf numFmtId="0" fontId="16" fillId="4" borderId="0" xfId="0" applyFont="1" applyFill="1" applyBorder="1" applyAlignment="1" applyProtection="1">
      <alignment horizontal="center" vertical="center"/>
    </xf>
    <xf numFmtId="0" fontId="65" fillId="6" borderId="4" xfId="3" applyFont="1" applyFill="1" applyAlignment="1" applyProtection="1">
      <alignment horizontal="center" vertical="center"/>
    </xf>
    <xf numFmtId="0" fontId="65" fillId="4" borderId="4" xfId="3" applyFont="1" applyFill="1" applyAlignment="1" applyProtection="1">
      <alignment horizontal="center" vertical="center"/>
    </xf>
    <xf numFmtId="1" fontId="56" fillId="4" borderId="4" xfId="3" applyNumberFormat="1" applyFill="1" applyAlignment="1">
      <alignment horizontal="right"/>
    </xf>
    <xf numFmtId="0" fontId="65" fillId="3" borderId="4" xfId="3" applyFont="1" applyFill="1" applyAlignment="1" applyProtection="1">
      <alignment horizontal="center" vertical="center"/>
    </xf>
    <xf numFmtId="1" fontId="56" fillId="3" borderId="4" xfId="3" applyNumberFormat="1" applyFill="1" applyAlignment="1">
      <alignment horizontal="right"/>
    </xf>
    <xf numFmtId="0" fontId="56" fillId="0" borderId="4" xfId="3" applyFill="1" applyAlignment="1" applyProtection="1">
      <alignment horizontal="left" vertical="center"/>
    </xf>
    <xf numFmtId="1" fontId="65" fillId="5" borderId="4" xfId="3" applyNumberFormat="1" applyFont="1" applyFill="1" applyAlignment="1" applyProtection="1">
      <alignment horizontal="right" vertical="center"/>
      <protection locked="0"/>
    </xf>
    <xf numFmtId="0" fontId="77" fillId="7" borderId="4" xfId="3" applyFont="1" applyFill="1" applyAlignment="1" applyProtection="1">
      <alignment horizontal="left" vertical="center"/>
    </xf>
    <xf numFmtId="1" fontId="77" fillId="7" borderId="4" xfId="3" applyNumberFormat="1" applyFont="1" applyFill="1" applyAlignment="1" applyProtection="1">
      <alignment horizontal="right" vertical="center"/>
    </xf>
    <xf numFmtId="0" fontId="78" fillId="6" borderId="4" xfId="3" applyFont="1" applyFill="1" applyAlignment="1" applyProtection="1">
      <alignment horizontal="left" vertical="center"/>
    </xf>
    <xf numFmtId="1" fontId="78" fillId="6" borderId="4" xfId="3" applyNumberFormat="1" applyFont="1" applyFill="1" applyAlignment="1" applyProtection="1">
      <alignment horizontal="right" vertical="center"/>
    </xf>
    <xf numFmtId="0" fontId="65" fillId="3" borderId="4" xfId="3" applyFont="1" applyFill="1" applyAlignment="1" applyProtection="1">
      <alignment horizontal="left" vertical="center"/>
    </xf>
    <xf numFmtId="1" fontId="65" fillId="3" borderId="4" xfId="3" applyNumberFormat="1" applyFont="1" applyFill="1" applyAlignment="1" applyProtection="1">
      <alignment horizontal="right" vertical="center"/>
    </xf>
    <xf numFmtId="1" fontId="56" fillId="5" borderId="4" xfId="3" applyNumberFormat="1" applyFont="1" applyFill="1" applyAlignment="1" applyProtection="1">
      <alignment horizontal="right" vertical="center"/>
      <protection locked="0"/>
    </xf>
    <xf numFmtId="1" fontId="56" fillId="0" borderId="4" xfId="3" applyNumberFormat="1" applyFont="1" applyFill="1" applyAlignment="1" applyProtection="1">
      <alignment horizontal="right" vertical="center"/>
    </xf>
    <xf numFmtId="0" fontId="58" fillId="2" borderId="2" xfId="0" applyFont="1" applyFill="1" applyBorder="1" applyAlignment="1" applyProtection="1">
      <alignment horizontal="center" vertical="center"/>
    </xf>
    <xf numFmtId="1" fontId="56" fillId="5" borderId="4" xfId="3" applyNumberFormat="1" applyFont="1" applyFill="1" applyAlignment="1" applyProtection="1">
      <alignment horizontal="right" vertical="center" wrapText="1"/>
    </xf>
    <xf numFmtId="1" fontId="56" fillId="0" borderId="4" xfId="3" applyNumberFormat="1" applyFont="1" applyAlignment="1" applyProtection="1">
      <alignment horizontal="right" vertical="center"/>
    </xf>
    <xf numFmtId="1" fontId="56" fillId="0" borderId="4" xfId="3" applyNumberFormat="1" applyFont="1" applyFill="1" applyAlignment="1" applyProtection="1">
      <alignment horizontal="right" vertical="center" wrapText="1"/>
    </xf>
    <xf numFmtId="1" fontId="58" fillId="7" borderId="4" xfId="3" applyNumberFormat="1" applyFont="1" applyFill="1" applyAlignment="1" applyProtection="1">
      <alignment horizontal="right" vertical="center"/>
    </xf>
    <xf numFmtId="166" fontId="65" fillId="3" borderId="4" xfId="3" applyNumberFormat="1" applyFont="1" applyFill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center" vertical="center" shrinkToFit="1"/>
    </xf>
    <xf numFmtId="1" fontId="0" fillId="0" borderId="0" xfId="0" applyNumberFormat="1" applyFill="1"/>
    <xf numFmtId="0" fontId="0" fillId="0" borderId="0" xfId="0" applyBorder="1" applyAlignment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  <protection locked="0"/>
    </xf>
    <xf numFmtId="0" fontId="61" fillId="2" borderId="2" xfId="0" applyFont="1" applyFill="1" applyBorder="1" applyAlignment="1" applyProtection="1">
      <alignment horizontal="center" vertical="center" wrapText="1"/>
    </xf>
    <xf numFmtId="49" fontId="56" fillId="6" borderId="4" xfId="3" applyNumberFormat="1" applyFill="1" applyAlignment="1" applyProtection="1">
      <alignment horizontal="left" vertical="center" wrapText="1"/>
    </xf>
    <xf numFmtId="0" fontId="65" fillId="6" borderId="4" xfId="3" applyFont="1" applyFill="1" applyAlignment="1" applyProtection="1">
      <alignment horizontal="left" vertical="center" wrapText="1"/>
    </xf>
    <xf numFmtId="49" fontId="56" fillId="5" borderId="4" xfId="3" applyNumberFormat="1" applyFill="1" applyAlignment="1" applyProtection="1">
      <alignment horizontal="left" vertical="center" wrapText="1"/>
      <protection locked="0"/>
    </xf>
    <xf numFmtId="0" fontId="65" fillId="5" borderId="4" xfId="3" applyFont="1" applyFill="1" applyAlignment="1" applyProtection="1">
      <alignment horizontal="left" vertical="center" wrapText="1"/>
    </xf>
    <xf numFmtId="0" fontId="56" fillId="0" borderId="4" xfId="3" applyFill="1" applyAlignment="1" applyProtection="1">
      <alignment vertical="center" wrapText="1"/>
    </xf>
    <xf numFmtId="0" fontId="65" fillId="0" borderId="4" xfId="3" applyFont="1" applyAlignment="1" applyProtection="1">
      <alignment horizontal="left" vertical="center" wrapText="1"/>
    </xf>
    <xf numFmtId="49" fontId="56" fillId="4" borderId="4" xfId="3" applyNumberFormat="1" applyFill="1" applyAlignment="1" applyProtection="1">
      <alignment horizontal="left" vertical="center" wrapText="1"/>
      <protection locked="0"/>
    </xf>
    <xf numFmtId="0" fontId="65" fillId="4" borderId="4" xfId="3" applyFont="1" applyFill="1" applyAlignment="1" applyProtection="1">
      <alignment horizontal="left" vertical="center" wrapText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70" fillId="0" borderId="0" xfId="0" applyFont="1" applyBorder="1" applyAlignment="1" applyProtection="1">
      <alignment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49" fontId="56" fillId="0" borderId="4" xfId="3" applyNumberFormat="1" applyFill="1" applyAlignment="1" applyProtection="1">
      <alignment horizontal="left" vertical="center" wrapText="1"/>
    </xf>
    <xf numFmtId="0" fontId="65" fillId="0" borderId="4" xfId="3" quotePrefix="1" applyFont="1" applyAlignment="1" applyProtection="1">
      <alignment horizontal="left" vertical="center" wrapText="1"/>
    </xf>
    <xf numFmtId="0" fontId="65" fillId="0" borderId="4" xfId="3" applyFont="1" applyFill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0" fillId="7" borderId="4" xfId="3" applyFont="1" applyFill="1" applyAlignment="1" applyProtection="1">
      <alignment horizontal="left" vertical="center"/>
    </xf>
    <xf numFmtId="1" fontId="56" fillId="0" borderId="4" xfId="3" applyNumberFormat="1" applyAlignment="1">
      <alignment horizontal="right" vertical="center"/>
    </xf>
    <xf numFmtId="1" fontId="56" fillId="0" borderId="0" xfId="3" applyNumberFormat="1" applyFill="1" applyBorder="1" applyAlignment="1">
      <alignment horizontal="right"/>
    </xf>
    <xf numFmtId="1" fontId="56" fillId="6" borderId="0" xfId="3" applyNumberFormat="1" applyFill="1" applyBorder="1" applyAlignment="1" applyProtection="1">
      <alignment horizontal="right" vertical="center"/>
    </xf>
    <xf numFmtId="1" fontId="56" fillId="8" borderId="4" xfId="3" applyNumberFormat="1" applyFill="1" applyAlignment="1" applyProtection="1">
      <alignment horizontal="right" vertical="center"/>
      <protection locked="0"/>
    </xf>
    <xf numFmtId="1" fontId="56" fillId="8" borderId="4" xfId="3" applyNumberFormat="1" applyFill="1" applyAlignment="1" applyProtection="1">
      <alignment horizontal="right" vertical="center"/>
    </xf>
    <xf numFmtId="0" fontId="65" fillId="6" borderId="4" xfId="3" applyFont="1" applyFill="1" applyAlignment="1" applyProtection="1">
      <alignment horizontal="right" vertical="center" wrapText="1"/>
    </xf>
    <xf numFmtId="0" fontId="81" fillId="9" borderId="5" xfId="0" applyFont="1" applyFill="1" applyBorder="1" applyAlignment="1">
      <alignment horizontal="center" vertical="center"/>
    </xf>
    <xf numFmtId="0" fontId="81" fillId="9" borderId="6" xfId="0" applyFont="1" applyFill="1" applyBorder="1" applyAlignment="1">
      <alignment horizontal="center" vertical="center"/>
    </xf>
    <xf numFmtId="0" fontId="82" fillId="0" borderId="7" xfId="0" applyFont="1" applyBorder="1" applyAlignment="1">
      <alignment vertical="center"/>
    </xf>
    <xf numFmtId="3" fontId="82" fillId="0" borderId="8" xfId="0" applyNumberFormat="1" applyFont="1" applyBorder="1" applyAlignment="1">
      <alignment horizontal="center" vertical="center"/>
    </xf>
    <xf numFmtId="0" fontId="82" fillId="0" borderId="9" xfId="0" applyFont="1" applyBorder="1" applyAlignment="1">
      <alignment vertical="center"/>
    </xf>
    <xf numFmtId="3" fontId="82" fillId="0" borderId="10" xfId="0" applyNumberFormat="1" applyFont="1" applyBorder="1" applyAlignment="1">
      <alignment horizontal="center" vertical="center"/>
    </xf>
    <xf numFmtId="0" fontId="82" fillId="0" borderId="5" xfId="0" applyFont="1" applyBorder="1" applyAlignment="1">
      <alignment vertical="center"/>
    </xf>
    <xf numFmtId="3" fontId="82" fillId="0" borderId="6" xfId="0" applyNumberFormat="1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1" fontId="56" fillId="0" borderId="0" xfId="3" applyNumberFormat="1" applyFill="1" applyBorder="1" applyAlignment="1" applyProtection="1">
      <alignment horizontal="right" vertical="center"/>
      <protection locked="0"/>
    </xf>
    <xf numFmtId="1" fontId="82" fillId="0" borderId="8" xfId="0" applyNumberFormat="1" applyFont="1" applyBorder="1" applyAlignment="1">
      <alignment horizontal="center" vertical="center"/>
    </xf>
    <xf numFmtId="1" fontId="56" fillId="8" borderId="4" xfId="3" quotePrefix="1" applyNumberFormat="1" applyFill="1" applyAlignment="1" applyProtection="1">
      <alignment horizontal="right" vertical="center"/>
    </xf>
    <xf numFmtId="0" fontId="85" fillId="0" borderId="0" xfId="0" applyFont="1"/>
    <xf numFmtId="1" fontId="86" fillId="3" borderId="4" xfId="3" applyNumberFormat="1" applyFont="1" applyFill="1" applyAlignment="1">
      <alignment horizontal="right"/>
    </xf>
    <xf numFmtId="1" fontId="86" fillId="4" borderId="4" xfId="3" applyNumberFormat="1" applyFont="1" applyFill="1" applyAlignment="1">
      <alignment horizontal="right"/>
    </xf>
    <xf numFmtId="1" fontId="56" fillId="10" borderId="4" xfId="3" applyNumberFormat="1" applyFill="1" applyAlignment="1">
      <alignment horizontal="right"/>
    </xf>
    <xf numFmtId="1" fontId="56" fillId="10" borderId="11" xfId="3" applyNumberFormat="1" applyFill="1" applyBorder="1" applyAlignment="1">
      <alignment horizontal="right"/>
    </xf>
    <xf numFmtId="1" fontId="83" fillId="10" borderId="4" xfId="3" applyNumberFormat="1" applyFont="1" applyFill="1" applyAlignment="1">
      <alignment horizontal="right"/>
    </xf>
    <xf numFmtId="1" fontId="56" fillId="0" borderId="4" xfId="3" applyNumberFormat="1" applyFill="1" applyAlignment="1" applyProtection="1">
      <alignment horizontal="right" vertical="center"/>
      <protection locked="0"/>
    </xf>
    <xf numFmtId="0" fontId="82" fillId="0" borderId="9" xfId="0" applyFont="1" applyFill="1" applyBorder="1" applyAlignment="1">
      <alignment vertical="center"/>
    </xf>
    <xf numFmtId="0" fontId="89" fillId="11" borderId="1" xfId="10" applyBorder="1" applyAlignment="1">
      <alignment horizontal="center" vertical="center"/>
    </xf>
    <xf numFmtId="3" fontId="1" fillId="12" borderId="1" xfId="11" applyNumberFormat="1" applyBorder="1" applyAlignment="1">
      <alignment horizontal="right" vertical="center"/>
    </xf>
    <xf numFmtId="3" fontId="89" fillId="11" borderId="1" xfId="10" applyNumberFormat="1" applyBorder="1"/>
    <xf numFmtId="0" fontId="1" fillId="12" borderId="1" xfId="11" applyBorder="1" applyAlignment="1">
      <alignment vertical="center"/>
    </xf>
    <xf numFmtId="0" fontId="89" fillId="11" borderId="1" xfId="10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1" fontId="56" fillId="8" borderId="4" xfId="3" applyNumberFormat="1" applyFill="1" applyAlignment="1">
      <alignment horizontal="right"/>
    </xf>
    <xf numFmtId="1" fontId="56" fillId="8" borderId="4" xfId="3" applyNumberFormat="1" applyFont="1" applyFill="1" applyAlignment="1" applyProtection="1">
      <alignment horizontal="right" vertical="center"/>
    </xf>
    <xf numFmtId="0" fontId="91" fillId="0" borderId="0" xfId="0" applyFont="1"/>
    <xf numFmtId="1" fontId="56" fillId="0" borderId="4" xfId="3" applyNumberFormat="1" applyAlignment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1" fontId="56" fillId="5" borderId="0" xfId="3" applyNumberFormat="1" applyFont="1" applyFill="1" applyBorder="1" applyAlignment="1" applyProtection="1">
      <alignment horizontal="right" vertical="center" wrapText="1"/>
    </xf>
    <xf numFmtId="3" fontId="0" fillId="0" borderId="0" xfId="0" applyNumberFormat="1" applyAlignment="1">
      <alignment horizontal="center" vertical="center"/>
    </xf>
    <xf numFmtId="1" fontId="56" fillId="0" borderId="4" xfId="3" applyNumberFormat="1" applyFill="1" applyAlignment="1" applyProtection="1">
      <alignment horizontal="center" vertical="center"/>
      <protection locked="0"/>
    </xf>
    <xf numFmtId="1" fontId="56" fillId="6" borderId="4" xfId="3" applyNumberFormat="1" applyFill="1" applyAlignment="1" applyProtection="1">
      <alignment horizontal="center" vertical="center"/>
      <protection locked="0"/>
    </xf>
    <xf numFmtId="1" fontId="56" fillId="6" borderId="4" xfId="3" applyNumberFormat="1" applyFill="1" applyAlignment="1" applyProtection="1">
      <alignment horizontal="center" vertical="center"/>
    </xf>
    <xf numFmtId="1" fontId="56" fillId="5" borderId="4" xfId="3" quotePrefix="1" applyNumberFormat="1" applyFill="1" applyAlignment="1" applyProtection="1">
      <alignment horizontal="center" vertical="center"/>
    </xf>
    <xf numFmtId="1" fontId="56" fillId="4" borderId="4" xfId="3" quotePrefix="1" applyNumberFormat="1" applyFill="1" applyAlignment="1" applyProtection="1">
      <alignment horizontal="center" vertical="center"/>
    </xf>
    <xf numFmtId="0" fontId="92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1" fontId="93" fillId="0" borderId="0" xfId="0" applyNumberFormat="1" applyFont="1" applyFill="1"/>
    <xf numFmtId="1" fontId="93" fillId="0" borderId="0" xfId="0" applyNumberFormat="1" applyFont="1"/>
    <xf numFmtId="1" fontId="85" fillId="0" borderId="0" xfId="0" applyNumberFormat="1" applyFont="1"/>
    <xf numFmtId="1" fontId="0" fillId="3" borderId="0" xfId="0" applyNumberFormat="1" applyFill="1"/>
    <xf numFmtId="1" fontId="56" fillId="0" borderId="0" xfId="3" applyNumberFormat="1" applyFill="1" applyBorder="1" applyAlignment="1" applyProtection="1">
      <alignment horizontal="center" vertical="center"/>
      <protection locked="0"/>
    </xf>
    <xf numFmtId="0" fontId="58" fillId="2" borderId="0" xfId="3" applyFont="1" applyFill="1" applyBorder="1" applyAlignment="1" applyProtection="1">
      <alignment horizontal="center" vertical="center"/>
    </xf>
    <xf numFmtId="1" fontId="0" fillId="0" borderId="0" xfId="0" applyNumberFormat="1" applyAlignment="1">
      <alignment horizontal="right"/>
    </xf>
    <xf numFmtId="1" fontId="14" fillId="0" borderId="0" xfId="0" applyNumberFormat="1" applyFont="1" applyAlignment="1">
      <alignment horizontal="right"/>
    </xf>
    <xf numFmtId="1" fontId="71" fillId="0" borderId="0" xfId="3" applyNumberFormat="1" applyFont="1" applyFill="1" applyBorder="1" applyAlignment="1" applyProtection="1">
      <alignment horizontal="right" vertical="center"/>
    </xf>
    <xf numFmtId="3" fontId="65" fillId="3" borderId="4" xfId="3" applyNumberFormat="1" applyFont="1" applyFill="1" applyAlignment="1" applyProtection="1">
      <alignment horizontal="right" vertical="center"/>
    </xf>
    <xf numFmtId="3" fontId="0" fillId="0" borderId="0" xfId="0" applyNumberFormat="1"/>
    <xf numFmtId="2" fontId="65" fillId="3" borderId="4" xfId="3" applyNumberFormat="1" applyFont="1" applyFill="1" applyAlignment="1" applyProtection="1">
      <alignment horizontal="right" vertical="center"/>
    </xf>
    <xf numFmtId="0" fontId="62" fillId="4" borderId="0" xfId="0" applyFont="1" applyFill="1" applyBorder="1" applyAlignment="1" applyProtection="1">
      <alignment horizontal="center" vertical="center"/>
    </xf>
    <xf numFmtId="0" fontId="79" fillId="4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0" fontId="90" fillId="0" borderId="0" xfId="0" applyFont="1" applyAlignment="1">
      <alignment horizontal="center" vertical="center"/>
    </xf>
    <xf numFmtId="0" fontId="63" fillId="4" borderId="0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/>
    </xf>
    <xf numFmtId="0" fontId="73" fillId="4" borderId="0" xfId="0" applyFont="1" applyFill="1" applyBorder="1" applyAlignment="1" applyProtection="1">
      <alignment horizontal="center" vertical="center"/>
    </xf>
  </cellXfs>
  <cellStyles count="12">
    <cellStyle name="20% - Énfasis1" xfId="11" builtinId="30"/>
    <cellStyle name="Énfasis1" xfId="10" builtinId="29"/>
    <cellStyle name="Millares" xfId="1" builtinId="3"/>
    <cellStyle name="Millares 2" xfId="9"/>
    <cellStyle name="Normal" xfId="0" builtinId="0"/>
    <cellStyle name="Normal 11" xfId="7"/>
    <cellStyle name="Normal 2" xfId="2"/>
    <cellStyle name="Normal 3" xfId="4"/>
    <cellStyle name="Normal 4" xfId="6"/>
    <cellStyle name="Normal 5" xfId="8"/>
    <cellStyle name="Porcentaje 2" xfId="5"/>
    <cellStyle name="Título 2" xfId="3" builtinId="17"/>
  </cellStyles>
  <dxfs count="2">
    <dxf>
      <fill>
        <patternFill>
          <bgColor rgb="FFF1E1A3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rgb="FFFDF5CE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9" defaultPivotStyle="PivotStyleLight16">
    <tableStyle name="Estilo de tabla 1" pivot="0" count="2">
      <tableStyleElement type="wholeTabl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UY">
                <a:solidFill>
                  <a:schemeClr val="tx1"/>
                </a:solidFill>
              </a:rPr>
              <a:t>IMPORTACIONES DE PRODUCTOS FORESTALES
 (Rubros principales - Sin Zona Franca)</a:t>
            </a:r>
          </a:p>
        </c:rich>
      </c:tx>
      <c:layout>
        <c:manualLayout>
          <c:xMode val="edge"/>
          <c:yMode val="edge"/>
          <c:x val="0.22628971004092654"/>
          <c:y val="5.7324049771556335E-2"/>
        </c:manualLayout>
      </c:layout>
      <c:overlay val="0"/>
    </c:title>
    <c:autoTitleDeleted val="0"/>
    <c:view3D>
      <c:rotX val="1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900875205156929"/>
          <c:y val="0.17076465716823144"/>
          <c:w val="0.68702958832226857"/>
          <c:h val="0.6263596629368697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'IMPORT VALOR  Sin ZF_NUM &gt;'!$B$13</c:f>
              <c:strCache>
                <c:ptCount val="1"/>
                <c:pt idx="0">
                  <c:v>MADERA EN ROLLO / ROUNDWOOD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&gt;'!$C$13:$Y$13</c:f>
              <c:numCache>
                <c:formatCode>0</c:formatCode>
                <c:ptCount val="23"/>
                <c:pt idx="0">
                  <c:v>226</c:v>
                </c:pt>
                <c:pt idx="1">
                  <c:v>187</c:v>
                </c:pt>
                <c:pt idx="2">
                  <c:v>51</c:v>
                </c:pt>
                <c:pt idx="3">
                  <c:v>116</c:v>
                </c:pt>
                <c:pt idx="4" formatCode="@">
                  <c:v>281</c:v>
                </c:pt>
                <c:pt idx="5" formatCode="General">
                  <c:v>554</c:v>
                </c:pt>
                <c:pt idx="6" formatCode="General">
                  <c:v>663</c:v>
                </c:pt>
                <c:pt idx="7">
                  <c:v>833</c:v>
                </c:pt>
                <c:pt idx="8">
                  <c:v>952</c:v>
                </c:pt>
                <c:pt idx="9">
                  <c:v>679</c:v>
                </c:pt>
                <c:pt idx="10">
                  <c:v>832</c:v>
                </c:pt>
                <c:pt idx="11" formatCode="@">
                  <c:v>1976</c:v>
                </c:pt>
                <c:pt idx="12">
                  <c:v>1661.96271</c:v>
                </c:pt>
                <c:pt idx="13">
                  <c:v>2003</c:v>
                </c:pt>
                <c:pt idx="14">
                  <c:v>1339.6327900000001</c:v>
                </c:pt>
                <c:pt idx="15">
                  <c:v>1531.6086200000002</c:v>
                </c:pt>
                <c:pt idx="16">
                  <c:v>1443.90164</c:v>
                </c:pt>
                <c:pt idx="17">
                  <c:v>1427.4234700000002</c:v>
                </c:pt>
                <c:pt idx="18">
                  <c:v>1002.6670600000002</c:v>
                </c:pt>
                <c:pt idx="19">
                  <c:v>1254.1065400000002</c:v>
                </c:pt>
                <c:pt idx="20">
                  <c:v>1983.0783200000005</c:v>
                </c:pt>
                <c:pt idx="21">
                  <c:v>2144</c:v>
                </c:pt>
                <c:pt idx="22">
                  <c:v>3074.3533899999993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1-4BA6-8587-3EA9EC153743}"/>
            </c:ext>
          </c:extLst>
        </c:ser>
        <c:ser>
          <c:idx val="1"/>
          <c:order val="1"/>
          <c:tx>
            <c:strRef>
              <c:f>'IMPORT VALOR  Sin ZF_NUM &gt;'!$B$19</c:f>
              <c:strCache>
                <c:ptCount val="1"/>
                <c:pt idx="0">
                  <c:v>CARBÓN VEGETAL / WOOD CHARCOAL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&gt;'!$C$19:$Y$19</c:f>
              <c:numCache>
                <c:formatCode>0</c:formatCode>
                <c:ptCount val="23"/>
                <c:pt idx="0">
                  <c:v>151</c:v>
                </c:pt>
                <c:pt idx="1">
                  <c:v>161</c:v>
                </c:pt>
                <c:pt idx="2">
                  <c:v>135</c:v>
                </c:pt>
                <c:pt idx="3">
                  <c:v>68</c:v>
                </c:pt>
                <c:pt idx="4">
                  <c:v>107</c:v>
                </c:pt>
                <c:pt idx="5">
                  <c:v>108</c:v>
                </c:pt>
                <c:pt idx="6">
                  <c:v>116</c:v>
                </c:pt>
                <c:pt idx="7">
                  <c:v>181</c:v>
                </c:pt>
                <c:pt idx="8">
                  <c:v>287</c:v>
                </c:pt>
                <c:pt idx="9">
                  <c:v>402</c:v>
                </c:pt>
                <c:pt idx="10">
                  <c:v>449</c:v>
                </c:pt>
                <c:pt idx="11">
                  <c:v>449</c:v>
                </c:pt>
                <c:pt idx="12">
                  <c:v>672.99018999999998</c:v>
                </c:pt>
                <c:pt idx="13">
                  <c:v>734.34</c:v>
                </c:pt>
                <c:pt idx="14">
                  <c:v>846.95767000000001</c:v>
                </c:pt>
                <c:pt idx="15">
                  <c:v>805.89350000000002</c:v>
                </c:pt>
                <c:pt idx="16">
                  <c:v>1142.3933500000003</c:v>
                </c:pt>
                <c:pt idx="17">
                  <c:v>1136.3392200000001</c:v>
                </c:pt>
                <c:pt idx="18">
                  <c:v>1128.5116600000001</c:v>
                </c:pt>
                <c:pt idx="19">
                  <c:v>1259.62535</c:v>
                </c:pt>
                <c:pt idx="20">
                  <c:v>1115.8244599999998</c:v>
                </c:pt>
                <c:pt idx="21">
                  <c:v>1268</c:v>
                </c:pt>
                <c:pt idx="22">
                  <c:v>1521.9973000000009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1-4BA6-8587-3EA9EC153743}"/>
            </c:ext>
          </c:extLst>
        </c:ser>
        <c:ser>
          <c:idx val="2"/>
          <c:order val="2"/>
          <c:tx>
            <c:strRef>
              <c:f>'IMPORT VALOR  Sin ZF_NUM &gt;'!$B$24</c:f>
              <c:strCache>
                <c:ptCount val="1"/>
                <c:pt idx="0">
                  <c:v>MADERA ASERRADA / SAWNWOOD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&gt;'!$C$24:$Y$24</c:f>
              <c:numCache>
                <c:formatCode>0</c:formatCode>
                <c:ptCount val="23"/>
                <c:pt idx="0">
                  <c:v>9300</c:v>
                </c:pt>
                <c:pt idx="1">
                  <c:v>8985</c:v>
                </c:pt>
                <c:pt idx="2">
                  <c:v>4200</c:v>
                </c:pt>
                <c:pt idx="3">
                  <c:v>3478</c:v>
                </c:pt>
                <c:pt idx="4">
                  <c:v>6589</c:v>
                </c:pt>
                <c:pt idx="5">
                  <c:v>8074</c:v>
                </c:pt>
                <c:pt idx="6">
                  <c:v>7931</c:v>
                </c:pt>
                <c:pt idx="7">
                  <c:v>9876</c:v>
                </c:pt>
                <c:pt idx="8">
                  <c:v>11754</c:v>
                </c:pt>
                <c:pt idx="9">
                  <c:v>10524</c:v>
                </c:pt>
                <c:pt idx="10">
                  <c:v>8737</c:v>
                </c:pt>
                <c:pt idx="11">
                  <c:v>9612</c:v>
                </c:pt>
                <c:pt idx="12">
                  <c:v>5266.8534899999995</c:v>
                </c:pt>
                <c:pt idx="13">
                  <c:v>5300.10923</c:v>
                </c:pt>
                <c:pt idx="14">
                  <c:v>7233.948809999999</c:v>
                </c:pt>
                <c:pt idx="15">
                  <c:v>5137.8491799999974</c:v>
                </c:pt>
                <c:pt idx="16">
                  <c:v>2730.5173500000005</c:v>
                </c:pt>
                <c:pt idx="17">
                  <c:v>4801.8107399999999</c:v>
                </c:pt>
                <c:pt idx="18">
                  <c:v>4937.3715999999986</c:v>
                </c:pt>
                <c:pt idx="19">
                  <c:v>4357.9167499999985</c:v>
                </c:pt>
                <c:pt idx="20">
                  <c:v>6125.2252799999987</c:v>
                </c:pt>
                <c:pt idx="21">
                  <c:v>6888.2795199999982</c:v>
                </c:pt>
                <c:pt idx="22">
                  <c:v>8444.4372100000001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11-4BA6-8587-3EA9EC153743}"/>
            </c:ext>
          </c:extLst>
        </c:ser>
        <c:ser>
          <c:idx val="3"/>
          <c:order val="3"/>
          <c:tx>
            <c:strRef>
              <c:f>'IMPORT VALOR  Sin ZF_NUM &gt;'!$B$28</c:f>
              <c:strCache>
                <c:ptCount val="1"/>
                <c:pt idx="0">
                  <c:v>TABLEROS DE MADERA Y HOJAS DE CHAPA / WOOD-BASED PANELS AND VENEERS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&gt;'!$C$28:$Y$28</c:f>
              <c:numCache>
                <c:formatCode>0</c:formatCode>
                <c:ptCount val="23"/>
                <c:pt idx="0">
                  <c:v>1784</c:v>
                </c:pt>
                <c:pt idx="1">
                  <c:v>6504</c:v>
                </c:pt>
                <c:pt idx="2">
                  <c:v>3728</c:v>
                </c:pt>
                <c:pt idx="3">
                  <c:v>3982</c:v>
                </c:pt>
                <c:pt idx="4">
                  <c:v>5654</c:v>
                </c:pt>
                <c:pt idx="5">
                  <c:v>7899</c:v>
                </c:pt>
                <c:pt idx="6">
                  <c:v>10636</c:v>
                </c:pt>
                <c:pt idx="7">
                  <c:v>11850</c:v>
                </c:pt>
                <c:pt idx="8">
                  <c:v>18182</c:v>
                </c:pt>
                <c:pt idx="9">
                  <c:v>15405</c:v>
                </c:pt>
                <c:pt idx="10">
                  <c:v>19204</c:v>
                </c:pt>
                <c:pt idx="11">
                  <c:v>25239</c:v>
                </c:pt>
                <c:pt idx="12">
                  <c:v>21327.494709999999</c:v>
                </c:pt>
                <c:pt idx="13">
                  <c:v>24118.904990000003</c:v>
                </c:pt>
                <c:pt idx="14">
                  <c:v>23257.74091</c:v>
                </c:pt>
                <c:pt idx="15">
                  <c:v>22036.273890000004</c:v>
                </c:pt>
                <c:pt idx="16">
                  <c:v>20484.86159</c:v>
                </c:pt>
                <c:pt idx="17">
                  <c:v>20227.240220000011</c:v>
                </c:pt>
                <c:pt idx="18">
                  <c:v>21363.666430000005</c:v>
                </c:pt>
                <c:pt idx="19">
                  <c:v>19197.989449999972</c:v>
                </c:pt>
                <c:pt idx="20">
                  <c:v>20129.559100000006</c:v>
                </c:pt>
                <c:pt idx="21">
                  <c:v>27939.708710000006</c:v>
                </c:pt>
                <c:pt idx="22">
                  <c:v>30671.300400000007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11-4BA6-8587-3EA9EC153743}"/>
            </c:ext>
          </c:extLst>
        </c:ser>
        <c:ser>
          <c:idx val="4"/>
          <c:order val="4"/>
          <c:tx>
            <c:strRef>
              <c:f>'IMPORT VALOR  Sin ZF_NUM &gt;'!$B$43</c:f>
              <c:strCache>
                <c:ptCount val="1"/>
                <c:pt idx="0">
                  <c:v>PULPA DE MADERA / WOOD PULP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&gt;'!$C$43:$Y$43</c:f>
              <c:numCache>
                <c:formatCode>0</c:formatCode>
                <c:ptCount val="23"/>
                <c:pt idx="0">
                  <c:v>11647</c:v>
                </c:pt>
                <c:pt idx="1">
                  <c:v>7863</c:v>
                </c:pt>
                <c:pt idx="2">
                  <c:v>6147</c:v>
                </c:pt>
                <c:pt idx="3">
                  <c:v>6541</c:v>
                </c:pt>
                <c:pt idx="4">
                  <c:v>9166</c:v>
                </c:pt>
                <c:pt idx="5">
                  <c:v>8295</c:v>
                </c:pt>
                <c:pt idx="6">
                  <c:v>8402</c:v>
                </c:pt>
                <c:pt idx="7">
                  <c:v>7304</c:v>
                </c:pt>
                <c:pt idx="8">
                  <c:v>6991</c:v>
                </c:pt>
                <c:pt idx="9">
                  <c:v>12875</c:v>
                </c:pt>
                <c:pt idx="10">
                  <c:v>13041</c:v>
                </c:pt>
                <c:pt idx="11">
                  <c:v>16273</c:v>
                </c:pt>
                <c:pt idx="12">
                  <c:v>14761.288</c:v>
                </c:pt>
                <c:pt idx="13">
                  <c:v>12943.230809999999</c:v>
                </c:pt>
                <c:pt idx="14">
                  <c:v>16007.760020000002</c:v>
                </c:pt>
                <c:pt idx="15">
                  <c:v>17630.03096</c:v>
                </c:pt>
                <c:pt idx="16">
                  <c:v>13956.153549999997</c:v>
                </c:pt>
                <c:pt idx="17">
                  <c:v>10809.429180000006</c:v>
                </c:pt>
                <c:pt idx="18">
                  <c:v>11347.004080000001</c:v>
                </c:pt>
                <c:pt idx="19">
                  <c:v>4413.0510000000013</c:v>
                </c:pt>
                <c:pt idx="20">
                  <c:v>7305.5234199999977</c:v>
                </c:pt>
                <c:pt idx="21">
                  <c:v>9722.8975099999971</c:v>
                </c:pt>
                <c:pt idx="22">
                  <c:v>4638.8524799999996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11-4BA6-8587-3EA9EC153743}"/>
            </c:ext>
          </c:extLst>
        </c:ser>
        <c:ser>
          <c:idx val="5"/>
          <c:order val="5"/>
          <c:tx>
            <c:strRef>
              <c:f>'IMPORT VALOR  Sin ZF_NUM &gt;'!$B$56</c:f>
              <c:strCache>
                <c:ptCount val="1"/>
                <c:pt idx="0">
                  <c:v>PAPEL Y CARTÓN / PAPER AND PAPERBOARD</c:v>
                </c:pt>
              </c:strCache>
            </c:strRef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&gt;'!$C$56:$Y$56</c:f>
              <c:numCache>
                <c:formatCode>0</c:formatCode>
                <c:ptCount val="23"/>
                <c:pt idx="0">
                  <c:v>0</c:v>
                </c:pt>
                <c:pt idx="1">
                  <c:v>28051</c:v>
                </c:pt>
                <c:pt idx="2">
                  <c:v>30904</c:v>
                </c:pt>
                <c:pt idx="3">
                  <c:v>20845</c:v>
                </c:pt>
                <c:pt idx="4">
                  <c:v>13437</c:v>
                </c:pt>
                <c:pt idx="5">
                  <c:v>45465</c:v>
                </c:pt>
                <c:pt idx="6">
                  <c:v>57793</c:v>
                </c:pt>
                <c:pt idx="7">
                  <c:v>69482</c:v>
                </c:pt>
                <c:pt idx="8">
                  <c:v>65196</c:v>
                </c:pt>
                <c:pt idx="9">
                  <c:v>68215</c:v>
                </c:pt>
                <c:pt idx="10">
                  <c:v>74865</c:v>
                </c:pt>
                <c:pt idx="11">
                  <c:v>90773</c:v>
                </c:pt>
                <c:pt idx="12">
                  <c:v>73577.786189999999</c:v>
                </c:pt>
                <c:pt idx="13">
                  <c:v>75496.403579999998</c:v>
                </c:pt>
                <c:pt idx="14">
                  <c:v>75362.926380000004</c:v>
                </c:pt>
                <c:pt idx="15">
                  <c:v>64357.033620000009</c:v>
                </c:pt>
                <c:pt idx="16">
                  <c:v>49144.707979999985</c:v>
                </c:pt>
                <c:pt idx="17">
                  <c:v>74795.808779999934</c:v>
                </c:pt>
                <c:pt idx="18">
                  <c:v>75732.411769999962</c:v>
                </c:pt>
                <c:pt idx="19">
                  <c:v>70159.109830000001</c:v>
                </c:pt>
                <c:pt idx="20">
                  <c:v>59845.153650000007</c:v>
                </c:pt>
                <c:pt idx="21">
                  <c:v>110675.6949300001</c:v>
                </c:pt>
                <c:pt idx="22">
                  <c:v>87603.932260000016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11-4BA6-8587-3EA9EC153743}"/>
            </c:ext>
          </c:extLst>
        </c:ser>
        <c:ser>
          <c:idx val="6"/>
          <c:order val="6"/>
          <c:tx>
            <c:v>PRODUCTOS SECUNDARIOS</c:v>
          </c:tx>
          <c:invertIfNegative val="0"/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&gt;'!$C$92:$Y$92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31698</c:v>
                </c:pt>
                <c:pt idx="3">
                  <c:v>30386</c:v>
                </c:pt>
                <c:pt idx="4">
                  <c:v>40255</c:v>
                </c:pt>
                <c:pt idx="5">
                  <c:v>66696</c:v>
                </c:pt>
                <c:pt idx="6">
                  <c:v>66986</c:v>
                </c:pt>
                <c:pt idx="7">
                  <c:v>74715</c:v>
                </c:pt>
                <c:pt idx="8">
                  <c:v>102208</c:v>
                </c:pt>
                <c:pt idx="9">
                  <c:v>92843</c:v>
                </c:pt>
                <c:pt idx="10">
                  <c:v>123380</c:v>
                </c:pt>
                <c:pt idx="11">
                  <c:v>169308</c:v>
                </c:pt>
                <c:pt idx="12">
                  <c:v>131538.42456000001</c:v>
                </c:pt>
                <c:pt idx="13">
                  <c:v>122523.38945</c:v>
                </c:pt>
                <c:pt idx="14">
                  <c:v>165716.96830000015</c:v>
                </c:pt>
                <c:pt idx="15">
                  <c:v>164714.82337</c:v>
                </c:pt>
                <c:pt idx="16">
                  <c:v>161015.80635999975</c:v>
                </c:pt>
                <c:pt idx="17">
                  <c:v>169176.45684999984</c:v>
                </c:pt>
                <c:pt idx="18">
                  <c:v>175411.98323000001</c:v>
                </c:pt>
                <c:pt idx="19">
                  <c:v>161242.95472999988</c:v>
                </c:pt>
                <c:pt idx="20">
                  <c:v>175439.77017999993</c:v>
                </c:pt>
                <c:pt idx="21">
                  <c:v>148552.38421999995</c:v>
                </c:pt>
                <c:pt idx="22">
                  <c:v>181969.74613000001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11-4BA6-8587-3EA9EC15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80544"/>
        <c:axId val="111982080"/>
        <c:axId val="0"/>
      </c:bar3DChart>
      <c:catAx>
        <c:axId val="1119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ES"/>
            </a:pPr>
            <a:endParaRPr lang="es-UY"/>
          </a:p>
        </c:txPr>
        <c:crossAx val="111982080"/>
        <c:crosses val="autoZero"/>
        <c:auto val="1"/>
        <c:lblAlgn val="ctr"/>
        <c:lblOffset val="100"/>
        <c:noMultiLvlLbl val="0"/>
      </c:catAx>
      <c:valAx>
        <c:axId val="11198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4.8975223660232145E-2"/>
              <c:y val="0.3124731471614898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11980544"/>
        <c:crosses val="autoZero"/>
        <c:crossBetween val="between"/>
        <c:majorUnit val="25000"/>
        <c:minorUnit val="1000"/>
      </c:valAx>
    </c:plotArea>
    <c:legend>
      <c:legendPos val="b"/>
      <c:layout>
        <c:manualLayout>
          <c:xMode val="edge"/>
          <c:yMode val="edge"/>
          <c:x val="2.2114987193174607E-2"/>
          <c:y val="0.85460368275367671"/>
          <c:w val="0.96861111638510822"/>
          <c:h val="0.13281879728640472"/>
        </c:manualLayout>
      </c:layout>
      <c:overlay val="0"/>
      <c:txPr>
        <a:bodyPr/>
        <a:lstStyle/>
        <a:p>
          <a:pPr>
            <a:defRPr lang="es-ES" sz="900"/>
          </a:pPr>
          <a:endParaRPr lang="es-UY"/>
        </a:p>
      </c:txPr>
    </c:legend>
    <c:plotVisOnly val="1"/>
    <c:dispBlanksAs val="gap"/>
    <c:showDLblsOverMax val="0"/>
  </c:chart>
  <c:printSettings>
    <c:headerFooter alignWithMargins="0"/>
    <c:pageMargins b="1" l="0.75000000000000411" r="0.75000000000000411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441275355668997E-2"/>
          <c:y val="0.15692615897905171"/>
          <c:w val="0.78443039908428558"/>
          <c:h val="0.60748720557271751"/>
        </c:manualLayout>
      </c:layout>
      <c:pie3DChart>
        <c:varyColors val="1"/>
        <c:ser>
          <c:idx val="0"/>
          <c:order val="0"/>
          <c:explosion val="19"/>
          <c:dLbls>
            <c:dLbl>
              <c:idx val="0"/>
              <c:layout>
                <c:manualLayout>
                  <c:x val="0.13441573796885614"/>
                  <c:y val="-0.2460734230315902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B81-405B-BF9C-D27931D5AEE1}"/>
                </c:ext>
              </c:extLst>
            </c:dLbl>
            <c:dLbl>
              <c:idx val="1"/>
              <c:layout>
                <c:manualLayout>
                  <c:x val="-1.0450107474584846E-2"/>
                  <c:y val="2.57163622122557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81-405B-BF9C-D27931D5AEE1}"/>
                </c:ext>
              </c:extLst>
            </c:dLbl>
            <c:dLbl>
              <c:idx val="2"/>
              <c:layout>
                <c:manualLayout>
                  <c:x val="2.0436383151786541E-2"/>
                  <c:y val="-2.22285987565758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B81-405B-BF9C-D27931D5AEE1}"/>
                </c:ext>
              </c:extLst>
            </c:dLbl>
            <c:dLbl>
              <c:idx val="3"/>
              <c:layout>
                <c:manualLayout>
                  <c:x val="5.7139582791767641E-3"/>
                  <c:y val="-1.59807498955027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81-405B-BF9C-D27931D5AEE1}"/>
                </c:ext>
              </c:extLst>
            </c:dLbl>
            <c:dLbl>
              <c:idx val="4"/>
              <c:layout>
                <c:manualLayout>
                  <c:x val="-1.4077521459977265E-2"/>
                  <c:y val="-7.47139032298154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B81-405B-BF9C-D27931D5AEE1}"/>
                </c:ext>
              </c:extLst>
            </c:dLbl>
            <c:dLbl>
              <c:idx val="5"/>
              <c:layout>
                <c:manualLayout>
                  <c:x val="-1.4199167596063272E-2"/>
                  <c:y val="-4.0336349634918431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81-405B-BF9C-D27931D5AEE1}"/>
                </c:ext>
              </c:extLst>
            </c:dLbl>
            <c:dLbl>
              <c:idx val="6"/>
              <c:layout>
                <c:manualLayout>
                  <c:x val="-8.6631503330454641E-3"/>
                  <c:y val="-2.452430175065993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B81-405B-BF9C-D27931D5AEE1}"/>
                </c:ext>
              </c:extLst>
            </c:dLbl>
            <c:dLbl>
              <c:idx val="7"/>
              <c:layout>
                <c:manualLayout>
                  <c:x val="-1.1226104724129935E-2"/>
                  <c:y val="-7.23483094025011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81-405B-BF9C-D27931D5AEE1}"/>
                </c:ext>
              </c:extLst>
            </c:dLbl>
            <c:dLbl>
              <c:idx val="8"/>
              <c:layout>
                <c:manualLayout>
                  <c:x val="3.8739710251873588E-2"/>
                  <c:y val="-5.36969464182830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B81-405B-BF9C-D27931D5AEE1}"/>
                </c:ext>
              </c:extLst>
            </c:dLbl>
            <c:dLbl>
              <c:idx val="9"/>
              <c:layout>
                <c:manualLayout>
                  <c:x val="6.4831241142780521E-2"/>
                  <c:y val="1.13437039882209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81-405B-BF9C-D27931D5AEE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00" baseline="0"/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'Graficos 2022'!$B$9:$B$18</c:f>
              <c:strCache>
                <c:ptCount val="10"/>
                <c:pt idx="0">
                  <c:v>PULPA DE MADERA / WOOD PULP</c:v>
                </c:pt>
                <c:pt idx="1">
                  <c:v>MADERA EN ROLLO / ROUNDWOOD</c:v>
                </c:pt>
                <c:pt idx="2">
                  <c:v>MADERA ASERRADA / SAWNWOOD</c:v>
                </c:pt>
                <c:pt idx="3">
                  <c:v>ASTILLAS Y PARTÍCULAS (CHIPS) / WOOD CHIPS AND PARTICLES</c:v>
                </c:pt>
                <c:pt idx="4">
                  <c:v>TABLEROS DE MADERA Y HOJAS DE CHAPA / WOOD-BASED PANELS AND VENEERS</c:v>
                </c:pt>
                <c:pt idx="5">
                  <c:v>Productos papeleros secundarios / Secondary paper products</c:v>
                </c:pt>
                <c:pt idx="6">
                  <c:v>PAPEL RECUPERADO / RECOVERED PAPER</c:v>
                </c:pt>
                <c:pt idx="7">
                  <c:v>PAPEL Y CARTÓN / PAPER AND PAPERBOARD</c:v>
                </c:pt>
                <c:pt idx="8">
                  <c:v>Productos madereros secundarios / Secondary wood products</c:v>
                </c:pt>
                <c:pt idx="9">
                  <c:v>RESIDUOS DE MADERA / WOOD RESIDUES</c:v>
                </c:pt>
              </c:strCache>
            </c:strRef>
          </c:cat>
          <c:val>
            <c:numRef>
              <c:f>'Graficos 2022'!$D$9:$D$18</c:f>
              <c:numCache>
                <c:formatCode>0.0</c:formatCode>
                <c:ptCount val="10"/>
                <c:pt idx="0">
                  <c:v>76.44024628868415</c:v>
                </c:pt>
                <c:pt idx="1">
                  <c:v>6.2539390794509027</c:v>
                </c:pt>
                <c:pt idx="2">
                  <c:v>7.3316222947544354</c:v>
                </c:pt>
                <c:pt idx="3">
                  <c:v>4.5120286159374503</c:v>
                </c:pt>
                <c:pt idx="4">
                  <c:v>4.1585965208843794</c:v>
                </c:pt>
                <c:pt idx="5">
                  <c:v>0.96957110989486706</c:v>
                </c:pt>
                <c:pt idx="6">
                  <c:v>0.19330522061609523</c:v>
                </c:pt>
                <c:pt idx="7" formatCode="0.00">
                  <c:v>9.8994953601817988E-3</c:v>
                </c:pt>
                <c:pt idx="8">
                  <c:v>0.13079137441756764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81-405B-BF9C-D27931D5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2538843228538065E-3"/>
          <c:y val="0.7810925714630006"/>
          <c:w val="0.98920003612687102"/>
          <c:h val="0.19277051631099915"/>
        </c:manualLayout>
      </c:layout>
      <c:overlay val="0"/>
      <c:txPr>
        <a:bodyPr/>
        <a:lstStyle/>
        <a:p>
          <a:pPr>
            <a:defRPr lang="es-ES"/>
          </a:pPr>
          <a:endParaRPr lang="es-UY"/>
        </a:p>
      </c:txPr>
    </c:legend>
    <c:plotVisOnly val="1"/>
    <c:dispBlanksAs val="zero"/>
    <c:showDLblsOverMax val="0"/>
  </c:chart>
  <c:spPr>
    <a:noFill/>
    <a:scene3d>
      <a:camera prst="orthographicFront"/>
      <a:lightRig rig="threePt" dir="t"/>
    </a:scene3d>
    <a:sp3d>
      <a:bevelT/>
    </a:sp3d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643136999179451"/>
          <c:y val="0.15329671522871338"/>
          <c:w val="0.78443039908428558"/>
          <c:h val="0.60748720557271751"/>
        </c:manualLayout>
      </c:layout>
      <c:pie3DChart>
        <c:varyColors val="1"/>
        <c:ser>
          <c:idx val="0"/>
          <c:order val="0"/>
          <c:explosion val="19"/>
          <c:dLbls>
            <c:dLbl>
              <c:idx val="0"/>
              <c:layout>
                <c:manualLayout>
                  <c:x val="9.4016081676231156E-2"/>
                  <c:y val="-4.7480876588001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E-4BCE-AFE4-0AF7354DF0BD}"/>
                </c:ext>
              </c:extLst>
            </c:dLbl>
            <c:dLbl>
              <c:idx val="1"/>
              <c:layout>
                <c:manualLayout>
                  <c:x val="-1.0233606922016098E-2"/>
                  <c:y val="-1.63894848379331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E-4BCE-AFE4-0AF7354DF0BD}"/>
                </c:ext>
              </c:extLst>
            </c:dLbl>
            <c:dLbl>
              <c:idx val="2"/>
              <c:layout>
                <c:manualLayout>
                  <c:x val="9.5137127986120468E-3"/>
                  <c:y val="-2.31161333078728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E-4BCE-AFE4-0AF7354DF0BD}"/>
                </c:ext>
              </c:extLst>
            </c:dLbl>
            <c:dLbl>
              <c:idx val="3"/>
              <c:layout>
                <c:manualLayout>
                  <c:x val="1.2352473419636145E-2"/>
                  <c:y val="-1.48856713880808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E-4BCE-AFE4-0AF7354DF0BD}"/>
                </c:ext>
              </c:extLst>
            </c:dLbl>
            <c:dLbl>
              <c:idx val="4"/>
              <c:layout>
                <c:manualLayout>
                  <c:x val="1.3572890253125141E-2"/>
                  <c:y val="-9.02692441618835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3E-4BCE-AFE4-0AF7354DF0BD}"/>
                </c:ext>
              </c:extLst>
            </c:dLbl>
            <c:dLbl>
              <c:idx val="5"/>
              <c:layout>
                <c:manualLayout>
                  <c:x val="-4.1802904933493749E-3"/>
                  <c:y val="-4.50843002684578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3E-4BCE-AFE4-0AF7354DF0BD}"/>
                </c:ext>
              </c:extLst>
            </c:dLbl>
            <c:dLbl>
              <c:idx val="6"/>
              <c:layout>
                <c:manualLayout>
                  <c:x val="1.3647293029049334E-2"/>
                  <c:y val="-4.08046996978444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3E-4BCE-AFE4-0AF7354DF0BD}"/>
                </c:ext>
              </c:extLst>
            </c:dLbl>
            <c:dLbl>
              <c:idx val="7"/>
              <c:layout>
                <c:manualLayout>
                  <c:x val="4.6309722407580405E-2"/>
                  <c:y val="1.95852194652559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3E-4BCE-AFE4-0AF7354DF0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aseline="0"/>
                </a:pPr>
                <a:endParaRPr lang="es-UY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'Graficos 2022'!$B$70:$B$76</c:f>
              <c:strCache>
                <c:ptCount val="7"/>
                <c:pt idx="0">
                  <c:v>PULPA DE MADERA / WOOD PULP</c:v>
                </c:pt>
                <c:pt idx="1">
                  <c:v>MADERA ASERRADA / SAWNWOOD</c:v>
                </c:pt>
                <c:pt idx="2">
                  <c:v>ASTILLAS Y PARTÍCULAS (CHIPS) / WOOD CHIPS AND PARTICLES</c:v>
                </c:pt>
                <c:pt idx="3">
                  <c:v>TABLEROS DE MADERA Y HOJAS DE CHAPA / WOOD-BASED PANELS AND VENEERS</c:v>
                </c:pt>
                <c:pt idx="4">
                  <c:v>PAPEL RECUPERADO / RECOVERED PAPER</c:v>
                </c:pt>
                <c:pt idx="5">
                  <c:v>PAPEL Y CARTÓN / PAPER AND PAPERBOARD</c:v>
                </c:pt>
                <c:pt idx="6">
                  <c:v>RESIDUOS DE MADERA / WOOD RESIDUES</c:v>
                </c:pt>
              </c:strCache>
            </c:strRef>
          </c:cat>
          <c:val>
            <c:numRef>
              <c:f>'Graficos 2022'!$C$70:$C$76</c:f>
              <c:numCache>
                <c:formatCode>0</c:formatCode>
                <c:ptCount val="7"/>
                <c:pt idx="0">
                  <c:v>1913547.62379087</c:v>
                </c:pt>
                <c:pt idx="1">
                  <c:v>183534.31735</c:v>
                </c:pt>
                <c:pt idx="2">
                  <c:v>112950.73021999997</c:v>
                </c:pt>
                <c:pt idx="3">
                  <c:v>104103.17702</c:v>
                </c:pt>
                <c:pt idx="4">
                  <c:v>4839.0574799999958</c:v>
                </c:pt>
                <c:pt idx="5">
                  <c:v>247.81652000000003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3E-4BCE-AFE4-0AF7354DF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1843129145829841E-3"/>
          <c:y val="0.78983238557055069"/>
          <c:w val="0.99286843809347602"/>
          <c:h val="0.21016761442944937"/>
        </c:manualLayout>
      </c:layout>
      <c:overlay val="0"/>
      <c:txPr>
        <a:bodyPr/>
        <a:lstStyle/>
        <a:p>
          <a:pPr>
            <a:defRPr lang="es-ES"/>
          </a:pPr>
          <a:endParaRPr lang="es-UY"/>
        </a:p>
      </c:txPr>
    </c:legend>
    <c:plotVisOnly val="1"/>
    <c:dispBlanksAs val="zero"/>
    <c:showDLblsOverMax val="0"/>
  </c:chart>
  <c:spPr>
    <a:noFill/>
    <a:scene3d>
      <a:camera prst="orthographicFront"/>
      <a:lightRig rig="threePt" dir="t"/>
    </a:scene3d>
    <a:sp3d>
      <a:bevelT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818383307086257E-2"/>
          <c:y val="0.10014140624711169"/>
          <c:w val="0.60624828593144042"/>
          <c:h val="0.779813854807651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A4F-4679-B967-D5815CA54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A4F-4679-B967-D5815CA54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CA4F-4679-B967-D5815CA54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CA4F-4679-B967-D5815CA54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CA4F-4679-B967-D5815CA54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CA4F-4679-B967-D5815CA54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CA4F-4679-B967-D5815CA54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CA4F-4679-B967-D5815CA54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CA4F-4679-B967-D5815CA54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CA4F-4679-B967-D5815CA5437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CA4F-4679-B967-D5815CA5437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CA4F-4679-B967-D5815CA54375}"/>
              </c:ext>
            </c:extLst>
          </c:dPt>
          <c:dLbls>
            <c:dLbl>
              <c:idx val="0"/>
              <c:layout>
                <c:manualLayout>
                  <c:x val="-0.10953534301326828"/>
                  <c:y val="7.36575930589577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4F-4679-B967-D5815CA54375}"/>
                </c:ext>
              </c:extLst>
            </c:dLbl>
            <c:dLbl>
              <c:idx val="1"/>
              <c:layout>
                <c:manualLayout>
                  <c:x val="-4.5572329588701499E-2"/>
                  <c:y val="-0.198841584335074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A4F-4679-B967-D5815CA54375}"/>
                </c:ext>
              </c:extLst>
            </c:dLbl>
            <c:dLbl>
              <c:idx val="2"/>
              <c:layout>
                <c:manualLayout>
                  <c:x val="0.10107052284389346"/>
                  <c:y val="-5.51841214785271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4F-4679-B967-D5815CA54375}"/>
                </c:ext>
              </c:extLst>
            </c:dLbl>
            <c:dLbl>
              <c:idx val="3"/>
              <c:layout>
                <c:manualLayout>
                  <c:x val="6.9575155107337291E-2"/>
                  <c:y val="6.20584872441021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4F-4679-B967-D5815CA54375}"/>
                </c:ext>
              </c:extLst>
            </c:dLbl>
            <c:dLbl>
              <c:idx val="4"/>
              <c:layout>
                <c:manualLayout>
                  <c:x val="3.4532017887500238E-2"/>
                  <c:y val="6.48983464776149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4F-4679-B967-D5815CA54375}"/>
                </c:ext>
              </c:extLst>
            </c:dLbl>
            <c:dLbl>
              <c:idx val="5"/>
              <c:layout>
                <c:manualLayout>
                  <c:x val="-7.5047362085518876E-2"/>
                  <c:y val="1.7902831388039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4F-4679-B967-D5815CA54375}"/>
                </c:ext>
              </c:extLst>
            </c:dLbl>
            <c:dLbl>
              <c:idx val="6"/>
              <c:layout>
                <c:manualLayout>
                  <c:x val="-4.9563598199626198E-2"/>
                  <c:y val="-1.08302686204315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4F-4679-B967-D5815CA54375}"/>
                </c:ext>
              </c:extLst>
            </c:dLbl>
            <c:dLbl>
              <c:idx val="7"/>
              <c:layout>
                <c:manualLayout>
                  <c:x val="-4.7326095922334221E-2"/>
                  <c:y val="-6.36892322446107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4F-4679-B967-D5815CA54375}"/>
                </c:ext>
              </c:extLst>
            </c:dLbl>
            <c:dLbl>
              <c:idx val="8"/>
              <c:layout>
                <c:manualLayout>
                  <c:x val="5.9466661003707236E-3"/>
                  <c:y val="-7.7979348611809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4F-4679-B967-D5815CA54375}"/>
                </c:ext>
              </c:extLst>
            </c:dLbl>
            <c:dLbl>
              <c:idx val="9"/>
              <c:layout>
                <c:manualLayout>
                  <c:x val="4.9505366585336143E-2"/>
                  <c:y val="-7.38964582211811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4F-4679-B967-D5815CA54375}"/>
                </c:ext>
              </c:extLst>
            </c:dLbl>
            <c:dLbl>
              <c:idx val="10"/>
              <c:layout>
                <c:manualLayout>
                  <c:x val="8.609940952472496E-2"/>
                  <c:y val="-4.53162254867843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4F-4679-B967-D5815CA54375}"/>
                </c:ext>
              </c:extLst>
            </c:dLbl>
            <c:dLbl>
              <c:idx val="11"/>
              <c:layout>
                <c:manualLayout>
                  <c:x val="3.1227681141116102E-2"/>
                  <c:y val="2.40929111538939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4F-4679-B967-D5815CA54375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'Graficos 2022'!$L$9:$L$20</c:f>
              <c:strCache>
                <c:ptCount val="12"/>
                <c:pt idx="0">
                  <c:v>Productos madereros secundarios / Secondary wood products</c:v>
                </c:pt>
                <c:pt idx="1">
                  <c:v>Productos papeleros secundarios / Secondary paper products</c:v>
                </c:pt>
                <c:pt idx="2">
                  <c:v>PAPEL Y CARTÓN / PAPER AND PAPERBOARD</c:v>
                </c:pt>
                <c:pt idx="3">
                  <c:v>TABLEROS DE MADERA Y HOJAS DE CHAPA / WOOD-BASED PANELS AND VENEERS</c:v>
                </c:pt>
                <c:pt idx="4">
                  <c:v>PULPA DE MADERA / WOOD PULP</c:v>
                </c:pt>
                <c:pt idx="5">
                  <c:v>MADERA ASERRADA / SAWNWOOD</c:v>
                </c:pt>
                <c:pt idx="6">
                  <c:v>MADERA EN ROLLO / ROUNDWOOD</c:v>
                </c:pt>
                <c:pt idx="7">
                  <c:v>CARBÓN VEGETAL / WOOD CHARCOAL</c:v>
                </c:pt>
                <c:pt idx="8">
                  <c:v>PAPEL RECUPERADO / RECOVERED PAPER</c:v>
                </c:pt>
                <c:pt idx="9">
                  <c:v>ASTILLAS, PARTÍCULAS (CHIPS)</c:v>
                </c:pt>
                <c:pt idx="10">
                  <c:v>OTROS TIPOS DE PULPA / OTHER PULP</c:v>
                </c:pt>
                <c:pt idx="11">
                  <c:v>RESIDUOS DE MADERA / WOOD WASTE</c:v>
                </c:pt>
              </c:strCache>
            </c:strRef>
          </c:cat>
          <c:val>
            <c:numRef>
              <c:f>'Graficos 2022'!$M$9:$M$20</c:f>
              <c:numCache>
                <c:formatCode>0</c:formatCode>
                <c:ptCount val="12"/>
                <c:pt idx="0">
                  <c:v>78880.120840000003</c:v>
                </c:pt>
                <c:pt idx="1">
                  <c:v>103089.62529000001</c:v>
                </c:pt>
                <c:pt idx="2">
                  <c:v>87603.932260000016</c:v>
                </c:pt>
                <c:pt idx="3">
                  <c:v>30671.300400000007</c:v>
                </c:pt>
                <c:pt idx="4">
                  <c:v>4638.8524799999996</c:v>
                </c:pt>
                <c:pt idx="5">
                  <c:v>8444.4372100000001</c:v>
                </c:pt>
                <c:pt idx="6">
                  <c:v>3074.3533899999993</c:v>
                </c:pt>
                <c:pt idx="7">
                  <c:v>1521.9973000000009</c:v>
                </c:pt>
                <c:pt idx="8">
                  <c:v>458.98906000000005</c:v>
                </c:pt>
                <c:pt idx="9">
                  <c:v>83.61281000000001</c:v>
                </c:pt>
                <c:pt idx="10">
                  <c:v>193.72221000000002</c:v>
                </c:pt>
                <c:pt idx="11">
                  <c:v>58.874050000000004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A4F-4679-B967-D5815CA5437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78206661441738"/>
          <c:y val="1.8214581046103018E-2"/>
          <c:w val="0.36370116865767144"/>
          <c:h val="0.933871094186927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0337101401612005E-2"/>
          <c:y val="9.55047829581082E-2"/>
          <c:w val="0.69974444614896136"/>
          <c:h val="0.90442687854606496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644-4250-B663-1273F3DF55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644-4250-B663-1273F3DF55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0644-4250-B663-1273F3DF55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0644-4250-B663-1273F3DF55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0644-4250-B663-1273F3DF55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0644-4250-B663-1273F3DF55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0644-4250-B663-1273F3DF55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0644-4250-B663-1273F3DF55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0644-4250-B663-1273F3DF55F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0644-4250-B663-1273F3DF55FA}"/>
              </c:ext>
            </c:extLst>
          </c:dPt>
          <c:dLbls>
            <c:dLbl>
              <c:idx val="3"/>
              <c:layout>
                <c:manualLayout>
                  <c:x val="-5.8569427197516875E-3"/>
                  <c:y val="-3.047377844342653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44-4250-B663-1273F3DF55FA}"/>
                </c:ext>
              </c:extLst>
            </c:dLbl>
            <c:dLbl>
              <c:idx val="4"/>
              <c:layout>
                <c:manualLayout>
                  <c:x val="-1.5283967872426554E-2"/>
                  <c:y val="-1.57582784127656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44-4250-B663-1273F3DF55FA}"/>
                </c:ext>
              </c:extLst>
            </c:dLbl>
            <c:dLbl>
              <c:idx val="5"/>
              <c:layout>
                <c:manualLayout>
                  <c:x val="4.6970366376715466E-3"/>
                  <c:y val="-9.70249097764103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44-4250-B663-1273F3DF55FA}"/>
                </c:ext>
              </c:extLst>
            </c:dLbl>
            <c:dLbl>
              <c:idx val="6"/>
              <c:layout>
                <c:manualLayout>
                  <c:x val="1.0660566006792663E-2"/>
                  <c:y val="-4.03185488584870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44-4250-B663-1273F3DF55FA}"/>
                </c:ext>
              </c:extLst>
            </c:dLbl>
            <c:dLbl>
              <c:idx val="7"/>
              <c:layout>
                <c:manualLayout>
                  <c:x val="2.4706683933450373E-2"/>
                  <c:y val="-1.766107708857006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44-4250-B663-1273F3DF55FA}"/>
                </c:ext>
              </c:extLst>
            </c:dLbl>
            <c:dLbl>
              <c:idx val="8"/>
              <c:layout>
                <c:manualLayout>
                  <c:x val="4.8009998106534425E-2"/>
                  <c:y val="-2.44762923489005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44-4250-B663-1273F3DF55FA}"/>
                </c:ext>
              </c:extLst>
            </c:dLbl>
            <c:dLbl>
              <c:idx val="9"/>
              <c:layout>
                <c:manualLayout>
                  <c:x val="5.4725083754800521E-2"/>
                  <c:y val="2.53970306190786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44-4250-B663-1273F3DF55FA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'Graficos 2022'!$L$69:$L$77</c:f>
              <c:strCache>
                <c:ptCount val="9"/>
                <c:pt idx="0">
                  <c:v>TABLEROS DE MADERA Y HOJAS DE CHAPA / WOOD-BASED PANELS AND VENEERS</c:v>
                </c:pt>
                <c:pt idx="1">
                  <c:v>PULPA DE MADERA / WOOD PULP</c:v>
                </c:pt>
                <c:pt idx="2">
                  <c:v>MADERA ASERRADA / SAWNWOOD</c:v>
                </c:pt>
                <c:pt idx="3">
                  <c:v>MADERA EN ROLLO / ROUNDWOOD</c:v>
                </c:pt>
                <c:pt idx="4">
                  <c:v>CARBÓN VEGETAL / WOOD CHARCOAL</c:v>
                </c:pt>
                <c:pt idx="5">
                  <c:v>PAPEL RECUPERADO / RECOVERED PAPER</c:v>
                </c:pt>
                <c:pt idx="6">
                  <c:v>ASTILLAS, PARTÍCULAS (CHIPS)</c:v>
                </c:pt>
                <c:pt idx="7">
                  <c:v>OTROS TIPOS DE PULPA / OTHER PULP</c:v>
                </c:pt>
                <c:pt idx="8">
                  <c:v>RESIDUOS DE MADERA / WOOD WASTE</c:v>
                </c:pt>
              </c:strCache>
            </c:strRef>
          </c:cat>
          <c:val>
            <c:numRef>
              <c:f>'Graficos 2022'!$M$69:$M$77</c:f>
              <c:numCache>
                <c:formatCode>0</c:formatCode>
                <c:ptCount val="9"/>
                <c:pt idx="0">
                  <c:v>30671.300400000007</c:v>
                </c:pt>
                <c:pt idx="1">
                  <c:v>4638.8524799999996</c:v>
                </c:pt>
                <c:pt idx="2">
                  <c:v>8444.4372100000001</c:v>
                </c:pt>
                <c:pt idx="3">
                  <c:v>3074.3533899999993</c:v>
                </c:pt>
                <c:pt idx="4">
                  <c:v>1521.9973000000009</c:v>
                </c:pt>
                <c:pt idx="5">
                  <c:v>458.98906000000005</c:v>
                </c:pt>
                <c:pt idx="6">
                  <c:v>83.61281000000001</c:v>
                </c:pt>
                <c:pt idx="7">
                  <c:v>193.72221000000002</c:v>
                </c:pt>
                <c:pt idx="8">
                  <c:v>58.874050000000004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44-4250-B663-1273F3DF55F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0183478270902055"/>
          <c:y val="4.8052236792858374E-2"/>
          <c:w val="0.29230944697805517"/>
          <c:h val="0.7172606103073075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'Extrac-prod Sin Zona Franca'!$B$15</c:f>
              <c:strCache>
                <c:ptCount val="1"/>
                <c:pt idx="0">
                  <c:v>MADERA EN ROLLO / ROUNDWOOD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'Extrac-prod Sin Zona Franca'!$D$14:$Z$14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'Extrac-prod Sin Zona Franca'!$D$15:$Z$15</c:f>
              <c:numCache>
                <c:formatCode>0</c:formatCode>
                <c:ptCount val="23"/>
                <c:pt idx="0">
                  <c:v>3498.8235532004369</c:v>
                </c:pt>
                <c:pt idx="1">
                  <c:v>3536.05167419998</c:v>
                </c:pt>
                <c:pt idx="2">
                  <c:v>3794.2060005941366</c:v>
                </c:pt>
                <c:pt idx="3">
                  <c:v>4175.492465594898</c:v>
                </c:pt>
                <c:pt idx="4">
                  <c:v>5387.6909205344809</c:v>
                </c:pt>
                <c:pt idx="5">
                  <c:v>5919.7933930811269</c:v>
                </c:pt>
                <c:pt idx="6">
                  <c:v>6706.3880168108499</c:v>
                </c:pt>
                <c:pt idx="7">
                  <c:v>7645.6597722964689</c:v>
                </c:pt>
                <c:pt idx="8">
                  <c:v>9598.6383255979435</c:v>
                </c:pt>
                <c:pt idx="9">
                  <c:v>8576.6161378103916</c:v>
                </c:pt>
                <c:pt idx="10">
                  <c:v>12005.424173024516</c:v>
                </c:pt>
                <c:pt idx="11">
                  <c:v>10745.306002844027</c:v>
                </c:pt>
                <c:pt idx="12">
                  <c:v>9559.8880356919926</c:v>
                </c:pt>
                <c:pt idx="13">
                  <c:v>10576.549566147023</c:v>
                </c:pt>
                <c:pt idx="14">
                  <c:v>12418.457825533242</c:v>
                </c:pt>
                <c:pt idx="15">
                  <c:v>13851.678679245282</c:v>
                </c:pt>
                <c:pt idx="16">
                  <c:v>14082.690571428571</c:v>
                </c:pt>
                <c:pt idx="17">
                  <c:v>15895.767963457878</c:v>
                </c:pt>
                <c:pt idx="18">
                  <c:v>16987.261282386866</c:v>
                </c:pt>
                <c:pt idx="19">
                  <c:v>16034</c:v>
                </c:pt>
                <c:pt idx="20">
                  <c:v>17975.031457458637</c:v>
                </c:pt>
                <c:pt idx="21">
                  <c:v>18079.178041719999</c:v>
                </c:pt>
                <c:pt idx="22">
                  <c:v>17006.010270504688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3B-4283-8F77-C466F758B05F}"/>
            </c:ext>
          </c:extLst>
        </c:ser>
        <c:ser>
          <c:idx val="1"/>
          <c:order val="1"/>
          <c:tx>
            <c:strRef>
              <c:f>'Extrac-prod Sin Zona Franca'!$B$16</c:f>
              <c:strCache>
                <c:ptCount val="1"/>
                <c:pt idx="0">
                  <c:v>CONIFERAS / CONIFEROUS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'Extrac-prod Sin Zona Franca'!$D$14:$Z$14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'Extrac-prod Sin Zona Franca'!$D$16:$Z$16</c:f>
              <c:numCache>
                <c:formatCode>0</c:formatCode>
                <c:ptCount val="23"/>
                <c:pt idx="0">
                  <c:v>263</c:v>
                </c:pt>
                <c:pt idx="1">
                  <c:v>263</c:v>
                </c:pt>
                <c:pt idx="2">
                  <c:v>304</c:v>
                </c:pt>
                <c:pt idx="3">
                  <c:v>177</c:v>
                </c:pt>
                <c:pt idx="4">
                  <c:v>213</c:v>
                </c:pt>
                <c:pt idx="5">
                  <c:v>221</c:v>
                </c:pt>
                <c:pt idx="6">
                  <c:v>354</c:v>
                </c:pt>
                <c:pt idx="7">
                  <c:v>519</c:v>
                </c:pt>
                <c:pt idx="8">
                  <c:v>507</c:v>
                </c:pt>
                <c:pt idx="9">
                  <c:v>448</c:v>
                </c:pt>
                <c:pt idx="10">
                  <c:v>783</c:v>
                </c:pt>
                <c:pt idx="11">
                  <c:v>1079</c:v>
                </c:pt>
                <c:pt idx="12">
                  <c:v>679.98439999999994</c:v>
                </c:pt>
                <c:pt idx="13">
                  <c:v>652.30669999999998</c:v>
                </c:pt>
                <c:pt idx="14">
                  <c:v>832.22532553324106</c:v>
                </c:pt>
                <c:pt idx="15">
                  <c:v>815.86924528301904</c:v>
                </c:pt>
                <c:pt idx="16">
                  <c:v>835.40957142857144</c:v>
                </c:pt>
                <c:pt idx="17">
                  <c:v>2265.7826666666706</c:v>
                </c:pt>
                <c:pt idx="18">
                  <c:v>3278.3110634090908</c:v>
                </c:pt>
                <c:pt idx="19">
                  <c:v>2444</c:v>
                </c:pt>
                <c:pt idx="20">
                  <c:v>3511.2043917386363</c:v>
                </c:pt>
                <c:pt idx="21">
                  <c:v>3930.8623299999995</c:v>
                </c:pt>
                <c:pt idx="22">
                  <c:v>3141.31355244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93B-4283-8F77-C466F758B05F}"/>
            </c:ext>
          </c:extLst>
        </c:ser>
        <c:ser>
          <c:idx val="2"/>
          <c:order val="2"/>
          <c:tx>
            <c:strRef>
              <c:f>'Extrac-prod Sin Zona Franca'!$B$17</c:f>
              <c:strCache>
                <c:ptCount val="1"/>
                <c:pt idx="0">
                  <c:v>NO CONIFERAS / NON-CONIFEROUS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'Extrac-prod Sin Zona Franca'!$D$14:$Z$14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'Extrac-prod Sin Zona Franca'!$D$17:$Z$17</c:f>
              <c:numCache>
                <c:formatCode>0</c:formatCode>
                <c:ptCount val="23"/>
                <c:pt idx="0">
                  <c:v>3235.8235532004369</c:v>
                </c:pt>
                <c:pt idx="1">
                  <c:v>3273.05167419998</c:v>
                </c:pt>
                <c:pt idx="2">
                  <c:v>3490.2060005941366</c:v>
                </c:pt>
                <c:pt idx="3">
                  <c:v>3998.492465594898</c:v>
                </c:pt>
                <c:pt idx="4">
                  <c:v>5174.6909205344809</c:v>
                </c:pt>
                <c:pt idx="5">
                  <c:v>5698.7933930811269</c:v>
                </c:pt>
                <c:pt idx="6">
                  <c:v>6352.3880168108499</c:v>
                </c:pt>
                <c:pt idx="7">
                  <c:v>7126.6597722964689</c:v>
                </c:pt>
                <c:pt idx="8">
                  <c:v>9091.6383255979435</c:v>
                </c:pt>
                <c:pt idx="9">
                  <c:v>8128.6161378103916</c:v>
                </c:pt>
                <c:pt idx="10">
                  <c:v>11222.424173024516</c:v>
                </c:pt>
                <c:pt idx="11">
                  <c:v>9666.3060028440268</c:v>
                </c:pt>
                <c:pt idx="12">
                  <c:v>8879.9036356919933</c:v>
                </c:pt>
                <c:pt idx="13">
                  <c:v>9924.242866147024</c:v>
                </c:pt>
                <c:pt idx="14">
                  <c:v>11586.2325</c:v>
                </c:pt>
                <c:pt idx="15">
                  <c:v>13035.809433962264</c:v>
                </c:pt>
                <c:pt idx="16">
                  <c:v>13247.280999999999</c:v>
                </c:pt>
                <c:pt idx="17">
                  <c:v>13629.985296791208</c:v>
                </c:pt>
                <c:pt idx="18">
                  <c:v>13709.830130977776</c:v>
                </c:pt>
                <c:pt idx="19">
                  <c:v>13590</c:v>
                </c:pt>
                <c:pt idx="20">
                  <c:v>14463.827065719999</c:v>
                </c:pt>
                <c:pt idx="21">
                  <c:v>14148.315711720001</c:v>
                </c:pt>
                <c:pt idx="22">
                  <c:v>13864.696718064686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93B-4283-8F77-C466F758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7936"/>
        <c:axId val="192094208"/>
      </c:lineChart>
      <c:catAx>
        <c:axId val="192087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92094208"/>
        <c:crosses val="autoZero"/>
        <c:auto val="1"/>
        <c:lblAlgn val="ctr"/>
        <c:lblOffset val="100"/>
        <c:noMultiLvlLbl val="0"/>
      </c:catAx>
      <c:valAx>
        <c:axId val="19209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Extracción de madera en miles de m3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Y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Y"/>
          </a:p>
        </c:txPr>
        <c:crossAx val="19208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947069116360453E-3"/>
          <c:y val="0.8340988626421697"/>
          <c:w val="0.99225503062117237"/>
          <c:h val="0.138123359580052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FFC-4224-B290-8BCD56464D1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0FFC-4224-B290-8BCD56464D1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FFC-4224-B290-8BCD56464D1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0FFC-4224-B290-8BCD56464D1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'Extrac-prod Sin Zona Franca'!$B$16:$B$17</c:f>
              <c:strCache>
                <c:ptCount val="2"/>
                <c:pt idx="0">
                  <c:v>CONIFERAS / CONIFEROUS </c:v>
                </c:pt>
                <c:pt idx="1">
                  <c:v>NO CONIFERAS / NON-CONIFEROUS </c:v>
                </c:pt>
              </c:strCache>
            </c:strRef>
          </c:cat>
          <c:val>
            <c:numRef>
              <c:f>'Extrac-prod Sin Zona Franca'!$Y$16:$Y$17</c:f>
              <c:numCache>
                <c:formatCode>0</c:formatCode>
                <c:ptCount val="2"/>
                <c:pt idx="0">
                  <c:v>3930.8623299999995</c:v>
                </c:pt>
                <c:pt idx="1">
                  <c:v>14148.315711720001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C-4224-B290-8BCD56464D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336071987480438"/>
          <c:y val="0.12692838624063141"/>
          <c:w val="0.77327856025039121"/>
          <c:h val="0.7461432275187371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3F68-4BED-A4C7-6814B023FF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3F68-4BED-A4C7-6814B023FF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3F68-4BED-A4C7-6814B023FF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3F68-4BED-A4C7-6814B023FF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F68-4BED-A4C7-6814B023FFD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3F68-4BED-A4C7-6814B023FFD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F68-4BED-A4C7-6814B023FFD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3F68-4BED-A4C7-6814B023FFD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graficos_extra_prod!$G$26:$G$29</c:f>
              <c:strCache>
                <c:ptCount val="4"/>
                <c:pt idx="0">
                  <c:v>Madera para pulpa (rolliza y chips)</c:v>
                </c:pt>
                <c:pt idx="1">
                  <c:v>Combustible de madera, incluida la madera para producir carbón </c:v>
                </c:pt>
                <c:pt idx="2">
                  <c:v>Trozas de aserrío y para chapas</c:v>
                </c:pt>
                <c:pt idx="3">
                  <c:v>Otra madera en rollo industrial</c:v>
                </c:pt>
              </c:strCache>
            </c:strRef>
          </c:cat>
          <c:val>
            <c:numRef>
              <c:f>graficos_extra_prod!$H$26:$H$29</c:f>
              <c:numCache>
                <c:formatCode>#,##0</c:formatCode>
                <c:ptCount val="4"/>
                <c:pt idx="0">
                  <c:v>10608.177667364685</c:v>
                </c:pt>
                <c:pt idx="1">
                  <c:v>2352.3178000000007</c:v>
                </c:pt>
                <c:pt idx="2">
                  <c:v>3995.5148031400004</c:v>
                </c:pt>
                <c:pt idx="3" formatCode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8-4BED-A4C7-6814B023FFD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'VALOS PROMEDIO'!$A$10</c:f>
              <c:strCache>
                <c:ptCount val="1"/>
                <c:pt idx="0">
                  <c:v>MADERA ASERRADA CONÍFERAS (U$S/m3)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'VALOS PROMEDIO'!$K$1:$X$1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'VALOS PROMEDIO'!$K$10:$X$10</c:f>
              <c:numCache>
                <c:formatCode>0</c:formatCode>
                <c:ptCount val="14"/>
                <c:pt idx="0">
                  <c:v>240.07317073170731</c:v>
                </c:pt>
                <c:pt idx="1">
                  <c:v>283.72881355932202</c:v>
                </c:pt>
                <c:pt idx="2">
                  <c:v>303.85964912280701</c:v>
                </c:pt>
                <c:pt idx="3">
                  <c:v>323.07378896525353</c:v>
                </c:pt>
                <c:pt idx="4">
                  <c:v>333.24440526244405</c:v>
                </c:pt>
                <c:pt idx="5">
                  <c:v>331.04725921828094</c:v>
                </c:pt>
                <c:pt idx="6">
                  <c:v>336.81623440079028</c:v>
                </c:pt>
                <c:pt idx="7">
                  <c:v>295.81359091836725</c:v>
                </c:pt>
                <c:pt idx="8">
                  <c:v>260.97663921348305</c:v>
                </c:pt>
                <c:pt idx="9">
                  <c:v>265.13795913725085</c:v>
                </c:pt>
                <c:pt idx="10">
                  <c:v>189.25754165441174</c:v>
                </c:pt>
                <c:pt idx="11">
                  <c:v>186.63179933936425</c:v>
                </c:pt>
                <c:pt idx="12">
                  <c:v>247.40403446522365</c:v>
                </c:pt>
                <c:pt idx="13">
                  <c:v>241.56209565915952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4-4B1D-A878-BB6BDDF94115}"/>
            </c:ext>
          </c:extLst>
        </c:ser>
        <c:ser>
          <c:idx val="2"/>
          <c:order val="1"/>
          <c:tx>
            <c:strRef>
              <c:f>'VALOS PROMEDIO'!$A$13</c:f>
              <c:strCache>
                <c:ptCount val="1"/>
                <c:pt idx="0">
                  <c:v>MADERA ASERRADA NO CONÍFERAS (U$S/m3)</c:v>
                </c:pt>
              </c:strCache>
            </c:strRef>
          </c:tx>
          <c:marker>
            <c:symbol val="none"/>
          </c:marker>
          <c:cat>
            <c:numRef>
              <c:f>'VALOS PROMEDIO'!$K$1:$X$1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'VALOS PROMEDIO'!$K$13:$X$13</c:f>
              <c:numCache>
                <c:formatCode>0</c:formatCode>
                <c:ptCount val="14"/>
                <c:pt idx="0">
                  <c:v>306.01960784313724</c:v>
                </c:pt>
                <c:pt idx="1">
                  <c:v>329.69696969696969</c:v>
                </c:pt>
                <c:pt idx="2">
                  <c:v>325.92</c:v>
                </c:pt>
                <c:pt idx="3">
                  <c:v>351.38043924593353</c:v>
                </c:pt>
                <c:pt idx="4">
                  <c:v>336.32160311542458</c:v>
                </c:pt>
                <c:pt idx="5">
                  <c:v>374.33823529411762</c:v>
                </c:pt>
                <c:pt idx="6">
                  <c:v>357.7229040990606</c:v>
                </c:pt>
                <c:pt idx="7">
                  <c:v>380.80198019801981</c:v>
                </c:pt>
                <c:pt idx="8">
                  <c:v>300.01059260321529</c:v>
                </c:pt>
                <c:pt idx="9">
                  <c:v>345.15688672198206</c:v>
                </c:pt>
                <c:pt idx="10">
                  <c:v>326.18483561615233</c:v>
                </c:pt>
                <c:pt idx="11">
                  <c:v>330.60279246636509</c:v>
                </c:pt>
                <c:pt idx="12">
                  <c:v>369.44947179278921</c:v>
                </c:pt>
                <c:pt idx="13">
                  <c:v>441.25491320513282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1B4-4B1D-A878-BB6BDDF94115}"/>
            </c:ext>
          </c:extLst>
        </c:ser>
        <c:ser>
          <c:idx val="3"/>
          <c:order val="2"/>
          <c:tx>
            <c:strRef>
              <c:f>'VALOS PROMEDIO'!$A$15</c:f>
              <c:strCache>
                <c:ptCount val="1"/>
                <c:pt idx="0">
                  <c:v>TABLEROS DE MADERA TERCIADA (U$S/m3)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'VALOS PROMEDIO'!$K$1:$X$1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'VALOS PROMEDIO'!$K$18:$X$18</c:f>
              <c:numCache>
                <c:formatCode>0</c:formatCode>
                <c:ptCount val="14"/>
                <c:pt idx="0">
                  <c:v>267.62831858407077</c:v>
                </c:pt>
                <c:pt idx="1">
                  <c:v>323.15199999999999</c:v>
                </c:pt>
                <c:pt idx="2">
                  <c:v>274.56165457509422</c:v>
                </c:pt>
                <c:pt idx="3">
                  <c:v>287.86684554383635</c:v>
                </c:pt>
                <c:pt idx="4">
                  <c:v>418.19684359550558</c:v>
                </c:pt>
                <c:pt idx="5">
                  <c:v>380.87231168539381</c:v>
                </c:pt>
                <c:pt idx="6">
                  <c:v>398.90223335030066</c:v>
                </c:pt>
                <c:pt idx="7">
                  <c:v>187.53220301310034</c:v>
                </c:pt>
                <c:pt idx="8">
                  <c:v>283.78068135727699</c:v>
                </c:pt>
                <c:pt idx="9">
                  <c:v>410.19310315392846</c:v>
                </c:pt>
                <c:pt idx="10">
                  <c:v>258.12948925581367</c:v>
                </c:pt>
                <c:pt idx="11">
                  <c:v>369.1500440314137</c:v>
                </c:pt>
                <c:pt idx="12">
                  <c:v>578.95386486338805</c:v>
                </c:pt>
                <c:pt idx="13">
                  <c:v>524.07399145516547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1B4-4B1D-A878-BB6BDDF94115}"/>
            </c:ext>
          </c:extLst>
        </c:ser>
        <c:ser>
          <c:idx val="6"/>
          <c:order val="4"/>
          <c:tx>
            <c:strRef>
              <c:f>'VALOS PROMEDIO'!$A$30</c:f>
              <c:strCache>
                <c:ptCount val="1"/>
                <c:pt idx="0">
                  <c:v>ROLLOS PARA PULPA (ZONA FRANCA URUGUAY) (U$S/m3)  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'VALOS PROMEDIO'!$K$1:$X$1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'VALOS PROMEDIO'!$K$31:$X$31</c:f>
              <c:numCache>
                <c:formatCode>0</c:formatCode>
                <c:ptCount val="14"/>
                <c:pt idx="0">
                  <c:v>48</c:v>
                </c:pt>
                <c:pt idx="1">
                  <c:v>43</c:v>
                </c:pt>
                <c:pt idx="2">
                  <c:v>56</c:v>
                </c:pt>
                <c:pt idx="3">
                  <c:v>64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56</c:v>
                </c:pt>
                <c:pt idx="8">
                  <c:v>67</c:v>
                </c:pt>
                <c:pt idx="9">
                  <c:v>71</c:v>
                </c:pt>
                <c:pt idx="10">
                  <c:v>68.183695940222677</c:v>
                </c:pt>
                <c:pt idx="11">
                  <c:v>59.379931709300777</c:v>
                </c:pt>
                <c:pt idx="12">
                  <c:v>61</c:v>
                </c:pt>
                <c:pt idx="13">
                  <c:v>62.529106892708811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1B4-4B1D-A878-BB6BDDF9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156416"/>
        <c:axId val="196162304"/>
      </c:lineChart>
      <c:lineChart>
        <c:grouping val="standard"/>
        <c:varyColors val="0"/>
        <c:ser>
          <c:idx val="4"/>
          <c:order val="3"/>
          <c:tx>
            <c:strRef>
              <c:f>'VALOS PROMEDIO'!$A$25</c:f>
              <c:strCache>
                <c:ptCount val="1"/>
                <c:pt idx="0">
                  <c:v>PULPA DE MADERA QUIMICA (U$S/ton) 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'VALOS PROMEDIO'!$K$1:$W$1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'VALOS PROMEDIO'!$K$28:$X$28</c:f>
              <c:numCache>
                <c:formatCode>0</c:formatCode>
                <c:ptCount val="14"/>
                <c:pt idx="0">
                  <c:v>533.13091635338355</c:v>
                </c:pt>
                <c:pt idx="1">
                  <c:v>818.09769306049827</c:v>
                </c:pt>
                <c:pt idx="2">
                  <c:v>820.6744412296564</c:v>
                </c:pt>
                <c:pt idx="3">
                  <c:v>740.52291281473549</c:v>
                </c:pt>
                <c:pt idx="4">
                  <c:v>634.22757975479658</c:v>
                </c:pt>
                <c:pt idx="5">
                  <c:v>472.63979057591621</c:v>
                </c:pt>
                <c:pt idx="6">
                  <c:v>547.09275730622619</c:v>
                </c:pt>
                <c:pt idx="7">
                  <c:v>482.01744361570053</c:v>
                </c:pt>
                <c:pt idx="8">
                  <c:v>505.28501213707125</c:v>
                </c:pt>
                <c:pt idx="9">
                  <c:v>663.4775071708159</c:v>
                </c:pt>
                <c:pt idx="10">
                  <c:v>544.77499749924982</c:v>
                </c:pt>
                <c:pt idx="11">
                  <c:v>408.37800570459922</c:v>
                </c:pt>
                <c:pt idx="12">
                  <c:v>579.93508627454696</c:v>
                </c:pt>
                <c:pt idx="13">
                  <c:v>709.46562282229115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1B4-4B1D-A878-BB6BDDF94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118168"/>
        <c:axId val="573116856"/>
      </c:lineChart>
      <c:catAx>
        <c:axId val="19615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UY"/>
                  <a:t>Año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UY"/>
          </a:p>
        </c:txPr>
        <c:crossAx val="196162304"/>
        <c:crosses val="autoZero"/>
        <c:auto val="1"/>
        <c:lblAlgn val="ctr"/>
        <c:lblOffset val="100"/>
        <c:noMultiLvlLbl val="0"/>
      </c:catAx>
      <c:valAx>
        <c:axId val="196162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UY"/>
                  <a:t>U$S/m3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s-UY"/>
          </a:p>
        </c:txPr>
        <c:crossAx val="196156416"/>
        <c:crosses val="autoZero"/>
        <c:crossBetween val="between"/>
      </c:valAx>
      <c:valAx>
        <c:axId val="5731168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s-UY"/>
                  <a:t>U$S/ton pulpa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573118168"/>
        <c:crosses val="max"/>
        <c:crossBetween val="between"/>
      </c:valAx>
      <c:catAx>
        <c:axId val="573118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311685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s-UY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UY">
                <a:solidFill>
                  <a:schemeClr val="tx1"/>
                </a:solidFill>
              </a:rPr>
              <a:t>EXPORTACIONES DE PRODUCTOS FORESTALES
 (Rubros principales - Sin Zona Franca)</a:t>
            </a:r>
          </a:p>
        </c:rich>
      </c:tx>
      <c:layout>
        <c:manualLayout>
          <c:xMode val="edge"/>
          <c:yMode val="edge"/>
          <c:x val="0.21072700484930226"/>
          <c:y val="6.5390611484299435E-2"/>
        </c:manualLayout>
      </c:layout>
      <c:overlay val="0"/>
    </c:title>
    <c:autoTitleDeleted val="0"/>
    <c:view3D>
      <c:rotX val="0"/>
      <c:rotY val="0"/>
      <c:depthPercent val="10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3960626668878287"/>
          <c:y val="0.18122857804539139"/>
          <c:w val="0.79269983445377878"/>
          <c:h val="0.61638200555812872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'EXPORT VALOR Sin Zona Franca'!$B$17</c:f>
              <c:strCache>
                <c:ptCount val="1"/>
                <c:pt idx="0">
                  <c:v>MADERA EN ROLLO / ROUNDWOOD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'EXPORT VALOR Sin Zona Franca'!$C$16:$Y$16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Franca'!$C$17:$Y$17</c:f>
              <c:numCache>
                <c:formatCode>0</c:formatCode>
                <c:ptCount val="23"/>
                <c:pt idx="0">
                  <c:v>39388</c:v>
                </c:pt>
                <c:pt idx="1">
                  <c:v>40853</c:v>
                </c:pt>
                <c:pt idx="2">
                  <c:v>42982</c:v>
                </c:pt>
                <c:pt idx="3">
                  <c:v>47523</c:v>
                </c:pt>
                <c:pt idx="4">
                  <c:v>56534</c:v>
                </c:pt>
                <c:pt idx="5">
                  <c:v>55735</c:v>
                </c:pt>
                <c:pt idx="6">
                  <c:v>73635</c:v>
                </c:pt>
                <c:pt idx="7">
                  <c:v>112511</c:v>
                </c:pt>
                <c:pt idx="8">
                  <c:v>177363</c:v>
                </c:pt>
                <c:pt idx="9">
                  <c:v>196005</c:v>
                </c:pt>
                <c:pt idx="10">
                  <c:v>248025</c:v>
                </c:pt>
                <c:pt idx="11">
                  <c:v>255110</c:v>
                </c:pt>
                <c:pt idx="12">
                  <c:v>267964.76043999998</c:v>
                </c:pt>
                <c:pt idx="13">
                  <c:v>319262.45611999999</c:v>
                </c:pt>
                <c:pt idx="14">
                  <c:v>450753.03768000001</c:v>
                </c:pt>
                <c:pt idx="15">
                  <c:v>592769.29306000017</c:v>
                </c:pt>
                <c:pt idx="16">
                  <c:v>640732.51043999975</c:v>
                </c:pt>
                <c:pt idx="17">
                  <c:v>759543.04339999915</c:v>
                </c:pt>
                <c:pt idx="18">
                  <c:v>748082.67436999956</c:v>
                </c:pt>
                <c:pt idx="19">
                  <c:v>693620.55342999997</c:v>
                </c:pt>
                <c:pt idx="20">
                  <c:v>794882.62886999967</c:v>
                </c:pt>
                <c:pt idx="21">
                  <c:v>764909.53108000034</c:v>
                </c:pt>
                <c:pt idx="22">
                  <c:v>721176.68356999964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C-4D2B-A922-8D80B07FFD73}"/>
            </c:ext>
          </c:extLst>
        </c:ser>
        <c:ser>
          <c:idx val="1"/>
          <c:order val="1"/>
          <c:tx>
            <c:strRef>
              <c:f>'EXPORT VALOR Sin Zona Franca'!$B$24</c:f>
              <c:strCache>
                <c:ptCount val="1"/>
                <c:pt idx="0">
                  <c:v>ASTILLAS Y PARTÍCULAS (CHIPS) / WOOD CHIPS AND PARTICLES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'EXPORT VALOR Sin Zona Franca'!$C$16:$Y$16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Franca'!$C$24:$Y$24</c:f>
              <c:numCache>
                <c:formatCode>0</c:formatCode>
                <c:ptCount val="23"/>
                <c:pt idx="0">
                  <c:v>426</c:v>
                </c:pt>
                <c:pt idx="1">
                  <c:v>667</c:v>
                </c:pt>
                <c:pt idx="2">
                  <c:v>667</c:v>
                </c:pt>
                <c:pt idx="3">
                  <c:v>10865</c:v>
                </c:pt>
                <c:pt idx="4">
                  <c:v>32694</c:v>
                </c:pt>
                <c:pt idx="5">
                  <c:v>62286</c:v>
                </c:pt>
                <c:pt idx="6">
                  <c:v>69015</c:v>
                </c:pt>
                <c:pt idx="7">
                  <c:v>65394</c:v>
                </c:pt>
                <c:pt idx="8">
                  <c:v>165848</c:v>
                </c:pt>
                <c:pt idx="9">
                  <c:v>79696</c:v>
                </c:pt>
                <c:pt idx="10">
                  <c:v>130234</c:v>
                </c:pt>
                <c:pt idx="11">
                  <c:v>158239</c:v>
                </c:pt>
                <c:pt idx="12">
                  <c:v>73302</c:v>
                </c:pt>
                <c:pt idx="13">
                  <c:v>82060</c:v>
                </c:pt>
                <c:pt idx="14">
                  <c:v>68707</c:v>
                </c:pt>
                <c:pt idx="15">
                  <c:v>64376.165129999979</c:v>
                </c:pt>
                <c:pt idx="16">
                  <c:v>85270.805520000024</c:v>
                </c:pt>
                <c:pt idx="17">
                  <c:v>73020.814040000041</c:v>
                </c:pt>
                <c:pt idx="18">
                  <c:v>105377.86428000001</c:v>
                </c:pt>
                <c:pt idx="19">
                  <c:v>108958.80973000004</c:v>
                </c:pt>
                <c:pt idx="20">
                  <c:v>26887.544680000003</c:v>
                </c:pt>
                <c:pt idx="21">
                  <c:v>80839.981619999991</c:v>
                </c:pt>
                <c:pt idx="22">
                  <c:v>120169.68204999999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C-4D2B-A922-8D80B07FFD73}"/>
            </c:ext>
          </c:extLst>
        </c:ser>
        <c:ser>
          <c:idx val="2"/>
          <c:order val="2"/>
          <c:tx>
            <c:strRef>
              <c:f>'EXPORT VALOR Sin Zona Franca'!$B$27</c:f>
              <c:strCache>
                <c:ptCount val="1"/>
                <c:pt idx="0">
                  <c:v>MADERA ASERRADA / SAWNWOOD</c:v>
                </c:pt>
              </c:strCache>
            </c:strRef>
          </c:tx>
          <c:invertIfNegative val="0"/>
          <c:cat>
            <c:numRef>
              <c:f>'EXPORT VALOR Sin Zona Franca'!$C$16:$Y$16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Franca'!$C$27:$Y$27</c:f>
              <c:numCache>
                <c:formatCode>0</c:formatCode>
                <c:ptCount val="23"/>
                <c:pt idx="0">
                  <c:v>7793</c:v>
                </c:pt>
                <c:pt idx="1">
                  <c:v>7011</c:v>
                </c:pt>
                <c:pt idx="2">
                  <c:v>8759</c:v>
                </c:pt>
                <c:pt idx="3">
                  <c:v>12793</c:v>
                </c:pt>
                <c:pt idx="4">
                  <c:v>18137</c:v>
                </c:pt>
                <c:pt idx="5">
                  <c:v>22734</c:v>
                </c:pt>
                <c:pt idx="6">
                  <c:v>25579</c:v>
                </c:pt>
                <c:pt idx="7">
                  <c:v>30648</c:v>
                </c:pt>
                <c:pt idx="8">
                  <c:v>29446</c:v>
                </c:pt>
                <c:pt idx="9">
                  <c:v>25450</c:v>
                </c:pt>
                <c:pt idx="10">
                  <c:v>38500</c:v>
                </c:pt>
                <c:pt idx="11">
                  <c:v>49912</c:v>
                </c:pt>
                <c:pt idx="12">
                  <c:v>49849.714240000001</c:v>
                </c:pt>
                <c:pt idx="13">
                  <c:v>63406.495999999999</c:v>
                </c:pt>
                <c:pt idx="14">
                  <c:v>76173</c:v>
                </c:pt>
                <c:pt idx="15">
                  <c:v>67526.119759999943</c:v>
                </c:pt>
                <c:pt idx="16">
                  <c:v>67450.714569999953</c:v>
                </c:pt>
                <c:pt idx="17">
                  <c:v>93031</c:v>
                </c:pt>
                <c:pt idx="18">
                  <c:v>115454.60897000006</c:v>
                </c:pt>
                <c:pt idx="19">
                  <c:v>97337.109619999974</c:v>
                </c:pt>
                <c:pt idx="20">
                  <c:v>107266.82473999998</c:v>
                </c:pt>
                <c:pt idx="21">
                  <c:v>159748.59484000003</c:v>
                </c:pt>
                <c:pt idx="22">
                  <c:v>183572.58491999999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C-4D2B-A922-8D80B07FFD73}"/>
            </c:ext>
          </c:extLst>
        </c:ser>
        <c:ser>
          <c:idx val="3"/>
          <c:order val="3"/>
          <c:tx>
            <c:strRef>
              <c:f>'EXPORT VALOR Sin Zona Franca'!$B$30</c:f>
              <c:strCache>
                <c:ptCount val="1"/>
                <c:pt idx="0">
                  <c:v>TABLEROS DE MADERA Y HOJAS DE CHAPA / WOOD-BASED PANELS AND VENEERS</c:v>
                </c:pt>
              </c:strCache>
            </c:strRef>
          </c:tx>
          <c:invertIfNegative val="0"/>
          <c:cat>
            <c:numRef>
              <c:f>'EXPORT VALOR Sin Zona Franca'!$C$16:$Y$16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Franca'!$C$30:$Y$30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4</c:v>
                </c:pt>
                <c:pt idx="4">
                  <c:v>10</c:v>
                </c:pt>
                <c:pt idx="5">
                  <c:v>559</c:v>
                </c:pt>
                <c:pt idx="6">
                  <c:v>14623</c:v>
                </c:pt>
                <c:pt idx="7">
                  <c:v>33610</c:v>
                </c:pt>
                <c:pt idx="8">
                  <c:v>47563</c:v>
                </c:pt>
                <c:pt idx="9">
                  <c:v>31895</c:v>
                </c:pt>
                <c:pt idx="10">
                  <c:v>53490</c:v>
                </c:pt>
                <c:pt idx="11">
                  <c:v>53493</c:v>
                </c:pt>
                <c:pt idx="12">
                  <c:v>72462.708769999997</c:v>
                </c:pt>
                <c:pt idx="13">
                  <c:v>84892.809439999997</c:v>
                </c:pt>
                <c:pt idx="14">
                  <c:v>74476.200330000094</c:v>
                </c:pt>
                <c:pt idx="15">
                  <c:v>62565.051059999954</c:v>
                </c:pt>
                <c:pt idx="16">
                  <c:v>43013.765979999982</c:v>
                </c:pt>
                <c:pt idx="17">
                  <c:v>63676.238750000019</c:v>
                </c:pt>
                <c:pt idx="18">
                  <c:v>76312.837689999869</c:v>
                </c:pt>
                <c:pt idx="19">
                  <c:v>55497.840189999944</c:v>
                </c:pt>
                <c:pt idx="20">
                  <c:v>70518.901930000022</c:v>
                </c:pt>
                <c:pt idx="21">
                  <c:v>106035.66760000002</c:v>
                </c:pt>
                <c:pt idx="22">
                  <c:v>104103.17702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C-4D2B-A922-8D80B07FFD73}"/>
            </c:ext>
          </c:extLst>
        </c:ser>
        <c:ser>
          <c:idx val="4"/>
          <c:order val="4"/>
          <c:tx>
            <c:strRef>
              <c:f>'EXPORT VALOR Sin Zona Franca'!$B$54</c:f>
              <c:strCache>
                <c:ptCount val="1"/>
                <c:pt idx="0">
                  <c:v>PAPEL Y CARTÓN / PAPER AND PAPERBOARD</c:v>
                </c:pt>
              </c:strCache>
            </c:strRef>
          </c:tx>
          <c:invertIfNegative val="0"/>
          <c:cat>
            <c:numRef>
              <c:f>'EXPORT VALOR Sin Zona Franca'!$C$16:$Y$16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Franca'!$C$54:$Y$54</c:f>
              <c:numCache>
                <c:formatCode>0</c:formatCode>
                <c:ptCount val="23"/>
                <c:pt idx="0">
                  <c:v>36169</c:v>
                </c:pt>
                <c:pt idx="1">
                  <c:v>32918</c:v>
                </c:pt>
                <c:pt idx="2">
                  <c:v>32634</c:v>
                </c:pt>
                <c:pt idx="3">
                  <c:v>31419</c:v>
                </c:pt>
                <c:pt idx="4">
                  <c:v>31617</c:v>
                </c:pt>
                <c:pt idx="5">
                  <c:v>33654</c:v>
                </c:pt>
                <c:pt idx="6">
                  <c:v>36415</c:v>
                </c:pt>
                <c:pt idx="7">
                  <c:v>36451</c:v>
                </c:pt>
                <c:pt idx="8">
                  <c:v>39643</c:v>
                </c:pt>
                <c:pt idx="9">
                  <c:v>30972</c:v>
                </c:pt>
                <c:pt idx="10">
                  <c:v>41115</c:v>
                </c:pt>
                <c:pt idx="11">
                  <c:v>41715</c:v>
                </c:pt>
                <c:pt idx="12">
                  <c:v>46110.601649999997</c:v>
                </c:pt>
                <c:pt idx="13">
                  <c:v>42274.252780000032</c:v>
                </c:pt>
                <c:pt idx="14">
                  <c:v>56240.305300000131</c:v>
                </c:pt>
                <c:pt idx="15">
                  <c:v>55737.234300000127</c:v>
                </c:pt>
                <c:pt idx="16">
                  <c:v>30296.8308</c:v>
                </c:pt>
                <c:pt idx="17">
                  <c:v>7160.4159099999988</c:v>
                </c:pt>
                <c:pt idx="18">
                  <c:v>2158.5975600000002</c:v>
                </c:pt>
                <c:pt idx="19">
                  <c:v>4042.7956000000008</c:v>
                </c:pt>
                <c:pt idx="20">
                  <c:v>581.32862000000011</c:v>
                </c:pt>
                <c:pt idx="21">
                  <c:v>449.32128999999998</c:v>
                </c:pt>
                <c:pt idx="22">
                  <c:v>467.29692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AC-4D2B-A922-8D80B07FF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53568"/>
        <c:axId val="111855104"/>
        <c:axId val="0"/>
      </c:bar3DChart>
      <c:catAx>
        <c:axId val="1118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ES"/>
            </a:pPr>
            <a:endParaRPr lang="es-UY"/>
          </a:p>
        </c:txPr>
        <c:crossAx val="111855104"/>
        <c:crosses val="autoZero"/>
        <c:auto val="1"/>
        <c:lblAlgn val="ctr"/>
        <c:lblOffset val="100"/>
        <c:noMultiLvlLbl val="0"/>
      </c:catAx>
      <c:valAx>
        <c:axId val="111855104"/>
        <c:scaling>
          <c:orientation val="minMax"/>
          <c:max val="1150000.000000000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2.6578071793070486E-2"/>
              <c:y val="0.3271889318919920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11853568"/>
        <c:crosses val="autoZero"/>
        <c:crossBetween val="between"/>
        <c:majorUnit val="60000"/>
      </c:valAx>
    </c:plotArea>
    <c:legend>
      <c:legendPos val="b"/>
      <c:layout>
        <c:manualLayout>
          <c:xMode val="edge"/>
          <c:yMode val="edge"/>
          <c:x val="1.8174047946608905E-2"/>
          <c:y val="0.85629736423792058"/>
          <c:w val="0.97026061333411595"/>
          <c:h val="0.12382333370300549"/>
        </c:manualLayout>
      </c:layout>
      <c:overlay val="0"/>
      <c:txPr>
        <a:bodyPr/>
        <a:lstStyle/>
        <a:p>
          <a:pPr>
            <a:defRPr lang="es-ES" sz="800"/>
          </a:pPr>
          <a:endParaRPr lang="es-UY"/>
        </a:p>
      </c:txPr>
    </c:legend>
    <c:plotVisOnly val="1"/>
    <c:dispBlanksAs val="gap"/>
    <c:showDLblsOverMax val="0"/>
  </c:chart>
  <c:printSettings>
    <c:headerFooter alignWithMargins="0"/>
    <c:pageMargins b="1" l="0.75000000000000411" r="0.75000000000000411" t="1" header="0" footer="0"/>
    <c:pageSetup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UY" sz="1400"/>
              <a:t>EXPORTACIONES E IMPORTACIONES TOTALES
DE PRODUCTOS FORESTALES</a:t>
            </a:r>
          </a:p>
          <a:p>
            <a:pPr>
              <a:defRPr lang="es-ES" sz="1400"/>
            </a:pPr>
            <a:r>
              <a:rPr lang="es-UY" sz="1400"/>
              <a:t>(Sin Zona Franca)</a:t>
            </a:r>
          </a:p>
        </c:rich>
      </c:tx>
      <c:layout>
        <c:manualLayout>
          <c:xMode val="edge"/>
          <c:yMode val="edge"/>
          <c:x val="0.26196473551637278"/>
          <c:y val="3.1746031746031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2384550797648"/>
          <c:y val="0.17989480481606476"/>
          <c:w val="0.80646515533165375"/>
          <c:h val="0.58352351789359669"/>
        </c:manualLayout>
      </c:layout>
      <c:lineChart>
        <c:grouping val="standard"/>
        <c:varyColors val="0"/>
        <c:ser>
          <c:idx val="0"/>
          <c:order val="0"/>
          <c:tx>
            <c:strRef>
              <c:f>'IMPORT VALOR  Sin ZF_NUM &gt;'!$A$11:$S$11</c:f>
              <c:strCache>
                <c:ptCount val="19"/>
                <c:pt idx="0">
                  <c:v>IMPORTACIONES (VALOR FOB Miles de U$S  SIN ZONAS FRANCAS) / IMPORTS (WITHOUT FREE ZONES VOLUME VALUE U$S Mill. FOB)</c:v>
                </c:pt>
              </c:strCache>
            </c:strRef>
          </c:tx>
          <c:marker>
            <c:symbol val="none"/>
          </c:marker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'IMPORT VALOR  Sin ZF_NUM &gt;'!$C$95:$Y$95</c:f>
              <c:numCache>
                <c:formatCode>0</c:formatCode>
                <c:ptCount val="23"/>
                <c:pt idx="0">
                  <c:v>24200</c:v>
                </c:pt>
                <c:pt idx="1">
                  <c:v>52867</c:v>
                </c:pt>
                <c:pt idx="2">
                  <c:v>77559</c:v>
                </c:pt>
                <c:pt idx="3">
                  <c:v>66009</c:v>
                </c:pt>
                <c:pt idx="4">
                  <c:v>76077</c:v>
                </c:pt>
                <c:pt idx="5">
                  <c:v>137557</c:v>
                </c:pt>
                <c:pt idx="6">
                  <c:v>153582</c:v>
                </c:pt>
                <c:pt idx="7">
                  <c:v>177585</c:v>
                </c:pt>
                <c:pt idx="8">
                  <c:v>209366</c:v>
                </c:pt>
                <c:pt idx="9">
                  <c:v>202481</c:v>
                </c:pt>
                <c:pt idx="10">
                  <c:v>245891</c:v>
                </c:pt>
                <c:pt idx="11">
                  <c:v>317995</c:v>
                </c:pt>
                <c:pt idx="12">
                  <c:v>251502.87853000002</c:v>
                </c:pt>
                <c:pt idx="13">
                  <c:v>244892.68232000002</c:v>
                </c:pt>
                <c:pt idx="14">
                  <c:v>295157.36905000015</c:v>
                </c:pt>
                <c:pt idx="15">
                  <c:v>279463.65789000003</c:v>
                </c:pt>
                <c:pt idx="16">
                  <c:v>253183.93671999971</c:v>
                </c:pt>
                <c:pt idx="17">
                  <c:v>283598.82776999974</c:v>
                </c:pt>
                <c:pt idx="18">
                  <c:v>292519.62277000002</c:v>
                </c:pt>
                <c:pt idx="19">
                  <c:v>264127.00355999987</c:v>
                </c:pt>
                <c:pt idx="20">
                  <c:v>274703.31974999997</c:v>
                </c:pt>
                <c:pt idx="21">
                  <c:v>309568.77518000006</c:v>
                </c:pt>
                <c:pt idx="22">
                  <c:v>319582.11906000006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7B8-4C8E-87AF-7FF9A6E88E66}"/>
            </c:ext>
          </c:extLst>
        </c:ser>
        <c:ser>
          <c:idx val="1"/>
          <c:order val="1"/>
          <c:tx>
            <c:strRef>
              <c:f>'EXPORT VALOR Sin Zona Franca'!$A$15:$S$15</c:f>
              <c:strCache>
                <c:ptCount val="19"/>
                <c:pt idx="0">
                  <c:v>EXPORTACIONES (VALOR FOB Miles de U$S  SIN ZONAS FRANCAS) / EXPORTS (WITHOUT FREE ZONES VOLUME VALUE U$S Mill. FOB)</c:v>
                </c:pt>
              </c:strCache>
            </c:strRef>
          </c:tx>
          <c:marker>
            <c:symbol val="none"/>
          </c:marker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Franca'!$C$94:$Y$94</c:f>
              <c:numCache>
                <c:formatCode>0</c:formatCode>
                <c:ptCount val="23"/>
                <c:pt idx="0">
                  <c:v>85189</c:v>
                </c:pt>
                <c:pt idx="1">
                  <c:v>83915</c:v>
                </c:pt>
                <c:pt idx="2">
                  <c:v>100530</c:v>
                </c:pt>
                <c:pt idx="3">
                  <c:v>116276</c:v>
                </c:pt>
                <c:pt idx="4">
                  <c:v>162381</c:v>
                </c:pt>
                <c:pt idx="5">
                  <c:v>206800</c:v>
                </c:pt>
                <c:pt idx="6">
                  <c:v>252344</c:v>
                </c:pt>
                <c:pt idx="7">
                  <c:v>293023</c:v>
                </c:pt>
                <c:pt idx="8">
                  <c:v>502390</c:v>
                </c:pt>
                <c:pt idx="9">
                  <c:v>446887</c:v>
                </c:pt>
                <c:pt idx="10">
                  <c:v>572032</c:v>
                </c:pt>
                <c:pt idx="11">
                  <c:v>638068</c:v>
                </c:pt>
                <c:pt idx="12">
                  <c:v>567836.47548000002</c:v>
                </c:pt>
                <c:pt idx="13">
                  <c:v>646890.89564999996</c:v>
                </c:pt>
                <c:pt idx="14">
                  <c:v>771420.46668000019</c:v>
                </c:pt>
                <c:pt idx="15">
                  <c:v>877126.54916000017</c:v>
                </c:pt>
                <c:pt idx="16">
                  <c:v>898962.30918999971</c:v>
                </c:pt>
                <c:pt idx="17">
                  <c:v>1028222.1422199992</c:v>
                </c:pt>
                <c:pt idx="18">
                  <c:v>1084780.8901899995</c:v>
                </c:pt>
                <c:pt idx="19">
                  <c:v>991636.54974999989</c:v>
                </c:pt>
                <c:pt idx="20">
                  <c:v>1026046.3824499997</c:v>
                </c:pt>
                <c:pt idx="21">
                  <c:v>1140075.1578800003</c:v>
                </c:pt>
                <c:pt idx="22">
                  <c:v>1170885.3749599995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7B8-4C8E-87AF-7FF9A6E88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25600"/>
        <c:axId val="112027520"/>
      </c:lineChart>
      <c:catAx>
        <c:axId val="1120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Años</a:t>
                </a:r>
              </a:p>
            </c:rich>
          </c:tx>
          <c:layout>
            <c:manualLayout>
              <c:xMode val="edge"/>
              <c:yMode val="edge"/>
              <c:x val="0.50629722921914355"/>
              <c:y val="0.80839186768320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800"/>
            </a:pPr>
            <a:endParaRPr lang="es-UY"/>
          </a:p>
        </c:txPr>
        <c:crossAx val="1120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27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3.0226700251889171E-2"/>
              <c:y val="0.276644794400699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12025600"/>
        <c:crosses val="autoZero"/>
        <c:crossBetween val="between"/>
        <c:majorUnit val="10000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9.6557514693534838E-3"/>
          <c:y val="0.88435570553680787"/>
          <c:w val="0.97817000204949511"/>
          <c:h val="7.9848977211182004E-2"/>
        </c:manualLayout>
      </c:layout>
      <c:overlay val="0"/>
      <c:txPr>
        <a:bodyPr/>
        <a:lstStyle/>
        <a:p>
          <a:pPr>
            <a:defRPr lang="es-ES" sz="900"/>
          </a:pPr>
          <a:endParaRPr lang="es-UY"/>
        </a:p>
      </c:txPr>
    </c:legend>
    <c:plotVisOnly val="1"/>
    <c:dispBlanksAs val="gap"/>
    <c:showDLblsOverMax val="0"/>
  </c:chart>
  <c:spPr>
    <a:noFill/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" l="0.75000000000000411" r="0.75000000000000411" t="1" header="0" footer="0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UY"/>
              <a:t>EXPORTACIONES E IMPORTACIONES TOTALES
DE PRODUCTOS FORESTALES</a:t>
            </a:r>
          </a:p>
          <a:p>
            <a:pPr>
              <a:defRPr lang="es-ES"/>
            </a:pPr>
            <a:r>
              <a:rPr lang="es-UY"/>
              <a:t>(Con Zona Franca)</a:t>
            </a:r>
          </a:p>
        </c:rich>
      </c:tx>
      <c:layout>
        <c:manualLayout>
          <c:xMode val="edge"/>
          <c:yMode val="edge"/>
          <c:x val="0.26196465054056606"/>
          <c:y val="3.17459395066392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09571788413211"/>
          <c:y val="0.23809576534103374"/>
          <c:w val="0.76952141057935231"/>
          <c:h val="0.53061341990287503"/>
        </c:manualLayout>
      </c:layout>
      <c:lineChart>
        <c:grouping val="standard"/>
        <c:varyColors val="0"/>
        <c:ser>
          <c:idx val="1"/>
          <c:order val="0"/>
          <c:tx>
            <c:strRef>
              <c:f>'EXPORT VALOR Con Zona Franca'!$A$12:$G$12</c:f>
              <c:strCache>
                <c:ptCount val="7"/>
                <c:pt idx="0">
                  <c:v>EXPORTACIONES (VALOR FOB Miles de U$S  CON ZONAS FRANCAS) / EXPORTS (WITH FREE ZONES VOLUME VALUE U$S Mil. FOB)</c:v>
                </c:pt>
              </c:strCache>
            </c:strRef>
          </c:tx>
          <c:marker>
            <c:symbol val="none"/>
          </c:marker>
          <c:cat>
            <c:numRef>
              <c:f>'EXPORT VALOR Con Zona Franca'!$C$70:$M$70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Franca'!$C$90:$M$90</c:f>
              <c:numCache>
                <c:formatCode>0</c:formatCode>
                <c:ptCount val="11"/>
                <c:pt idx="0">
                  <c:v>1143485.8501900001</c:v>
                </c:pt>
                <c:pt idx="1">
                  <c:v>1117961.00398</c:v>
                </c:pt>
                <c:pt idx="2">
                  <c:v>1236849.2338</c:v>
                </c:pt>
                <c:pt idx="3">
                  <c:v>1564529.9695199998</c:v>
                </c:pt>
                <c:pt idx="4">
                  <c:v>1512855.9107099997</c:v>
                </c:pt>
                <c:pt idx="5">
                  <c:v>1697667.2645599998</c:v>
                </c:pt>
                <c:pt idx="6">
                  <c:v>2187564.2426399998</c:v>
                </c:pt>
                <c:pt idx="7">
                  <c:v>1804711.6106400003</c:v>
                </c:pt>
                <c:pt idx="8">
                  <c:v>1517099.0223299998</c:v>
                </c:pt>
                <c:pt idx="9">
                  <c:v>2194748.9245922999</c:v>
                </c:pt>
                <c:pt idx="10">
                  <c:v>2503324.7754908698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D5-4082-8B65-7C59A879AC3F}"/>
            </c:ext>
          </c:extLst>
        </c:ser>
        <c:ser>
          <c:idx val="0"/>
          <c:order val="1"/>
          <c:tx>
            <c:strRef>
              <c:f>'IMPORT VALOR CON z F_MENOR'!$A$10:$W$10</c:f>
              <c:strCache>
                <c:ptCount val="23"/>
                <c:pt idx="0">
                  <c:v>IMPORTACIONES (VALOR FOB Miles de U$S CON ZONAS FRANCAS) / IMPORTS (WITH FREE ZONES VOLUME VALUE U$S Mill. FOB)</c:v>
                </c:pt>
              </c:strCache>
            </c:strRef>
          </c:tx>
          <c:marker>
            <c:symbol val="none"/>
          </c:marker>
          <c:cat>
            <c:numRef>
              <c:f>'EXPORT VALOR Con Zona Franca'!$C$70:$M$70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'IMPORT VALOR CON z F_MENOR'!$O$94:$Y$94</c:f>
              <c:numCache>
                <c:formatCode>0</c:formatCode>
                <c:ptCount val="11"/>
                <c:pt idx="0">
                  <c:v>242778.50153000001</c:v>
                </c:pt>
                <c:pt idx="1">
                  <c:v>238311.36942</c:v>
                </c:pt>
                <c:pt idx="2">
                  <c:v>281162.4638300002</c:v>
                </c:pt>
                <c:pt idx="3">
                  <c:v>265180.30260000005</c:v>
                </c:pt>
                <c:pt idx="4">
                  <c:v>252240.47257999977</c:v>
                </c:pt>
                <c:pt idx="5">
                  <c:v>275664.3265999998</c:v>
                </c:pt>
                <c:pt idx="6">
                  <c:v>284322.49254999997</c:v>
                </c:pt>
                <c:pt idx="7">
                  <c:v>264473.33674</c:v>
                </c:pt>
                <c:pt idx="8">
                  <c:v>269601.31483999989</c:v>
                </c:pt>
                <c:pt idx="9">
                  <c:v>304916.79145000002</c:v>
                </c:pt>
                <c:pt idx="10">
                  <c:v>318930.11718000006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1F-4EA6-932F-E1F53AC16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604416"/>
        <c:axId val="146606336"/>
      </c:lineChart>
      <c:catAx>
        <c:axId val="1466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Años</a:t>
                </a:r>
              </a:p>
            </c:rich>
          </c:tx>
          <c:layout>
            <c:manualLayout>
              <c:xMode val="edge"/>
              <c:yMode val="edge"/>
              <c:x val="0.51083613645853765"/>
              <c:y val="0.812306934062452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466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660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2.2833046146240283E-2"/>
              <c:y val="0.3466507830432660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46604416"/>
        <c:crosses val="autoZero"/>
        <c:crossBetween val="between"/>
        <c:majorUnit val="20000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1.976422177758751E-2"/>
          <c:y val="0.8565126676602085"/>
          <c:w val="0.32994154687240324"/>
          <c:h val="0.14348739016318612"/>
        </c:manualLayout>
      </c:layout>
      <c:overlay val="0"/>
      <c:txPr>
        <a:bodyPr/>
        <a:lstStyle/>
        <a:p>
          <a:pPr>
            <a:defRPr lang="es-ES"/>
          </a:pPr>
          <a:endParaRPr lang="es-UY"/>
        </a:p>
      </c:txPr>
    </c:legend>
    <c:plotVisOnly val="1"/>
    <c:dispBlanksAs val="gap"/>
    <c:showDLblsOverMax val="0"/>
  </c:chart>
  <c:spPr>
    <a:solidFill>
      <a:schemeClr val="bg1"/>
    </a:solidFill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" l="0.75000000000000411" r="0.75000000000000411" t="1" header="0" footer="0"/>
    <c:pageSetup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UY"/>
              <a:t>EXPORTACIONES DE PRODUCTOS FORESTALES
 (Rubros principales</a:t>
            </a:r>
            <a:r>
              <a:rPr lang="es-UY" baseline="0"/>
              <a:t> - Con Zona Franca)</a:t>
            </a:r>
            <a:endParaRPr lang="es-UY"/>
          </a:p>
        </c:rich>
      </c:tx>
      <c:layout>
        <c:manualLayout>
          <c:xMode val="edge"/>
          <c:yMode val="edge"/>
          <c:x val="0.21072700484930226"/>
          <c:y val="6.53905390539061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3378222703574689"/>
          <c:y val="0.16129340389828362"/>
          <c:w val="0.54817275747508365"/>
          <c:h val="0.59677419354839156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'EXPORT VALOR Con Zona Franca'!$B$14</c:f>
              <c:strCache>
                <c:ptCount val="1"/>
                <c:pt idx="0">
                  <c:v>MADERA EN ROLLO / ROUNDWOOD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Franca'!$C$14:$M$14</c:f>
              <c:numCache>
                <c:formatCode>0</c:formatCode>
                <c:ptCount val="11"/>
                <c:pt idx="0">
                  <c:v>16680.043540000002</c:v>
                </c:pt>
                <c:pt idx="1">
                  <c:v>16444.713910000006</c:v>
                </c:pt>
                <c:pt idx="2">
                  <c:v>25498.069000000032</c:v>
                </c:pt>
                <c:pt idx="3">
                  <c:v>23228</c:v>
                </c:pt>
                <c:pt idx="4">
                  <c:v>21441.491379999992</c:v>
                </c:pt>
                <c:pt idx="5">
                  <c:v>107635.37797000006</c:v>
                </c:pt>
                <c:pt idx="6">
                  <c:v>177188.70073999959</c:v>
                </c:pt>
                <c:pt idx="7">
                  <c:v>102777.21201000005</c:v>
                </c:pt>
                <c:pt idx="8">
                  <c:v>161323.76538999999</c:v>
                </c:pt>
                <c:pt idx="9">
                  <c:v>230125.29407000009</c:v>
                </c:pt>
                <c:pt idx="10">
                  <c:v>156556.40642000004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7-48D7-B609-4BACC42F892B}"/>
            </c:ext>
          </c:extLst>
        </c:ser>
        <c:ser>
          <c:idx val="2"/>
          <c:order val="1"/>
          <c:tx>
            <c:strRef>
              <c:f>'EXPORT VALOR Con Zona Franca'!$B$21</c:f>
              <c:strCache>
                <c:ptCount val="1"/>
                <c:pt idx="0">
                  <c:v>ASTILLAS Y PARTÍCULAS (CHIPS) / WOOD CHIPS AND PARTICLES</c:v>
                </c:pt>
              </c:strCache>
            </c:strRef>
          </c:tx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Franca'!$C$21:$M$21</c:f>
              <c:numCache>
                <c:formatCode>0</c:formatCode>
                <c:ptCount val="11"/>
                <c:pt idx="0">
                  <c:v>68513.091610000003</c:v>
                </c:pt>
                <c:pt idx="1">
                  <c:v>79055.850539999999</c:v>
                </c:pt>
                <c:pt idx="2">
                  <c:v>60902</c:v>
                </c:pt>
                <c:pt idx="3">
                  <c:v>56515.9</c:v>
                </c:pt>
                <c:pt idx="4">
                  <c:v>82012.199090000024</c:v>
                </c:pt>
                <c:pt idx="5">
                  <c:v>63438.938670000025</c:v>
                </c:pt>
                <c:pt idx="6">
                  <c:v>98065.019210000028</c:v>
                </c:pt>
                <c:pt idx="7">
                  <c:v>102201.24070000004</c:v>
                </c:pt>
                <c:pt idx="8">
                  <c:v>20911.383880000001</c:v>
                </c:pt>
                <c:pt idx="9">
                  <c:v>74209.065879999995</c:v>
                </c:pt>
                <c:pt idx="10">
                  <c:v>112950.73021999997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7-48D7-B609-4BACC42F892B}"/>
            </c:ext>
          </c:extLst>
        </c:ser>
        <c:ser>
          <c:idx val="3"/>
          <c:order val="2"/>
          <c:tx>
            <c:strRef>
              <c:f>'EXPORT VALOR Con Zona Franca'!$B$24</c:f>
              <c:strCache>
                <c:ptCount val="1"/>
                <c:pt idx="0">
                  <c:v>MADERA ASERRADA / SAWNWOOD</c:v>
                </c:pt>
              </c:strCache>
            </c:strRef>
          </c:tx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Franca'!$C$24:$M$24</c:f>
              <c:numCache>
                <c:formatCode>0</c:formatCode>
                <c:ptCount val="11"/>
                <c:pt idx="0">
                  <c:v>49849.714240000001</c:v>
                </c:pt>
                <c:pt idx="1">
                  <c:v>63406.495999999999</c:v>
                </c:pt>
                <c:pt idx="2">
                  <c:v>76173</c:v>
                </c:pt>
                <c:pt idx="3">
                  <c:v>67526.119759999943</c:v>
                </c:pt>
                <c:pt idx="4">
                  <c:v>67450.714569999953</c:v>
                </c:pt>
                <c:pt idx="5">
                  <c:v>94796.221059999982</c:v>
                </c:pt>
                <c:pt idx="6">
                  <c:v>116192.40345000007</c:v>
                </c:pt>
                <c:pt idx="7">
                  <c:v>97337.109619999974</c:v>
                </c:pt>
                <c:pt idx="8">
                  <c:v>107229.90072999998</c:v>
                </c:pt>
                <c:pt idx="9">
                  <c:v>159724.59164</c:v>
                </c:pt>
                <c:pt idx="10">
                  <c:v>183534.31735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7-48D7-B609-4BACC42F892B}"/>
            </c:ext>
          </c:extLst>
        </c:ser>
        <c:ser>
          <c:idx val="4"/>
          <c:order val="3"/>
          <c:tx>
            <c:strRef>
              <c:f>'EXPORT VALOR Con Zona Franca'!$B$27</c:f>
              <c:strCache>
                <c:ptCount val="1"/>
                <c:pt idx="0">
                  <c:v>TABLEROS DE MADERA Y HOJAS DE CHAPA / WOOD-BASED PANELS AND VENEERS</c:v>
                </c:pt>
              </c:strCache>
            </c:strRef>
          </c:tx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Franca'!$C$27:$M$27</c:f>
              <c:numCache>
                <c:formatCode>0</c:formatCode>
                <c:ptCount val="11"/>
                <c:pt idx="0">
                  <c:v>72462.708769999997</c:v>
                </c:pt>
                <c:pt idx="1">
                  <c:v>84892.809439999997</c:v>
                </c:pt>
                <c:pt idx="2">
                  <c:v>74476.200330000094</c:v>
                </c:pt>
                <c:pt idx="3">
                  <c:v>62565.051059999954</c:v>
                </c:pt>
                <c:pt idx="4">
                  <c:v>43013.765979999982</c:v>
                </c:pt>
                <c:pt idx="5">
                  <c:v>63676.238750000019</c:v>
                </c:pt>
                <c:pt idx="6">
                  <c:v>76314.017559999877</c:v>
                </c:pt>
                <c:pt idx="7">
                  <c:v>55497.840189999944</c:v>
                </c:pt>
                <c:pt idx="8">
                  <c:v>70518.901930000022</c:v>
                </c:pt>
                <c:pt idx="9">
                  <c:v>106035.66760000002</c:v>
                </c:pt>
                <c:pt idx="10">
                  <c:v>104103.17702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87-48D7-B609-4BACC42F892B}"/>
            </c:ext>
          </c:extLst>
        </c:ser>
        <c:ser>
          <c:idx val="5"/>
          <c:order val="4"/>
          <c:tx>
            <c:strRef>
              <c:f>'EXPORT VALOR Con Zona Franca'!$B$38</c:f>
              <c:strCache>
                <c:ptCount val="1"/>
                <c:pt idx="0">
                  <c:v>PULPA DE MADERA / WOOD PULP</c:v>
                </c:pt>
              </c:strCache>
            </c:strRef>
          </c:tx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Franca'!$C$38:$M$38</c:f>
              <c:numCache>
                <c:formatCode>0</c:formatCode>
                <c:ptCount val="11"/>
                <c:pt idx="0">
                  <c:v>831723</c:v>
                </c:pt>
                <c:pt idx="1">
                  <c:v>776892</c:v>
                </c:pt>
                <c:pt idx="2">
                  <c:v>902625</c:v>
                </c:pt>
                <c:pt idx="3">
                  <c:v>1265039</c:v>
                </c:pt>
                <c:pt idx="4">
                  <c:v>1237373.0009999999</c:v>
                </c:pt>
                <c:pt idx="5">
                  <c:v>1334290.973</c:v>
                </c:pt>
                <c:pt idx="6">
                  <c:v>1684874.59036</c:v>
                </c:pt>
                <c:pt idx="7">
                  <c:v>1415990.0690000001</c:v>
                </c:pt>
                <c:pt idx="8">
                  <c:v>1136380</c:v>
                </c:pt>
                <c:pt idx="9">
                  <c:v>1602664.5247223</c:v>
                </c:pt>
                <c:pt idx="10">
                  <c:v>1913547.62379087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87-48D7-B609-4BACC42F892B}"/>
            </c:ext>
          </c:extLst>
        </c:ser>
        <c:ser>
          <c:idx val="6"/>
          <c:order val="5"/>
          <c:tx>
            <c:strRef>
              <c:f>'EXPORT VALOR Con Zona Franca'!$B$51</c:f>
              <c:strCache>
                <c:ptCount val="1"/>
                <c:pt idx="0">
                  <c:v>PAPEL Y CARTÓN / PAPER AND PAPERBOARD</c:v>
                </c:pt>
              </c:strCache>
            </c:strRef>
          </c:tx>
          <c:invertIfNegative val="0"/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Franca'!$C$51:$M$51</c:f>
              <c:numCache>
                <c:formatCode>0</c:formatCode>
                <c:ptCount val="11"/>
                <c:pt idx="0">
                  <c:v>46110.601649999997</c:v>
                </c:pt>
                <c:pt idx="1">
                  <c:v>42274.252780000032</c:v>
                </c:pt>
                <c:pt idx="2">
                  <c:v>52104.041100000002</c:v>
                </c:pt>
                <c:pt idx="3">
                  <c:v>55503.106390000125</c:v>
                </c:pt>
                <c:pt idx="4">
                  <c:v>30296.8308</c:v>
                </c:pt>
                <c:pt idx="5">
                  <c:v>7338.0575499999995</c:v>
                </c:pt>
                <c:pt idx="6">
                  <c:v>3089.7287299999998</c:v>
                </c:pt>
                <c:pt idx="7">
                  <c:v>4039.124800000001</c:v>
                </c:pt>
                <c:pt idx="8">
                  <c:v>523.25265999999999</c:v>
                </c:pt>
                <c:pt idx="9">
                  <c:v>341.23757000000001</c:v>
                </c:pt>
                <c:pt idx="10">
                  <c:v>247.81652000000003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F-45D3-843A-8D19AD2D4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6667008"/>
        <c:axId val="146668928"/>
        <c:axId val="0"/>
      </c:bar3DChart>
      <c:catAx>
        <c:axId val="14666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UY"/>
                  <a:t>Años</a:t>
                </a:r>
              </a:p>
            </c:rich>
          </c:tx>
          <c:layout>
            <c:manualLayout>
              <c:xMode val="edge"/>
              <c:yMode val="edge"/>
              <c:x val="0.3854623748239665"/>
              <c:y val="0.777751215524292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46668928"/>
        <c:crosses val="autoZero"/>
        <c:auto val="1"/>
        <c:lblAlgn val="ctr"/>
        <c:lblOffset val="100"/>
        <c:noMultiLvlLbl val="0"/>
      </c:catAx>
      <c:valAx>
        <c:axId val="14666892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s-ES"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0.14223275993846493"/>
              <c:y val="0.307516888257822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UY"/>
          </a:p>
        </c:txPr>
        <c:crossAx val="146667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618401324369791E-2"/>
          <c:y val="0.75829081734358239"/>
          <c:w val="0.48532740098937444"/>
          <c:h val="0.2417091826564175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lang="es-ES"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UY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scene3d>
      <a:camera prst="orthographicFront"/>
      <a:lightRig rig="threePt" dir="t"/>
    </a:scene3d>
    <a:sp3d>
      <a:bevelT/>
    </a:sp3d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UY"/>
    </a:p>
  </c:txPr>
  <c:printSettings>
    <c:headerFooter alignWithMargins="0"/>
    <c:pageMargins b="1" l="0.75000000000000411" r="0.75000000000000411" t="1" header="0" footer="0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" sz="1400"/>
            </a:pPr>
            <a:r>
              <a:rPr lang="es-UY" sz="1400"/>
              <a:t>EXPORTACIONES TOTALES
DE PRODUCTOS FORESTALES</a:t>
            </a:r>
          </a:p>
          <a:p>
            <a:pPr>
              <a:defRPr lang="es-ES" sz="1400"/>
            </a:pPr>
            <a:r>
              <a:rPr lang="es-UY" sz="1400"/>
              <a:t>(Sin Zona Franca)</a:t>
            </a:r>
          </a:p>
        </c:rich>
      </c:tx>
      <c:layout>
        <c:manualLayout>
          <c:xMode val="edge"/>
          <c:yMode val="edge"/>
          <c:x val="0.3526448362720403"/>
          <c:y val="3.1746089542275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2384550797648"/>
          <c:y val="0.17989480481606476"/>
          <c:w val="0.80646515533165375"/>
          <c:h val="0.58352351789359669"/>
        </c:manualLayout>
      </c:layout>
      <c:lineChart>
        <c:grouping val="standard"/>
        <c:varyColors val="0"/>
        <c:ser>
          <c:idx val="1"/>
          <c:order val="0"/>
          <c:tx>
            <c:strRef>
              <c:f>'EXPORT VALOR Sin Zona Franca'!$A$15:$S$15</c:f>
              <c:strCache>
                <c:ptCount val="19"/>
                <c:pt idx="0">
                  <c:v>EXPORTACIONES (VALOR FOB Miles de U$S  SIN ZONAS FRANCAS) / EXPORTS (WITHOUT FREE ZONES VOLUME VALUE U$S Mill. FOB)</c:v>
                </c:pt>
              </c:strCache>
            </c:strRef>
          </c:tx>
          <c:marker>
            <c:symbol val="none"/>
          </c:marker>
          <c:cat>
            <c:numRef>
              <c:f>'IMPORT VALOR  Sin ZF_NUM &gt;'!$C$12:$Y$12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'EXPORT VALOR Sin Zona Franca'!$C$94:$Y$94</c:f>
              <c:numCache>
                <c:formatCode>0</c:formatCode>
                <c:ptCount val="23"/>
                <c:pt idx="0">
                  <c:v>85189</c:v>
                </c:pt>
                <c:pt idx="1">
                  <c:v>83915</c:v>
                </c:pt>
                <c:pt idx="2">
                  <c:v>100530</c:v>
                </c:pt>
                <c:pt idx="3">
                  <c:v>116276</c:v>
                </c:pt>
                <c:pt idx="4">
                  <c:v>162381</c:v>
                </c:pt>
                <c:pt idx="5">
                  <c:v>206800</c:v>
                </c:pt>
                <c:pt idx="6">
                  <c:v>252344</c:v>
                </c:pt>
                <c:pt idx="7">
                  <c:v>293023</c:v>
                </c:pt>
                <c:pt idx="8">
                  <c:v>502390</c:v>
                </c:pt>
                <c:pt idx="9">
                  <c:v>446887</c:v>
                </c:pt>
                <c:pt idx="10">
                  <c:v>572032</c:v>
                </c:pt>
                <c:pt idx="11">
                  <c:v>638068</c:v>
                </c:pt>
                <c:pt idx="12">
                  <c:v>567836.47548000002</c:v>
                </c:pt>
                <c:pt idx="13">
                  <c:v>646890.89564999996</c:v>
                </c:pt>
                <c:pt idx="14">
                  <c:v>771420.46668000019</c:v>
                </c:pt>
                <c:pt idx="15">
                  <c:v>877126.54916000017</c:v>
                </c:pt>
                <c:pt idx="16">
                  <c:v>898962.30918999971</c:v>
                </c:pt>
                <c:pt idx="17">
                  <c:v>1028222.1422199992</c:v>
                </c:pt>
                <c:pt idx="18">
                  <c:v>1084780.8901899995</c:v>
                </c:pt>
                <c:pt idx="19">
                  <c:v>991636.54974999989</c:v>
                </c:pt>
                <c:pt idx="20">
                  <c:v>1026046.3824499997</c:v>
                </c:pt>
                <c:pt idx="21">
                  <c:v>1140075.1578800003</c:v>
                </c:pt>
                <c:pt idx="22">
                  <c:v>1170885.3749599995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CF-48AC-9199-970E48D09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25600"/>
        <c:axId val="112027520"/>
      </c:lineChart>
      <c:catAx>
        <c:axId val="1120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Años</a:t>
                </a:r>
              </a:p>
            </c:rich>
          </c:tx>
          <c:layout>
            <c:manualLayout>
              <c:xMode val="edge"/>
              <c:yMode val="edge"/>
              <c:x val="0.50629722921914355"/>
              <c:y val="0.80839186768320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700"/>
            </a:pPr>
            <a:endParaRPr lang="es-UY"/>
          </a:p>
        </c:txPr>
        <c:crossAx val="1120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27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3.0226700251889171E-2"/>
              <c:y val="0.276644794400699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12025600"/>
        <c:crosses val="autoZero"/>
        <c:crossBetween val="between"/>
        <c:majorUnit val="10000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9.6557514693534838E-3"/>
          <c:y val="0.88435570553680787"/>
          <c:w val="0.97817000204949511"/>
          <c:h val="7.9848977211182004E-2"/>
        </c:manualLayout>
      </c:layout>
      <c:overlay val="0"/>
      <c:txPr>
        <a:bodyPr/>
        <a:lstStyle/>
        <a:p>
          <a:pPr>
            <a:defRPr lang="es-ES" sz="900"/>
          </a:pPr>
          <a:endParaRPr lang="es-UY"/>
        </a:p>
      </c:txPr>
    </c:legend>
    <c:plotVisOnly val="1"/>
    <c:dispBlanksAs val="gap"/>
    <c:showDLblsOverMax val="0"/>
  </c:chart>
  <c:spPr>
    <a:noFill/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" l="0.75000000000000411" r="0.75000000000000411" t="1" header="0" footer="0"/>
    <c:pageSetup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" sz="1400"/>
            </a:pPr>
            <a:r>
              <a:rPr lang="es-UY" sz="1400"/>
              <a:t>EXPORTACIONES TOTALES
DE PRODUCTOS FORESTALES</a:t>
            </a:r>
          </a:p>
          <a:p>
            <a:pPr>
              <a:defRPr lang="es-ES" sz="1400"/>
            </a:pPr>
            <a:r>
              <a:rPr lang="es-UY" sz="1400"/>
              <a:t>(Con Zona Franca)</a:t>
            </a:r>
          </a:p>
        </c:rich>
      </c:tx>
      <c:layout>
        <c:manualLayout>
          <c:xMode val="edge"/>
          <c:yMode val="edge"/>
          <c:x val="0.3526448362720403"/>
          <c:y val="3.1746089542275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62384550797648"/>
          <c:y val="0.17989480481606476"/>
          <c:w val="0.80646515533165375"/>
          <c:h val="0.58352351789359669"/>
        </c:manualLayout>
      </c:layout>
      <c:lineChart>
        <c:grouping val="standard"/>
        <c:varyColors val="0"/>
        <c:ser>
          <c:idx val="1"/>
          <c:order val="0"/>
          <c:tx>
            <c:strRef>
              <c:f>'EXPORT VALOR Con Zona Franca'!$A$12:$K$12</c:f>
              <c:strCache>
                <c:ptCount val="11"/>
                <c:pt idx="0">
                  <c:v>EXPORTACIONES (VALOR FOB Miles de U$S  CON ZONAS FRANCAS) / EXPORTS (WITH FREE ZONES VOLUME VALUE U$S Mil. FOB)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'EXPORT VALOR Con Zona Franca'!$C$13:$M$13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'EXPORT VALOR Con Zona Franca'!$C$90:$M$90</c:f>
              <c:numCache>
                <c:formatCode>0</c:formatCode>
                <c:ptCount val="11"/>
                <c:pt idx="0">
                  <c:v>1143485.8501900001</c:v>
                </c:pt>
                <c:pt idx="1">
                  <c:v>1117961.00398</c:v>
                </c:pt>
                <c:pt idx="2">
                  <c:v>1236849.2338</c:v>
                </c:pt>
                <c:pt idx="3">
                  <c:v>1564529.9695199998</c:v>
                </c:pt>
                <c:pt idx="4">
                  <c:v>1512855.9107099997</c:v>
                </c:pt>
                <c:pt idx="5">
                  <c:v>1697667.2645599998</c:v>
                </c:pt>
                <c:pt idx="6">
                  <c:v>2187564.2426399998</c:v>
                </c:pt>
                <c:pt idx="7">
                  <c:v>1804711.6106400003</c:v>
                </c:pt>
                <c:pt idx="8">
                  <c:v>1517099.0223299998</c:v>
                </c:pt>
                <c:pt idx="9">
                  <c:v>2194748.9245922999</c:v>
                </c:pt>
                <c:pt idx="10">
                  <c:v>2503324.7754908698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127-4758-AD5B-9002A406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25600"/>
        <c:axId val="112027520"/>
      </c:lineChart>
      <c:catAx>
        <c:axId val="1120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Años</a:t>
                </a:r>
              </a:p>
            </c:rich>
          </c:tx>
          <c:layout>
            <c:manualLayout>
              <c:xMode val="edge"/>
              <c:yMode val="edge"/>
              <c:x val="0.50629722921914355"/>
              <c:y val="0.808391867683208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800"/>
            </a:pPr>
            <a:endParaRPr lang="es-UY"/>
          </a:p>
        </c:txPr>
        <c:crossAx val="11202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27520"/>
        <c:scaling>
          <c:orientation val="minMax"/>
          <c:max val="26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ES"/>
                </a:pPr>
                <a:r>
                  <a:rPr lang="es-UY"/>
                  <a:t>Miles de Dólares corrientes</a:t>
                </a:r>
              </a:p>
            </c:rich>
          </c:tx>
          <c:layout>
            <c:manualLayout>
              <c:xMode val="edge"/>
              <c:yMode val="edge"/>
              <c:x val="3.0226700251889171E-2"/>
              <c:y val="0.2766447944006999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/>
            </a:pPr>
            <a:endParaRPr lang="es-UY"/>
          </a:p>
        </c:txPr>
        <c:crossAx val="112025600"/>
        <c:crosses val="autoZero"/>
        <c:crossBetween val="between"/>
        <c:majorUnit val="300000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9.6557514693534838E-3"/>
          <c:y val="0.88435570553680787"/>
          <c:w val="0.97817000204949511"/>
          <c:h val="7.9848977211182004E-2"/>
        </c:manualLayout>
      </c:layout>
      <c:overlay val="0"/>
      <c:txPr>
        <a:bodyPr/>
        <a:lstStyle/>
        <a:p>
          <a:pPr>
            <a:defRPr lang="es-ES" sz="900"/>
          </a:pPr>
          <a:endParaRPr lang="es-UY"/>
        </a:p>
      </c:txPr>
    </c:legend>
    <c:plotVisOnly val="1"/>
    <c:dispBlanksAs val="gap"/>
    <c:showDLblsOverMax val="0"/>
  </c:chart>
  <c:spPr>
    <a:noFill/>
    <a:ln>
      <a:noFill/>
    </a:ln>
    <a:scene3d>
      <a:camera prst="orthographicFront"/>
      <a:lightRig rig="threePt" dir="t"/>
    </a:scene3d>
    <a:sp3d prstMaterial="matte">
      <a:bevelT/>
    </a:sp3d>
  </c:spPr>
  <c:printSettings>
    <c:headerFooter alignWithMargins="0"/>
    <c:pageMargins b="1" l="0.75000000000000411" r="0.75000000000000411" t="1" header="0" footer="0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317523906003023E-2"/>
          <c:y val="0.12920226338882071"/>
          <c:w val="0.82794333164494793"/>
          <c:h val="0.64245928786395168"/>
        </c:manualLayout>
      </c:layout>
      <c:pie3D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314-4257-9A6A-DE4A099063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314-4257-9A6A-DE4A099063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314-4257-9A6A-DE4A099063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314-4257-9A6A-DE4A099063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314-4257-9A6A-DE4A099063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314-4257-9A6A-DE4A099063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314-4257-9A6A-DE4A099063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314-4257-9A6A-DE4A0990630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B314-4257-9A6A-DE4A0990630F}"/>
              </c:ext>
            </c:extLst>
          </c:dPt>
          <c:dLbls>
            <c:dLbl>
              <c:idx val="1"/>
              <c:layout>
                <c:manualLayout>
                  <c:x val="6.8554956946171239E-2"/>
                  <c:y val="1.2370395266206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14-4257-9A6A-DE4A0990630F}"/>
                </c:ext>
              </c:extLst>
            </c:dLbl>
            <c:dLbl>
              <c:idx val="2"/>
              <c:layout>
                <c:manualLayout>
                  <c:x val="5.8484198247148934E-2"/>
                  <c:y val="5.0091602784602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14-4257-9A6A-DE4A0990630F}"/>
                </c:ext>
              </c:extLst>
            </c:dLbl>
            <c:dLbl>
              <c:idx val="3"/>
              <c:layout>
                <c:manualLayout>
                  <c:x val="3.9584227410170238E-2"/>
                  <c:y val="4.6256764940287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14-4257-9A6A-DE4A0990630F}"/>
                </c:ext>
              </c:extLst>
            </c:dLbl>
            <c:dLbl>
              <c:idx val="4"/>
              <c:layout>
                <c:manualLayout>
                  <c:x val="1.4558425810808741E-2"/>
                  <c:y val="5.25629257156157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14-4257-9A6A-DE4A0990630F}"/>
                </c:ext>
              </c:extLst>
            </c:dLbl>
            <c:dLbl>
              <c:idx val="5"/>
              <c:layout>
                <c:manualLayout>
                  <c:x val="-4.0205062086537402E-2"/>
                  <c:y val="-6.9246039796873804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14-4257-9A6A-DE4A0990630F}"/>
                </c:ext>
              </c:extLst>
            </c:dLbl>
            <c:dLbl>
              <c:idx val="6"/>
              <c:layout>
                <c:manualLayout>
                  <c:x val="3.2461942257217866E-2"/>
                  <c:y val="3.226852592630588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14-4257-9A6A-DE4A0990630F}"/>
                </c:ext>
              </c:extLst>
            </c:dLbl>
            <c:dLbl>
              <c:idx val="7"/>
              <c:layout>
                <c:manualLayout>
                  <c:x val="-2.8837500575586022E-2"/>
                  <c:y val="-5.134916011003049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>
                  <a:glow rad="127000">
                    <a:schemeClr val="tx1"/>
                  </a:glow>
                  <a:outerShdw blurRad="50800" dist="38100" dir="2700000" algn="tl" rotWithShape="0">
                    <a:schemeClr val="bg1">
                      <a:alpha val="40000"/>
                    </a:scheme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Y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14-4257-9A6A-DE4A0990630F}"/>
                </c:ext>
              </c:extLst>
            </c:dLbl>
            <c:dLbl>
              <c:idx val="8"/>
              <c:layout>
                <c:manualLayout>
                  <c:x val="4.5223557581618085E-2"/>
                  <c:y val="-5.718295215907739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14-4257-9A6A-DE4A099063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'Graficos 2022'!$G$9:$G$17</c:f>
              <c:strCache>
                <c:ptCount val="9"/>
                <c:pt idx="0">
                  <c:v>MADERA EN ROLLO / ROUNDWOOD</c:v>
                </c:pt>
                <c:pt idx="1">
                  <c:v>MADERA ASERRADA / SAWNWOOD</c:v>
                </c:pt>
                <c:pt idx="2">
                  <c:v>TABLEROS DE MADERA Y HOJAS DE CHAPA / WOOD-BASED PANELS AND VENEERS</c:v>
                </c:pt>
                <c:pt idx="3">
                  <c:v>ASTILLAS Y PARTÍCULAS (CHIPS) / WOOD CHIPS AND PARTICLES</c:v>
                </c:pt>
                <c:pt idx="4">
                  <c:v>Productos papeleros secundarios / Secondary paper products</c:v>
                </c:pt>
                <c:pt idx="5">
                  <c:v>PAPEL RECUPERADO / RECOVERED PAPER</c:v>
                </c:pt>
                <c:pt idx="6">
                  <c:v>PAPEL Y CARTÓN / PAPER AND PAPERBOARD</c:v>
                </c:pt>
                <c:pt idx="7">
                  <c:v>Productos madereros secundarios / Secondary wood products</c:v>
                </c:pt>
                <c:pt idx="8">
                  <c:v>RESIDUOS DE MADERA / WOOD RESIDUES</c:v>
                </c:pt>
              </c:strCache>
            </c:strRef>
          </c:cat>
          <c:val>
            <c:numRef>
              <c:f>'Graficos 2022'!$I$9:$I$17</c:f>
              <c:numCache>
                <c:formatCode>0.0</c:formatCode>
                <c:ptCount val="9"/>
                <c:pt idx="0">
                  <c:v>61.592423903547072</c:v>
                </c:pt>
                <c:pt idx="1">
                  <c:v>15.678100422620043</c:v>
                </c:pt>
                <c:pt idx="2">
                  <c:v>8.8909793602602996</c:v>
                </c:pt>
                <c:pt idx="3">
                  <c:v>10.26314655728835</c:v>
                </c:pt>
                <c:pt idx="4">
                  <c:v>2.7344245034313275</c:v>
                </c:pt>
                <c:pt idx="5">
                  <c:v>0.41328191328423669</c:v>
                </c:pt>
                <c:pt idx="6" formatCode="0.00">
                  <c:v>3.9909706790552751E-2</c:v>
                </c:pt>
                <c:pt idx="7">
                  <c:v>0.38773363277810963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14-4257-9A6A-DE4A099063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8439960629921297E-4"/>
          <c:y val="0.77326115158167852"/>
          <c:w val="0.99530302657480318"/>
          <c:h val="0.2146832277217842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7101479222481911E-2"/>
          <c:y val="0.12848653918260228"/>
          <c:w val="0.84802556900414094"/>
          <c:h val="0.65700303722922848"/>
        </c:manualLayout>
      </c:layout>
      <c:pie3D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421-41CE-9A24-64EB815128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421-41CE-9A24-64EB815128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421-41CE-9A24-64EB815128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421-41CE-9A24-64EB815128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421-41CE-9A24-64EB815128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421-41CE-9A24-64EB815128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421-41CE-9A24-64EB81512861}"/>
              </c:ext>
            </c:extLst>
          </c:dPt>
          <c:dLbls>
            <c:dLbl>
              <c:idx val="0"/>
              <c:layout>
                <c:manualLayout>
                  <c:x val="5.6247031104524108E-2"/>
                  <c:y val="-8.68772403449568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1-41CE-9A24-64EB81512861}"/>
                </c:ext>
              </c:extLst>
            </c:dLbl>
            <c:dLbl>
              <c:idx val="1"/>
              <c:layout>
                <c:manualLayout>
                  <c:x val="7.3307967090387491E-2"/>
                  <c:y val="1.05796775403074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21-41CE-9A24-64EB81512861}"/>
                </c:ext>
              </c:extLst>
            </c:dLbl>
            <c:dLbl>
              <c:idx val="2"/>
              <c:layout>
                <c:manualLayout>
                  <c:x val="6.2874555853236924E-2"/>
                  <c:y val="3.25516310461192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21-41CE-9A24-64EB81512861}"/>
                </c:ext>
              </c:extLst>
            </c:dLbl>
            <c:dLbl>
              <c:idx val="3"/>
              <c:layout>
                <c:manualLayout>
                  <c:x val="5.2163137243725143E-2"/>
                  <c:y val="6.44686914135736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21-41CE-9A24-64EB81512861}"/>
                </c:ext>
              </c:extLst>
            </c:dLbl>
            <c:dLbl>
              <c:idx val="4"/>
              <c:layout>
                <c:manualLayout>
                  <c:x val="1.4556494518231393E-2"/>
                  <c:y val="4.99824521934758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21-41CE-9A24-64EB81512861}"/>
                </c:ext>
              </c:extLst>
            </c:dLbl>
            <c:dLbl>
              <c:idx val="5"/>
              <c:layout>
                <c:manualLayout>
                  <c:x val="-5.1573514602215507E-2"/>
                  <c:y val="-2.62081739782527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21-41CE-9A24-64EB81512861}"/>
                </c:ext>
              </c:extLst>
            </c:dLbl>
            <c:dLbl>
              <c:idx val="6"/>
              <c:layout>
                <c:manualLayout>
                  <c:x val="1.2064997434874358E-2"/>
                  <c:y val="-3.19224596925384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21-41CE-9A24-64EB81512861}"/>
                </c:ext>
              </c:extLst>
            </c:dLbl>
            <c:numFmt formatCode="0.0%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UY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'Graficos 2022'!$G$69:$G$74</c:f>
              <c:strCache>
                <c:ptCount val="6"/>
                <c:pt idx="0">
                  <c:v>PAPEL RECUPERADO / RECOVERED PAPER</c:v>
                </c:pt>
                <c:pt idx="1">
                  <c:v>MADERA ASERRADA / SAWNWOOD</c:v>
                </c:pt>
                <c:pt idx="2">
                  <c:v>ASTILLAS Y PARTÍCULAS (CHIPS) / WOOD CHIPS AND PARTICLES</c:v>
                </c:pt>
                <c:pt idx="3">
                  <c:v>TABLEROS DE MADERA Y HOJAS DE CHAPA / WOOD-BASED PANELS AND VENEERS</c:v>
                </c:pt>
                <c:pt idx="4">
                  <c:v>PAPEL Y CARTÓN / PAPER AND PAPERBOARD</c:v>
                </c:pt>
                <c:pt idx="5">
                  <c:v>RESIDUOS DE MADERA / WOOD RESIDUES</c:v>
                </c:pt>
              </c:strCache>
            </c:strRef>
          </c:cat>
          <c:val>
            <c:numRef>
              <c:f>'Graficos 2022'!$H$69:$H$74</c:f>
              <c:numCache>
                <c:formatCode>0</c:formatCode>
                <c:ptCount val="6"/>
                <c:pt idx="0">
                  <c:v>4839.0574799999958</c:v>
                </c:pt>
                <c:pt idx="1">
                  <c:v>183572.58491999999</c:v>
                </c:pt>
                <c:pt idx="2">
                  <c:v>120169.68204999999</c:v>
                </c:pt>
                <c:pt idx="3">
                  <c:v>104103.17702</c:v>
                </c:pt>
                <c:pt idx="4">
                  <c:v>467.29692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21-41CE-9A24-64EB8151286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4.0797374071329523E-2"/>
          <c:y val="0.85042129733783445"/>
          <c:w val="0.93510184499040461"/>
          <c:h val="0.1068698912635920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Y"/>
        </a:p>
      </c:txPr>
    </c:legend>
    <c:plotVisOnly val="1"/>
    <c:dispBlanksAs val="zero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Y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79</xdr:row>
      <xdr:rowOff>88107</xdr:rowOff>
    </xdr:from>
    <xdr:to>
      <xdr:col>12</xdr:col>
      <xdr:colOff>642939</xdr:colOff>
      <xdr:row>120</xdr:row>
      <xdr:rowOff>59531</xdr:rowOff>
    </xdr:to>
    <xdr:graphicFrame macro="">
      <xdr:nvGraphicFramePr>
        <xdr:cNvPr id="10593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714375</xdr:colOff>
      <xdr:row>43</xdr:row>
      <xdr:rowOff>114301</xdr:rowOff>
    </xdr:from>
    <xdr:to>
      <xdr:col>12</xdr:col>
      <xdr:colOff>533400</xdr:colOff>
      <xdr:row>75</xdr:row>
      <xdr:rowOff>114301</xdr:rowOff>
    </xdr:to>
    <xdr:graphicFrame macro="">
      <xdr:nvGraphicFramePr>
        <xdr:cNvPr id="10593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581025</xdr:colOff>
      <xdr:row>7</xdr:row>
      <xdr:rowOff>57150</xdr:rowOff>
    </xdr:from>
    <xdr:to>
      <xdr:col>11</xdr:col>
      <xdr:colOff>523875</xdr:colOff>
      <xdr:row>37</xdr:row>
      <xdr:rowOff>0</xdr:rowOff>
    </xdr:to>
    <xdr:graphicFrame macro="">
      <xdr:nvGraphicFramePr>
        <xdr:cNvPr id="10593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666750</xdr:colOff>
      <xdr:row>0</xdr:row>
      <xdr:rowOff>142876</xdr:rowOff>
    </xdr:from>
    <xdr:to>
      <xdr:col>24</xdr:col>
      <xdr:colOff>678655</xdr:colOff>
      <xdr:row>39</xdr:row>
      <xdr:rowOff>1</xdr:rowOff>
    </xdr:to>
    <xdr:graphicFrame macro="">
      <xdr:nvGraphicFramePr>
        <xdr:cNvPr id="10593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19050</xdr:colOff>
      <xdr:row>43</xdr:row>
      <xdr:rowOff>133350</xdr:rowOff>
    </xdr:from>
    <xdr:to>
      <xdr:col>24</xdr:col>
      <xdr:colOff>85725</xdr:colOff>
      <xdr:row>79</xdr:row>
      <xdr:rowOff>76200</xdr:rowOff>
    </xdr:to>
    <xdr:graphicFrame macro="">
      <xdr:nvGraphicFramePr>
        <xdr:cNvPr id="105932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659600</xdr:colOff>
      <xdr:row>35</xdr:row>
      <xdr:rowOff>150018</xdr:rowOff>
    </xdr:from>
    <xdr:to>
      <xdr:col>11</xdr:col>
      <xdr:colOff>695325</xdr:colOff>
      <xdr:row>37</xdr:row>
      <xdr:rowOff>71436</xdr:rowOff>
    </xdr:to>
    <xdr:sp macro="" textlink="">
      <xdr:nvSpPr>
        <xdr:cNvPr id="2" name="1 CuadroTexto"/>
        <xdr:cNvSpPr txBox="1"/>
      </xdr:nvSpPr>
      <xdr:spPr>
        <a:xfrm>
          <a:off x="6755600" y="6036468"/>
          <a:ext cx="2321725" cy="2452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xdr:txBody>
    </xdr:sp>
    <xdr:clientData/>
  </xdr:twoCellAnchor>
  <xdr:twoCellAnchor>
    <xdr:from>
      <xdr:col>14</xdr:col>
      <xdr:colOff>0</xdr:colOff>
      <xdr:row>85</xdr:row>
      <xdr:rowOff>0</xdr:rowOff>
    </xdr:from>
    <xdr:to>
      <xdr:col>24</xdr:col>
      <xdr:colOff>166688</xdr:colOff>
      <xdr:row>114</xdr:row>
      <xdr:rowOff>142875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118</xdr:row>
      <xdr:rowOff>0</xdr:rowOff>
    </xdr:from>
    <xdr:to>
      <xdr:col>23</xdr:col>
      <xdr:colOff>704850</xdr:colOff>
      <xdr:row>147</xdr:row>
      <xdr:rowOff>73819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0.7312</cdr:x>
      <cdr:y>0.96327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74631" y="6431757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0.72724</cdr:x>
      <cdr:y>0.94887</cdr:y>
    </cdr:from>
    <cdr:to>
      <cdr:x>0.99739</cdr:x>
      <cdr:y>0.98829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27880" y="5785527"/>
          <a:ext cx="2759273" cy="24035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0.68367</cdr:x>
      <cdr:y>0.83346</cdr:y>
    </cdr:from>
    <cdr:to>
      <cdr:x>0.98999</cdr:x>
      <cdr:y>0.87051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94325" y="5518150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4</xdr:row>
      <xdr:rowOff>17145</xdr:rowOff>
    </xdr:from>
    <xdr:to>
      <xdr:col>11</xdr:col>
      <xdr:colOff>243840</xdr:colOff>
      <xdr:row>21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4</xdr:row>
      <xdr:rowOff>47625</xdr:rowOff>
    </xdr:from>
    <xdr:to>
      <xdr:col>18</xdr:col>
      <xdr:colOff>373380</xdr:colOff>
      <xdr:row>21</xdr:row>
      <xdr:rowOff>135255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632460</xdr:colOff>
      <xdr:row>22</xdr:row>
      <xdr:rowOff>93345</xdr:rowOff>
    </xdr:from>
    <xdr:to>
      <xdr:col>19</xdr:col>
      <xdr:colOff>266700</xdr:colOff>
      <xdr:row>45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5464970</xdr:colOff>
      <xdr:row>7</xdr:row>
      <xdr:rowOff>137989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536700" y="190500"/>
          <a:ext cx="5464970" cy="13825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5464970</xdr:colOff>
      <xdr:row>7</xdr:row>
      <xdr:rowOff>145643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127342" y="156575"/>
          <a:ext cx="5464970" cy="138258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5464970</xdr:colOff>
      <xdr:row>10</xdr:row>
      <xdr:rowOff>3369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211036" y="898071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1559718</xdr:colOff>
      <xdr:row>1</xdr:row>
      <xdr:rowOff>25121</xdr:rowOff>
    </xdr:from>
    <xdr:to>
      <xdr:col>2</xdr:col>
      <xdr:colOff>0</xdr:colOff>
      <xdr:row>8</xdr:row>
      <xdr:rowOff>0</xdr:rowOff>
    </xdr:to>
    <xdr:pic>
      <xdr:nvPicPr>
        <xdr:cNvPr id="6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2809874" y="188832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16</xdr:col>
      <xdr:colOff>130970</xdr:colOff>
      <xdr:row>9</xdr:row>
      <xdr:rowOff>132637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9394031" y="571500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14</xdr:col>
      <xdr:colOff>909535</xdr:colOff>
      <xdr:row>9</xdr:row>
      <xdr:rowOff>396990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4563587" y="524565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0.72846</cdr:x>
      <cdr:y>0.96311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484144" y="6403181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729258</xdr:colOff>
      <xdr:row>1</xdr:row>
      <xdr:rowOff>59531</xdr:rowOff>
    </xdr:from>
    <xdr:to>
      <xdr:col>1</xdr:col>
      <xdr:colOff>6194228</xdr:colOff>
      <xdr:row>9</xdr:row>
      <xdr:rowOff>4645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2098477" y="253008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876300</xdr:colOff>
      <xdr:row>2</xdr:row>
      <xdr:rowOff>161925</xdr:rowOff>
    </xdr:from>
    <xdr:to>
      <xdr:col>1</xdr:col>
      <xdr:colOff>876300</xdr:colOff>
      <xdr:row>8</xdr:row>
      <xdr:rowOff>209550</xdr:rowOff>
    </xdr:to>
    <xdr:pic>
      <xdr:nvPicPr>
        <xdr:cNvPr id="1086831" name="1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847725"/>
          <a:ext cx="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5464970</xdr:colOff>
      <xdr:row>8</xdr:row>
      <xdr:rowOff>222595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143000" y="158750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5464970</xdr:colOff>
      <xdr:row>7</xdr:row>
      <xdr:rowOff>438798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047750" y="204107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12</xdr:col>
      <xdr:colOff>130970</xdr:colOff>
      <xdr:row>7</xdr:row>
      <xdr:rowOff>164387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4366875" y="206375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449037</xdr:colOff>
      <xdr:row>1</xdr:row>
      <xdr:rowOff>27215</xdr:rowOff>
    </xdr:from>
    <xdr:to>
      <xdr:col>1</xdr:col>
      <xdr:colOff>5914007</xdr:colOff>
      <xdr:row>7</xdr:row>
      <xdr:rowOff>30584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415144" y="190501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448470</xdr:colOff>
      <xdr:row>7</xdr:row>
      <xdr:rowOff>32095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1555750" y="158750"/>
          <a:ext cx="5464970" cy="14185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34</xdr:row>
      <xdr:rowOff>161924</xdr:rowOff>
    </xdr:from>
    <xdr:to>
      <xdr:col>14</xdr:col>
      <xdr:colOff>352425</xdr:colOff>
      <xdr:row>58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0.67947</cdr:x>
      <cdr:y>0.93444</cdr:y>
    </cdr:from>
    <cdr:to>
      <cdr:x>0.99391</cdr:x>
      <cdr:y>0.98177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22875" y="4841875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0.69144</cdr:x>
      <cdr:y>0.94672</cdr:y>
    </cdr:from>
    <cdr:to>
      <cdr:x>0.97939</cdr:x>
      <cdr:y>0.9851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03900" y="6050757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0.68556</cdr:x>
      <cdr:y>0.95779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269706" y="5564982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20</xdr:row>
      <xdr:rowOff>133350</xdr:rowOff>
    </xdr:from>
    <xdr:to>
      <xdr:col>9</xdr:col>
      <xdr:colOff>28575</xdr:colOff>
      <xdr:row>60</xdr:row>
      <xdr:rowOff>53915</xdr:rowOff>
    </xdr:to>
    <xdr:graphicFrame macro="">
      <xdr:nvGraphicFramePr>
        <xdr:cNvPr id="130692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726235</xdr:colOff>
      <xdr:row>78</xdr:row>
      <xdr:rowOff>152400</xdr:rowOff>
    </xdr:from>
    <xdr:to>
      <xdr:col>9</xdr:col>
      <xdr:colOff>241000</xdr:colOff>
      <xdr:row>118</xdr:row>
      <xdr:rowOff>47625</xdr:rowOff>
    </xdr:to>
    <xdr:graphicFrame macro="">
      <xdr:nvGraphicFramePr>
        <xdr:cNvPr id="13069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47625</xdr:colOff>
      <xdr:row>20</xdr:row>
      <xdr:rowOff>85725</xdr:rowOff>
    </xdr:from>
    <xdr:to>
      <xdr:col>3</xdr:col>
      <xdr:colOff>1228725</xdr:colOff>
      <xdr:row>60</xdr:row>
      <xdr:rowOff>114300</xdr:rowOff>
    </xdr:to>
    <xdr:graphicFrame macro="">
      <xdr:nvGraphicFramePr>
        <xdr:cNvPr id="1306928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79</xdr:row>
      <xdr:rowOff>28575</xdr:rowOff>
    </xdr:from>
    <xdr:to>
      <xdr:col>4</xdr:col>
      <xdr:colOff>9525</xdr:colOff>
      <xdr:row>119</xdr:row>
      <xdr:rowOff>57150</xdr:rowOff>
    </xdr:to>
    <xdr:graphicFrame macro="">
      <xdr:nvGraphicFramePr>
        <xdr:cNvPr id="1306929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2157</xdr:colOff>
      <xdr:row>22</xdr:row>
      <xdr:rowOff>117355</xdr:rowOff>
    </xdr:from>
    <xdr:to>
      <xdr:col>16</xdr:col>
      <xdr:colOff>71887</xdr:colOff>
      <xdr:row>61</xdr:row>
      <xdr:rowOff>23363</xdr:rowOff>
    </xdr:to>
    <xdr:graphicFrame macro="">
      <xdr:nvGraphicFramePr>
        <xdr:cNvPr id="130693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81</xdr:row>
      <xdr:rowOff>28575</xdr:rowOff>
    </xdr:from>
    <xdr:to>
      <xdr:col>14</xdr:col>
      <xdr:colOff>536994</xdr:colOff>
      <xdr:row>121</xdr:row>
      <xdr:rowOff>10424</xdr:rowOff>
    </xdr:to>
    <xdr:graphicFrame macro="">
      <xdr:nvGraphicFramePr>
        <xdr:cNvPr id="1306931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0.69854</cdr:x>
      <cdr:y>0.9441</cdr:y>
    </cdr:from>
    <cdr:to>
      <cdr:x>0.99532</cdr:x>
      <cdr:y>0.98166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88806" y="6165850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0.69716</cdr:x>
      <cdr:y>0.95619</cdr:y>
    </cdr:from>
    <cdr:to>
      <cdr:x>0.98419</cdr:x>
      <cdr:y>0.99298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870575" y="6375400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0.72977</cdr:x>
      <cdr:y>0.96306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527006" y="6393657"/>
          <a:ext cx="2416969" cy="2452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/>
            <a:t>Fuente:</a:t>
          </a:r>
          <a:r>
            <a:rPr lang="es-ES" sz="1100" baseline="0"/>
            <a:t> Dirección General Forestal</a:t>
          </a:r>
          <a:endParaRPr lang="es-E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dei\die_servidor_2021\ESTADISTICAS%20Y%20ENCUESTAS\BOLETIN%20ESTADISTICO\2021%20Estadisticas%20Datos%202020\WEB%202020\subidos_a_la_web\Exportaciones%20volumen%20con%20zona%20fran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VOL Con zona Franca"/>
    </sheetNames>
    <sheetDataSet>
      <sheetData sheetId="0">
        <row r="37">
          <cell r="L37">
            <v>2782.6669999999999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O122"/>
  <sheetViews>
    <sheetView showGridLines="0" topLeftCell="A85" zoomScale="90" zoomScaleNormal="90" workbookViewId="0">
      <selection activeCell="L44" sqref="L44"/>
    </sheetView>
  </sheetViews>
  <sheetFormatPr baseColWidth="10" defaultRowHeight="12.75"/>
  <sheetData>
    <row r="2" spans="6:6" ht="30">
      <c r="F2" s="32" t="s">
        <v>74</v>
      </c>
    </row>
    <row r="40" spans="3:15" ht="15.75">
      <c r="C40" s="99" t="s">
        <v>175</v>
      </c>
      <c r="D40" s="11"/>
      <c r="E40" s="11"/>
      <c r="F40" s="11"/>
      <c r="O40" s="99" t="s">
        <v>175</v>
      </c>
    </row>
    <row r="77" spans="3:3" ht="15.75">
      <c r="C77" s="99" t="s">
        <v>175</v>
      </c>
    </row>
    <row r="82" spans="15:15" ht="15.75">
      <c r="O82" s="99" t="s">
        <v>175</v>
      </c>
    </row>
    <row r="108" spans="3:3">
      <c r="C108" s="11" t="s">
        <v>73</v>
      </c>
    </row>
    <row r="122" spans="3:3" ht="15.75">
      <c r="C122" s="99" t="s">
        <v>175</v>
      </c>
    </row>
  </sheetData>
  <phoneticPr fontId="6" type="noConversion"/>
  <pageMargins left="0.7" right="0.38" top="1" bottom="1" header="0" footer="0"/>
  <pageSetup paperSize="9" scale="50" orientation="portrait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7"/>
  <sheetViews>
    <sheetView showGridLines="0" zoomScale="57" zoomScaleNormal="57" workbookViewId="0">
      <pane ySplit="12" topLeftCell="A13" activePane="bottomLeft" state="frozen"/>
      <selection pane="bottomLeft" activeCell="P27" sqref="P27"/>
    </sheetView>
  </sheetViews>
  <sheetFormatPr baseColWidth="10" defaultRowHeight="12.75"/>
  <cols>
    <col min="1" max="1" width="20.42578125" customWidth="1"/>
    <col min="2" max="2" width="106.140625" customWidth="1"/>
    <col min="3" max="3" width="17" customWidth="1"/>
    <col min="4" max="7" width="11.42578125" customWidth="1"/>
    <col min="8" max="9" width="11.42578125" style="52" customWidth="1"/>
  </cols>
  <sheetData>
    <row r="1" spans="1:15" ht="15.75">
      <c r="B1" s="7"/>
      <c r="C1" s="5"/>
    </row>
    <row r="2" spans="1:15" ht="15.75">
      <c r="B2" s="7"/>
      <c r="C2" s="5"/>
    </row>
    <row r="3" spans="1:15">
      <c r="B3" s="4"/>
      <c r="C3" s="10"/>
    </row>
    <row r="4" spans="1:15">
      <c r="B4" s="4"/>
      <c r="C4" s="10"/>
    </row>
    <row r="5" spans="1:15">
      <c r="B5" s="4"/>
      <c r="C5" s="10"/>
    </row>
    <row r="6" spans="1:15">
      <c r="B6" s="4"/>
      <c r="C6" s="10"/>
    </row>
    <row r="7" spans="1:15">
      <c r="B7" s="4"/>
      <c r="C7" s="10"/>
    </row>
    <row r="8" spans="1:15" ht="23.25">
      <c r="B8" s="225"/>
      <c r="C8" s="225"/>
      <c r="D8" s="225"/>
      <c r="E8" s="225"/>
    </row>
    <row r="9" spans="1:15">
      <c r="B9" s="226"/>
      <c r="C9" s="226"/>
      <c r="D9" s="226"/>
    </row>
    <row r="10" spans="1:15">
      <c r="B10" s="226"/>
      <c r="C10" s="226"/>
      <c r="D10" s="226"/>
    </row>
    <row r="11" spans="1:15" ht="28.5" customHeight="1">
      <c r="A11" s="222" t="s">
        <v>153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</row>
    <row r="12" spans="1:15" ht="18" thickBot="1">
      <c r="A12" s="78" t="s">
        <v>101</v>
      </c>
      <c r="B12" s="78" t="s">
        <v>102</v>
      </c>
      <c r="C12" s="79" t="s">
        <v>103</v>
      </c>
      <c r="D12" s="78">
        <v>2012</v>
      </c>
      <c r="E12" s="78">
        <v>2013</v>
      </c>
      <c r="F12" s="78">
        <v>2014</v>
      </c>
      <c r="G12" s="78">
        <v>2015</v>
      </c>
      <c r="H12" s="78">
        <v>2016</v>
      </c>
      <c r="I12" s="78">
        <v>2017</v>
      </c>
      <c r="J12" s="78">
        <v>2018</v>
      </c>
      <c r="K12" s="78">
        <v>2019</v>
      </c>
      <c r="L12" s="78">
        <v>2020</v>
      </c>
      <c r="M12" s="78">
        <v>2021</v>
      </c>
      <c r="N12" s="78">
        <v>2022</v>
      </c>
    </row>
    <row r="13" spans="1:15" ht="40.15" customHeight="1" thickTop="1" thickBot="1">
      <c r="A13" s="80">
        <v>1</v>
      </c>
      <c r="B13" s="94" t="s">
        <v>122</v>
      </c>
      <c r="C13" s="81" t="s">
        <v>40</v>
      </c>
      <c r="D13" s="82">
        <f t="shared" ref="D13:N13" si="0">D14+D15</f>
        <v>153.605717</v>
      </c>
      <c r="E13" s="82">
        <f t="shared" si="0"/>
        <v>334.70026999999993</v>
      </c>
      <c r="F13" s="82">
        <f t="shared" si="0"/>
        <v>262.90999999999997</v>
      </c>
      <c r="G13" s="83">
        <f t="shared" si="0"/>
        <v>215</v>
      </c>
      <c r="H13" s="83">
        <f t="shared" si="0"/>
        <v>238.05278461538461</v>
      </c>
      <c r="I13" s="83">
        <f t="shared" si="0"/>
        <v>1376.2233998666666</v>
      </c>
      <c r="J13" s="83">
        <f t="shared" si="0"/>
        <v>2367</v>
      </c>
      <c r="K13" s="83">
        <f t="shared" si="0"/>
        <v>1343</v>
      </c>
      <c r="L13" s="83">
        <f t="shared" si="0"/>
        <v>2528.8202717386293</v>
      </c>
      <c r="M13" s="83">
        <f t="shared" si="0"/>
        <v>2845.8144399999996</v>
      </c>
      <c r="N13" s="83">
        <f t="shared" si="0"/>
        <v>1888.03006142</v>
      </c>
    </row>
    <row r="14" spans="1:15" ht="40.15" customHeight="1" thickTop="1" thickBot="1">
      <c r="A14" s="85">
        <v>1.1000000000000001</v>
      </c>
      <c r="B14" s="95" t="s">
        <v>278</v>
      </c>
      <c r="C14" s="86" t="s">
        <v>40</v>
      </c>
      <c r="D14" s="87">
        <v>1.9817000000000001E-2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</row>
    <row r="15" spans="1:15" ht="40.15" customHeight="1" thickTop="1" thickBot="1">
      <c r="A15" s="85">
        <v>1.2</v>
      </c>
      <c r="B15" s="95" t="s">
        <v>277</v>
      </c>
      <c r="C15" s="86" t="s">
        <v>40</v>
      </c>
      <c r="D15" s="87">
        <f>D16+D17</f>
        <v>153.58590000000001</v>
      </c>
      <c r="E15" s="87">
        <f>E16+E17</f>
        <v>334.70026999999993</v>
      </c>
      <c r="F15" s="87">
        <f>F16+F17</f>
        <v>262.90999999999997</v>
      </c>
      <c r="G15" s="87">
        <f>G16+G17</f>
        <v>215</v>
      </c>
      <c r="H15" s="87">
        <f>H16+H17</f>
        <v>238.05278461538461</v>
      </c>
      <c r="I15" s="87">
        <f t="shared" ref="I15:N15" si="1">SUM(I16:I17)</f>
        <v>1376.2233998666666</v>
      </c>
      <c r="J15" s="87">
        <f t="shared" si="1"/>
        <v>2367</v>
      </c>
      <c r="K15" s="87">
        <f t="shared" si="1"/>
        <v>1343</v>
      </c>
      <c r="L15" s="87">
        <f t="shared" si="1"/>
        <v>2528.8202717386293</v>
      </c>
      <c r="M15" s="87">
        <f t="shared" si="1"/>
        <v>2845.8144399999996</v>
      </c>
      <c r="N15" s="87">
        <f t="shared" si="1"/>
        <v>1888.03006142</v>
      </c>
    </row>
    <row r="16" spans="1:15" ht="40.15" customHeight="1" thickTop="1" thickBot="1">
      <c r="A16" s="70" t="s">
        <v>6</v>
      </c>
      <c r="B16" s="96" t="s">
        <v>125</v>
      </c>
      <c r="C16" s="71" t="s">
        <v>40</v>
      </c>
      <c r="D16" s="159">
        <v>10.749000000000001</v>
      </c>
      <c r="E16" s="159">
        <v>55.872700000000002</v>
      </c>
      <c r="F16" s="159">
        <v>67.91</v>
      </c>
      <c r="G16" s="159">
        <v>7</v>
      </c>
      <c r="H16" s="159">
        <v>90.052784615384624</v>
      </c>
      <c r="I16" s="159">
        <v>1207</v>
      </c>
      <c r="J16" s="159">
        <v>2114</v>
      </c>
      <c r="K16" s="159">
        <v>1230</v>
      </c>
      <c r="L16" s="159">
        <v>2321.1383917386365</v>
      </c>
      <c r="M16" s="159">
        <v>2652.2493199999999</v>
      </c>
      <c r="N16" s="159">
        <v>1635.6384824400002</v>
      </c>
      <c r="O16" s="52"/>
    </row>
    <row r="17" spans="1:15" ht="40.15" customHeight="1" thickTop="1" thickBot="1">
      <c r="A17" s="70" t="s">
        <v>7</v>
      </c>
      <c r="B17" s="96" t="s">
        <v>126</v>
      </c>
      <c r="C17" s="71" t="s">
        <v>40</v>
      </c>
      <c r="D17" s="159">
        <v>142.83690000000001</v>
      </c>
      <c r="E17" s="159">
        <v>278.82756999999992</v>
      </c>
      <c r="F17" s="159">
        <v>195</v>
      </c>
      <c r="G17" s="159">
        <v>208</v>
      </c>
      <c r="H17" s="159">
        <v>148</v>
      </c>
      <c r="I17" s="159">
        <v>169.22339986666668</v>
      </c>
      <c r="J17" s="159">
        <v>253</v>
      </c>
      <c r="K17" s="159">
        <v>113</v>
      </c>
      <c r="L17" s="159">
        <v>207.68187999999282</v>
      </c>
      <c r="M17" s="159">
        <v>193.56511999999975</v>
      </c>
      <c r="N17" s="159">
        <v>252.39157897999996</v>
      </c>
      <c r="O17" s="52"/>
    </row>
    <row r="18" spans="1:15" ht="40.15" customHeight="1" thickTop="1" thickBot="1">
      <c r="A18" s="80" t="s">
        <v>59</v>
      </c>
      <c r="B18" s="94" t="s">
        <v>279</v>
      </c>
      <c r="C18" s="81" t="s">
        <v>60</v>
      </c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2">
        <v>0</v>
      </c>
      <c r="L18" s="82">
        <v>0</v>
      </c>
      <c r="M18" s="82">
        <v>0</v>
      </c>
      <c r="N18" s="82">
        <v>0</v>
      </c>
    </row>
    <row r="19" spans="1:15" ht="40.15" customHeight="1" thickTop="1" thickBot="1">
      <c r="A19" s="80" t="s">
        <v>96</v>
      </c>
      <c r="B19" s="94" t="s">
        <v>229</v>
      </c>
      <c r="C19" s="81" t="s">
        <v>41</v>
      </c>
      <c r="D19" s="82">
        <f t="shared" ref="D19:N19" si="2">SUM(D20:D21)</f>
        <v>833</v>
      </c>
      <c r="E19" s="82">
        <f t="shared" si="2"/>
        <v>985</v>
      </c>
      <c r="F19" s="82">
        <f t="shared" si="2"/>
        <v>902.28920000000005</v>
      </c>
      <c r="G19" s="82">
        <f t="shared" si="2"/>
        <v>720.1626</v>
      </c>
      <c r="H19" s="82">
        <f t="shared" si="2"/>
        <v>1064.4741929333334</v>
      </c>
      <c r="I19" s="82">
        <f t="shared" si="2"/>
        <v>832.30628000000002</v>
      </c>
      <c r="J19" s="82">
        <f t="shared" si="2"/>
        <v>1313.0577511111112</v>
      </c>
      <c r="K19" s="82">
        <f t="shared" si="2"/>
        <v>1259.0784859259259</v>
      </c>
      <c r="L19" s="82">
        <f t="shared" si="2"/>
        <v>245.81275191111112</v>
      </c>
      <c r="M19" s="82">
        <f t="shared" si="2"/>
        <v>1039.2880233185185</v>
      </c>
      <c r="N19" s="82">
        <f t="shared" si="2"/>
        <v>1334.1695465185185</v>
      </c>
    </row>
    <row r="20" spans="1:15" ht="40.15" customHeight="1" thickTop="1" thickBot="1">
      <c r="A20" s="85" t="s">
        <v>97</v>
      </c>
      <c r="B20" s="95" t="s">
        <v>230</v>
      </c>
      <c r="C20" s="86" t="s">
        <v>41</v>
      </c>
      <c r="D20" s="87">
        <v>832</v>
      </c>
      <c r="E20" s="87">
        <v>985</v>
      </c>
      <c r="F20" s="87">
        <v>891.28920000000005</v>
      </c>
      <c r="G20" s="87">
        <v>716.1626</v>
      </c>
      <c r="H20" s="87">
        <v>1064.4741929333334</v>
      </c>
      <c r="I20" s="87">
        <v>832.30628000000002</v>
      </c>
      <c r="J20" s="87">
        <v>1313</v>
      </c>
      <c r="K20" s="87">
        <v>1259</v>
      </c>
      <c r="L20" s="87">
        <v>245.81202666666667</v>
      </c>
      <c r="M20" s="87">
        <v>1039.1184768000001</v>
      </c>
      <c r="N20" s="87">
        <v>1334</v>
      </c>
    </row>
    <row r="21" spans="1:15" ht="40.15" customHeight="1" thickTop="1" thickBot="1">
      <c r="A21" s="85" t="s">
        <v>98</v>
      </c>
      <c r="B21" s="95" t="s">
        <v>280</v>
      </c>
      <c r="C21" s="86" t="s">
        <v>41</v>
      </c>
      <c r="D21" s="87">
        <v>1</v>
      </c>
      <c r="E21" s="87">
        <v>0</v>
      </c>
      <c r="F21" s="87">
        <v>11</v>
      </c>
      <c r="G21" s="87">
        <v>4</v>
      </c>
      <c r="H21" s="87">
        <v>0</v>
      </c>
      <c r="I21" s="87">
        <v>0</v>
      </c>
      <c r="J21" s="87">
        <v>5.7751111111111114E-2</v>
      </c>
      <c r="K21" s="87">
        <v>7.8485925925925876E-2</v>
      </c>
      <c r="L21" s="87">
        <v>7.2524444444444435E-4</v>
      </c>
      <c r="M21" s="87">
        <v>0.16954651851851849</v>
      </c>
      <c r="N21" s="87">
        <v>0.16954651851851849</v>
      </c>
    </row>
    <row r="22" spans="1:15" ht="40.15" customHeight="1" thickTop="1" thickBot="1">
      <c r="A22" s="80" t="s">
        <v>99</v>
      </c>
      <c r="B22" s="94" t="s">
        <v>264</v>
      </c>
      <c r="C22" s="81" t="s">
        <v>53</v>
      </c>
      <c r="D22" s="82">
        <v>2.0510000000000002</v>
      </c>
      <c r="E22" s="82">
        <v>3.3439999999999999</v>
      </c>
      <c r="F22" s="82">
        <v>1.4602499799999999</v>
      </c>
      <c r="G22" s="82">
        <v>1.8922099999999999</v>
      </c>
      <c r="H22" s="82">
        <v>0.40993999999999997</v>
      </c>
      <c r="I22" s="82">
        <v>0.56665999999999994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</row>
    <row r="23" spans="1:15" ht="40.15" customHeight="1" thickTop="1" thickBot="1">
      <c r="A23" s="80">
        <v>5</v>
      </c>
      <c r="B23" s="94" t="s">
        <v>117</v>
      </c>
      <c r="C23" s="81" t="s">
        <v>40</v>
      </c>
      <c r="D23" s="82">
        <f>D24+D25</f>
        <v>146.36927299999999</v>
      </c>
      <c r="E23" s="82">
        <f>E24+E25</f>
        <v>189.20395600000001</v>
      </c>
      <c r="F23" s="82">
        <f>F24+F25</f>
        <v>212.50236718181819</v>
      </c>
      <c r="G23" s="82">
        <f>G24+G25</f>
        <v>193.1485076077922</v>
      </c>
      <c r="H23" s="82">
        <f>H24+H25</f>
        <v>198.77238539220778</v>
      </c>
      <c r="I23" s="82">
        <f t="shared" ref="I23:N23" si="3">SUM(I24:I25)</f>
        <v>342.11927156363629</v>
      </c>
      <c r="J23" s="82">
        <f t="shared" si="3"/>
        <v>392.41404372727266</v>
      </c>
      <c r="K23" s="82">
        <f t="shared" si="3"/>
        <v>412.65967409090911</v>
      </c>
      <c r="L23" s="82">
        <f t="shared" si="3"/>
        <v>469.50283011590909</v>
      </c>
      <c r="M23" s="82">
        <f t="shared" si="3"/>
        <v>557.24654677045453</v>
      </c>
      <c r="N23" s="82">
        <f t="shared" si="3"/>
        <v>608.21987010909083</v>
      </c>
    </row>
    <row r="24" spans="1:15" ht="40.15" customHeight="1" thickTop="1" thickBot="1">
      <c r="A24" s="70" t="s">
        <v>56</v>
      </c>
      <c r="B24" s="96" t="s">
        <v>125</v>
      </c>
      <c r="C24" s="71" t="s">
        <v>40</v>
      </c>
      <c r="D24" s="159">
        <v>55.873272999999998</v>
      </c>
      <c r="E24" s="159">
        <v>73.73</v>
      </c>
      <c r="F24" s="159">
        <v>76.312367181818189</v>
      </c>
      <c r="G24" s="159">
        <v>74.977283636363637</v>
      </c>
      <c r="H24" s="73">
        <v>97.925448963636356</v>
      </c>
      <c r="I24" s="73">
        <v>186.95835076363633</v>
      </c>
      <c r="J24" s="73">
        <v>239</v>
      </c>
      <c r="K24" s="73">
        <v>272</v>
      </c>
      <c r="L24" s="73">
        <v>333.37750742499998</v>
      </c>
      <c r="M24" s="73">
        <v>378.13663282499999</v>
      </c>
      <c r="N24" s="183">
        <v>424.8810231999999</v>
      </c>
    </row>
    <row r="25" spans="1:15" ht="40.15" customHeight="1" thickTop="1" thickBot="1">
      <c r="A25" s="70" t="s">
        <v>57</v>
      </c>
      <c r="B25" s="96" t="s">
        <v>126</v>
      </c>
      <c r="C25" s="71" t="s">
        <v>40</v>
      </c>
      <c r="D25" s="159">
        <v>90.495999999999995</v>
      </c>
      <c r="E25" s="159">
        <v>115.473956</v>
      </c>
      <c r="F25" s="159">
        <v>136.19</v>
      </c>
      <c r="G25" s="159">
        <v>118.17122397142856</v>
      </c>
      <c r="H25" s="73">
        <v>100.84693642857142</v>
      </c>
      <c r="I25" s="73">
        <v>155.16092079999999</v>
      </c>
      <c r="J25" s="73">
        <v>153.41404372727268</v>
      </c>
      <c r="K25" s="73">
        <v>140.65967409090908</v>
      </c>
      <c r="L25" s="73">
        <v>136.12532269090909</v>
      </c>
      <c r="M25" s="73">
        <v>179.10991394545451</v>
      </c>
      <c r="N25" s="183">
        <v>183.3388469090909</v>
      </c>
    </row>
    <row r="26" spans="1:15" ht="40.15" customHeight="1" thickTop="1" thickBot="1">
      <c r="A26" s="80">
        <v>6</v>
      </c>
      <c r="B26" s="94" t="s">
        <v>281</v>
      </c>
      <c r="C26" s="81" t="s">
        <v>40</v>
      </c>
      <c r="D26" s="82">
        <f>D27+D30+D31+D33</f>
        <v>181.30031</v>
      </c>
      <c r="E26" s="82">
        <f>E27+E30+E31+E33</f>
        <v>231.23226</v>
      </c>
      <c r="F26" s="82">
        <f>F27+F30+F31+F33</f>
        <v>198.25398800000002</v>
      </c>
      <c r="G26" s="82">
        <f>G27+G30+G31+G33</f>
        <v>158.63218666666666</v>
      </c>
      <c r="H26" s="82">
        <f>H27+H30+H31+H33</f>
        <v>175.49626604803493</v>
      </c>
      <c r="I26" s="82">
        <f t="shared" ref="I26:N26" si="4">+I27+I30+I31+I33</f>
        <v>224.264825</v>
      </c>
      <c r="J26" s="82">
        <f t="shared" si="4"/>
        <v>186.01104235</v>
      </c>
      <c r="K26" s="82">
        <f t="shared" si="4"/>
        <v>215</v>
      </c>
      <c r="L26" s="82">
        <f t="shared" si="4"/>
        <v>191.04310665333333</v>
      </c>
      <c r="M26" s="82">
        <f t="shared" si="4"/>
        <v>183.38220000000001</v>
      </c>
      <c r="N26" s="82">
        <f t="shared" si="4"/>
        <v>201.19579087692222</v>
      </c>
    </row>
    <row r="27" spans="1:15" ht="40.15" customHeight="1" thickTop="1" thickBot="1">
      <c r="A27" s="85">
        <v>6.1</v>
      </c>
      <c r="B27" s="95" t="s">
        <v>217</v>
      </c>
      <c r="C27" s="86" t="s">
        <v>40</v>
      </c>
      <c r="D27" s="87">
        <f>SUM(D28:D29)</f>
        <v>0</v>
      </c>
      <c r="E27" s="87">
        <f>SUM(E28:E29)</f>
        <v>3.7490000000000002E-2</v>
      </c>
      <c r="F27" s="87">
        <f>SUM(F28:F29)</f>
        <v>0.13302699999999998</v>
      </c>
      <c r="G27" s="87">
        <f t="shared" ref="G27:N27" si="5">SUM(G29:G29)</f>
        <v>8.1866666666666667E-3</v>
      </c>
      <c r="H27" s="87">
        <f t="shared" si="5"/>
        <v>0</v>
      </c>
      <c r="I27" s="87">
        <f t="shared" si="5"/>
        <v>0</v>
      </c>
      <c r="J27" s="87">
        <f t="shared" si="5"/>
        <v>0</v>
      </c>
      <c r="K27" s="87">
        <f t="shared" si="5"/>
        <v>0</v>
      </c>
      <c r="L27" s="87">
        <f t="shared" si="5"/>
        <v>4.3106653333333335E-2</v>
      </c>
      <c r="M27" s="87">
        <f t="shared" si="5"/>
        <v>0.29620000000000002</v>
      </c>
      <c r="N27" s="87">
        <f t="shared" si="5"/>
        <v>6.6119200000000014</v>
      </c>
    </row>
    <row r="28" spans="1:15" ht="40.15" customHeight="1" thickTop="1" thickBot="1">
      <c r="A28" s="70" t="s">
        <v>20</v>
      </c>
      <c r="B28" s="96" t="s">
        <v>125</v>
      </c>
      <c r="C28" s="71" t="s">
        <v>40</v>
      </c>
      <c r="D28" s="159">
        <v>0</v>
      </c>
      <c r="E28" s="159">
        <v>0</v>
      </c>
      <c r="F28" s="159">
        <v>3.457E-3</v>
      </c>
      <c r="G28" s="159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183">
        <v>0</v>
      </c>
      <c r="N28" s="183">
        <v>0</v>
      </c>
    </row>
    <row r="29" spans="1:15" ht="40.15" customHeight="1" thickTop="1" thickBot="1">
      <c r="A29" s="70" t="s">
        <v>21</v>
      </c>
      <c r="B29" s="96" t="s">
        <v>126</v>
      </c>
      <c r="C29" s="71" t="s">
        <v>40</v>
      </c>
      <c r="D29" s="159">
        <v>0</v>
      </c>
      <c r="E29" s="159">
        <v>3.7490000000000002E-2</v>
      </c>
      <c r="F29" s="159">
        <v>0.12956999999999999</v>
      </c>
      <c r="G29" s="159">
        <v>8.1866666666666667E-3</v>
      </c>
      <c r="H29" s="73">
        <v>0</v>
      </c>
      <c r="I29" s="73">
        <v>0</v>
      </c>
      <c r="J29" s="73">
        <v>0</v>
      </c>
      <c r="K29" s="73">
        <v>0</v>
      </c>
      <c r="L29" s="73">
        <v>4.3106653333333335E-2</v>
      </c>
      <c r="M29" s="73">
        <v>0.29620000000000002</v>
      </c>
      <c r="N29" s="183">
        <v>6.6119200000000014</v>
      </c>
    </row>
    <row r="30" spans="1:15" ht="40.15" customHeight="1" thickTop="1" thickBot="1">
      <c r="A30" s="85">
        <v>6.2</v>
      </c>
      <c r="B30" s="95" t="s">
        <v>128</v>
      </c>
      <c r="C30" s="86" t="s">
        <v>40</v>
      </c>
      <c r="D30" s="87">
        <v>161</v>
      </c>
      <c r="E30" s="87">
        <v>201</v>
      </c>
      <c r="F30" s="87">
        <v>178.6</v>
      </c>
      <c r="G30" s="87">
        <v>156.624</v>
      </c>
      <c r="H30" s="87">
        <v>175.23144104803492</v>
      </c>
      <c r="I30" s="87">
        <v>224</v>
      </c>
      <c r="J30" s="87">
        <v>186</v>
      </c>
      <c r="K30" s="87">
        <v>215</v>
      </c>
      <c r="L30" s="87">
        <f>142+49</f>
        <v>191</v>
      </c>
      <c r="M30" s="87">
        <v>183</v>
      </c>
      <c r="N30" s="87">
        <v>194.49787087692221</v>
      </c>
    </row>
    <row r="31" spans="1:15" ht="40.15" customHeight="1" thickTop="1" thickBot="1">
      <c r="A31" s="85">
        <v>6.3</v>
      </c>
      <c r="B31" s="95" t="s">
        <v>283</v>
      </c>
      <c r="C31" s="86" t="s">
        <v>40</v>
      </c>
      <c r="D31" s="87">
        <f t="shared" ref="D31:N31" si="6">D32</f>
        <v>5.8999999999999997E-2</v>
      </c>
      <c r="E31" s="87">
        <f t="shared" si="6"/>
        <v>0</v>
      </c>
      <c r="F31" s="87">
        <f t="shared" si="6"/>
        <v>0</v>
      </c>
      <c r="G31" s="87">
        <f t="shared" si="6"/>
        <v>0</v>
      </c>
      <c r="H31" s="87">
        <f t="shared" si="6"/>
        <v>0</v>
      </c>
      <c r="I31" s="87">
        <f t="shared" si="6"/>
        <v>0</v>
      </c>
      <c r="J31" s="87">
        <f t="shared" si="6"/>
        <v>0</v>
      </c>
      <c r="K31" s="87">
        <f t="shared" si="6"/>
        <v>0</v>
      </c>
      <c r="L31" s="87">
        <f t="shared" si="6"/>
        <v>0</v>
      </c>
      <c r="M31" s="87">
        <f t="shared" si="6"/>
        <v>0</v>
      </c>
      <c r="N31" s="87">
        <f t="shared" si="6"/>
        <v>0</v>
      </c>
    </row>
    <row r="32" spans="1:15" ht="40.15" customHeight="1" thickTop="1" thickBot="1">
      <c r="A32" s="70" t="s">
        <v>24</v>
      </c>
      <c r="B32" s="96" t="s">
        <v>193</v>
      </c>
      <c r="C32" s="71" t="s">
        <v>40</v>
      </c>
      <c r="D32" s="159">
        <v>5.8999999999999997E-2</v>
      </c>
      <c r="E32" s="159">
        <v>0</v>
      </c>
      <c r="F32" s="159">
        <v>0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59">
        <v>0</v>
      </c>
      <c r="N32" s="159">
        <v>0</v>
      </c>
    </row>
    <row r="33" spans="1:14" ht="40.15" customHeight="1" thickTop="1" thickBot="1">
      <c r="A33" s="85">
        <v>6.4</v>
      </c>
      <c r="B33" s="95" t="s">
        <v>129</v>
      </c>
      <c r="C33" s="86" t="s">
        <v>40</v>
      </c>
      <c r="D33" s="87">
        <f t="shared" ref="D33:N33" si="7">D34+D35+D36</f>
        <v>20.241309999999999</v>
      </c>
      <c r="E33" s="87">
        <f t="shared" si="7"/>
        <v>30.194769999999998</v>
      </c>
      <c r="F33" s="87">
        <f t="shared" si="7"/>
        <v>19.520961000000028</v>
      </c>
      <c r="G33" s="87">
        <f t="shared" si="7"/>
        <v>2</v>
      </c>
      <c r="H33" s="87">
        <f t="shared" si="7"/>
        <v>0.26482499999999998</v>
      </c>
      <c r="I33" s="87">
        <f t="shared" si="7"/>
        <v>0.26482499999999998</v>
      </c>
      <c r="J33" s="87">
        <f t="shared" si="7"/>
        <v>1.1042350000000001E-2</v>
      </c>
      <c r="K33" s="87">
        <f t="shared" si="7"/>
        <v>0</v>
      </c>
      <c r="L33" s="87">
        <f t="shared" si="7"/>
        <v>0</v>
      </c>
      <c r="M33" s="87">
        <f t="shared" si="7"/>
        <v>8.5999999999999993E-2</v>
      </c>
      <c r="N33" s="87">
        <f t="shared" si="7"/>
        <v>8.5999999999999993E-2</v>
      </c>
    </row>
    <row r="34" spans="1:14" ht="40.15" customHeight="1" thickTop="1" thickBot="1">
      <c r="A34" s="70" t="s">
        <v>25</v>
      </c>
      <c r="B34" s="96" t="s">
        <v>232</v>
      </c>
      <c r="C34" s="71" t="s">
        <v>40</v>
      </c>
      <c r="D34" s="159">
        <v>0</v>
      </c>
      <c r="E34" s="159">
        <v>0</v>
      </c>
      <c r="F34" s="159">
        <v>0</v>
      </c>
      <c r="G34" s="159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183">
        <v>0</v>
      </c>
      <c r="N34" s="183">
        <v>0</v>
      </c>
    </row>
    <row r="35" spans="1:14" ht="40.15" customHeight="1" thickTop="1" thickBot="1">
      <c r="A35" s="70" t="s">
        <v>26</v>
      </c>
      <c r="B35" s="96" t="s">
        <v>130</v>
      </c>
      <c r="C35" s="71" t="s">
        <v>40</v>
      </c>
      <c r="D35" s="159">
        <v>16.581309999999998</v>
      </c>
      <c r="E35" s="159">
        <v>30.194769999999998</v>
      </c>
      <c r="F35" s="159">
        <v>19.520961000000028</v>
      </c>
      <c r="G35" s="159">
        <v>2</v>
      </c>
      <c r="H35" s="73">
        <v>0.26482499999999998</v>
      </c>
      <c r="I35" s="73">
        <v>0.26482499999999998</v>
      </c>
      <c r="J35" s="73">
        <v>1.1042350000000001E-2</v>
      </c>
      <c r="K35" s="73">
        <v>0</v>
      </c>
      <c r="L35" s="73">
        <v>0</v>
      </c>
      <c r="M35" s="183">
        <v>0</v>
      </c>
      <c r="N35" s="183">
        <v>0</v>
      </c>
    </row>
    <row r="36" spans="1:14" ht="40.15" customHeight="1" thickTop="1" thickBot="1">
      <c r="A36" s="70" t="s">
        <v>27</v>
      </c>
      <c r="B36" s="96" t="s">
        <v>160</v>
      </c>
      <c r="C36" s="71" t="s">
        <v>40</v>
      </c>
      <c r="D36" s="159">
        <v>3.66</v>
      </c>
      <c r="E36" s="159">
        <v>0</v>
      </c>
      <c r="F36" s="159">
        <v>0</v>
      </c>
      <c r="G36" s="159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183">
        <v>8.5999999999999993E-2</v>
      </c>
      <c r="N36" s="183">
        <v>8.5999999999999993E-2</v>
      </c>
    </row>
    <row r="37" spans="1:14" ht="40.15" customHeight="1" thickTop="1" thickBot="1">
      <c r="A37" s="80">
        <v>7</v>
      </c>
      <c r="B37" s="94" t="s">
        <v>118</v>
      </c>
      <c r="C37" s="81" t="s">
        <v>53</v>
      </c>
      <c r="D37" s="82">
        <f>D38+D39+D40+D45</f>
        <v>1123.156334</v>
      </c>
      <c r="E37" s="82">
        <f>E38+E39+E40+E45</f>
        <v>1224.942</v>
      </c>
      <c r="F37" s="82">
        <f>F38+F39+F40+F45</f>
        <v>1910.029522</v>
      </c>
      <c r="G37" s="82">
        <f>G38+G39+G40+G45</f>
        <v>2361.0393626666664</v>
      </c>
      <c r="H37" s="82">
        <f>H38+H39+H40+H45</f>
        <v>2567.1023626666665</v>
      </c>
      <c r="I37" s="82">
        <f t="shared" ref="I37:N37" si="8">SUM(I38:I40)</f>
        <v>2640.67</v>
      </c>
      <c r="J37" s="82">
        <f t="shared" si="8"/>
        <v>2539.46</v>
      </c>
      <c r="K37" s="82">
        <f t="shared" si="8"/>
        <v>2599.2200000000003</v>
      </c>
      <c r="L37" s="82">
        <f t="shared" si="8"/>
        <v>2782.6669999999999</v>
      </c>
      <c r="M37" s="82">
        <f t="shared" si="8"/>
        <v>2763.5239919999995</v>
      </c>
      <c r="N37" s="82">
        <f t="shared" si="8"/>
        <v>2697.1675049999999</v>
      </c>
    </row>
    <row r="38" spans="1:14" ht="40.15" customHeight="1" thickTop="1" thickBot="1">
      <c r="A38" s="85">
        <v>7.1</v>
      </c>
      <c r="B38" s="95" t="s">
        <v>233</v>
      </c>
      <c r="C38" s="86" t="s">
        <v>53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</row>
    <row r="39" spans="1:14" ht="40.15" customHeight="1" thickTop="1" thickBot="1">
      <c r="A39" s="85">
        <v>7.2</v>
      </c>
      <c r="B39" s="95" t="s">
        <v>234</v>
      </c>
      <c r="C39" s="86" t="s">
        <v>53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</row>
    <row r="40" spans="1:14" ht="40.15" customHeight="1" thickTop="1" thickBot="1">
      <c r="A40" s="85">
        <v>7.3</v>
      </c>
      <c r="B40" s="95" t="s">
        <v>251</v>
      </c>
      <c r="C40" s="86" t="s">
        <v>53</v>
      </c>
      <c r="D40" s="87">
        <f t="shared" ref="D40:N40" si="9">SUM(D41:D44)</f>
        <v>1123.156334</v>
      </c>
      <c r="E40" s="87">
        <f t="shared" si="9"/>
        <v>1224.942</v>
      </c>
      <c r="F40" s="87">
        <f t="shared" si="9"/>
        <v>1910.0060000000001</v>
      </c>
      <c r="G40" s="87">
        <f t="shared" si="9"/>
        <v>2361.0079999999998</v>
      </c>
      <c r="H40" s="87">
        <f t="shared" si="9"/>
        <v>2567.0709999999999</v>
      </c>
      <c r="I40" s="87">
        <f t="shared" si="9"/>
        <v>2640.67</v>
      </c>
      <c r="J40" s="87">
        <f t="shared" si="9"/>
        <v>2539.46</v>
      </c>
      <c r="K40" s="87">
        <f t="shared" si="9"/>
        <v>2599.2200000000003</v>
      </c>
      <c r="L40" s="87">
        <f t="shared" si="9"/>
        <v>2782.6669999999999</v>
      </c>
      <c r="M40" s="87">
        <f t="shared" si="9"/>
        <v>2763.5239919999995</v>
      </c>
      <c r="N40" s="87">
        <f t="shared" si="9"/>
        <v>2697.1675049999999</v>
      </c>
    </row>
    <row r="41" spans="1:14" ht="40.15" customHeight="1" thickTop="1" thickBot="1">
      <c r="A41" s="70" t="s">
        <v>28</v>
      </c>
      <c r="B41" s="96" t="s">
        <v>284</v>
      </c>
      <c r="C41" s="71" t="s">
        <v>53</v>
      </c>
      <c r="D41" s="159">
        <v>0</v>
      </c>
      <c r="E41" s="159">
        <v>0</v>
      </c>
      <c r="F41" s="159">
        <v>0</v>
      </c>
      <c r="G41" s="159">
        <v>0</v>
      </c>
      <c r="H41" s="73">
        <v>0</v>
      </c>
      <c r="I41" s="73">
        <v>0</v>
      </c>
      <c r="J41" s="73">
        <v>0</v>
      </c>
      <c r="K41" s="73">
        <v>0</v>
      </c>
      <c r="L41" s="73">
        <v>0</v>
      </c>
      <c r="M41" s="183">
        <v>0</v>
      </c>
      <c r="N41" s="183">
        <v>0</v>
      </c>
    </row>
    <row r="42" spans="1:14" ht="40.15" customHeight="1" thickTop="1" thickBot="1">
      <c r="A42" s="70" t="s">
        <v>29</v>
      </c>
      <c r="B42" s="96" t="s">
        <v>236</v>
      </c>
      <c r="C42" s="71" t="s">
        <v>53</v>
      </c>
      <c r="D42" s="159">
        <v>1123.156334</v>
      </c>
      <c r="E42" s="159">
        <v>1224.942</v>
      </c>
      <c r="F42" s="159">
        <v>1910</v>
      </c>
      <c r="G42" s="159">
        <v>2361</v>
      </c>
      <c r="H42" s="73">
        <v>2567.0709999999999</v>
      </c>
      <c r="I42" s="73">
        <v>2640.67</v>
      </c>
      <c r="J42" s="73">
        <v>2539.46</v>
      </c>
      <c r="K42" s="73">
        <v>2599.2200000000003</v>
      </c>
      <c r="L42" s="73">
        <v>2782.6669999999999</v>
      </c>
      <c r="M42" s="183">
        <v>2763.5239919999995</v>
      </c>
      <c r="N42" s="183">
        <v>2697.1675049999999</v>
      </c>
    </row>
    <row r="43" spans="1:14" ht="40.15" customHeight="1" thickTop="1" thickBot="1">
      <c r="A43" s="70" t="s">
        <v>30</v>
      </c>
      <c r="B43" s="96" t="s">
        <v>237</v>
      </c>
      <c r="C43" s="71" t="s">
        <v>53</v>
      </c>
      <c r="D43" s="72">
        <v>0</v>
      </c>
      <c r="E43" s="72">
        <v>0</v>
      </c>
      <c r="F43" s="72">
        <v>0</v>
      </c>
      <c r="G43" s="72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183">
        <v>0</v>
      </c>
      <c r="N43" s="183">
        <v>0</v>
      </c>
    </row>
    <row r="44" spans="1:14" ht="40.15" customHeight="1" thickTop="1" thickBot="1">
      <c r="A44" s="70" t="s">
        <v>31</v>
      </c>
      <c r="B44" s="96" t="s">
        <v>254</v>
      </c>
      <c r="C44" s="71" t="s">
        <v>53</v>
      </c>
      <c r="D44" s="72">
        <v>0</v>
      </c>
      <c r="E44" s="72">
        <v>0</v>
      </c>
      <c r="F44" s="72">
        <v>6.0000000000000001E-3</v>
      </c>
      <c r="G44" s="72">
        <v>8.0000000000000002E-3</v>
      </c>
      <c r="H44" s="73">
        <v>0</v>
      </c>
      <c r="I44" s="73">
        <v>0</v>
      </c>
      <c r="J44" s="73">
        <v>0</v>
      </c>
      <c r="K44" s="73">
        <v>0</v>
      </c>
      <c r="L44" s="73">
        <v>0</v>
      </c>
      <c r="M44" s="183">
        <v>0</v>
      </c>
      <c r="N44" s="183">
        <v>0</v>
      </c>
    </row>
    <row r="45" spans="1:14" ht="40.15" customHeight="1" thickTop="1" thickBot="1">
      <c r="A45" s="85">
        <v>7.4</v>
      </c>
      <c r="B45" s="95" t="s">
        <v>203</v>
      </c>
      <c r="C45" s="86" t="s">
        <v>53</v>
      </c>
      <c r="D45" s="87">
        <v>0</v>
      </c>
      <c r="E45" s="87">
        <v>0</v>
      </c>
      <c r="F45" s="87">
        <v>2.3522000000000001E-2</v>
      </c>
      <c r="G45" s="87">
        <v>3.1362666666666698E-2</v>
      </c>
      <c r="H45" s="87">
        <v>3.1362666666666698E-2</v>
      </c>
      <c r="I45" s="87">
        <v>3.1362666666666698E-2</v>
      </c>
      <c r="J45" s="87">
        <v>0</v>
      </c>
      <c r="K45" s="87">
        <v>0</v>
      </c>
      <c r="L45" s="87">
        <v>0</v>
      </c>
      <c r="M45" s="87">
        <v>0</v>
      </c>
      <c r="N45" s="87">
        <v>1</v>
      </c>
    </row>
    <row r="46" spans="1:14" ht="40.15" customHeight="1" thickTop="1" thickBot="1">
      <c r="A46" s="80">
        <v>8</v>
      </c>
      <c r="B46" s="94" t="s">
        <v>119</v>
      </c>
      <c r="C46" s="81" t="s">
        <v>53</v>
      </c>
      <c r="D46" s="82">
        <f t="shared" ref="D46:M46" si="10">D47+D48</f>
        <v>0</v>
      </c>
      <c r="E46" s="82">
        <f t="shared" si="10"/>
        <v>0</v>
      </c>
      <c r="F46" s="82">
        <f t="shared" si="10"/>
        <v>0</v>
      </c>
      <c r="G46" s="82">
        <f t="shared" si="10"/>
        <v>0</v>
      </c>
      <c r="H46" s="82">
        <f t="shared" si="10"/>
        <v>0</v>
      </c>
      <c r="I46" s="82">
        <f t="shared" si="10"/>
        <v>0</v>
      </c>
      <c r="J46" s="82">
        <f t="shared" si="10"/>
        <v>0</v>
      </c>
      <c r="K46" s="82">
        <f t="shared" si="10"/>
        <v>0</v>
      </c>
      <c r="L46" s="82">
        <f t="shared" si="10"/>
        <v>0</v>
      </c>
      <c r="M46" s="82">
        <f t="shared" si="10"/>
        <v>0</v>
      </c>
      <c r="N46" s="82">
        <f t="shared" ref="N46" si="11">N47+N48</f>
        <v>0</v>
      </c>
    </row>
    <row r="47" spans="1:14" ht="40.15" customHeight="1" thickTop="1" thickBot="1">
      <c r="A47" s="85">
        <v>8.1</v>
      </c>
      <c r="B47" s="95" t="s">
        <v>131</v>
      </c>
      <c r="C47" s="86" t="s">
        <v>53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</row>
    <row r="48" spans="1:14" ht="40.15" customHeight="1" thickTop="1" thickBot="1">
      <c r="A48" s="85">
        <v>8.1999999999999993</v>
      </c>
      <c r="B48" s="95" t="s">
        <v>132</v>
      </c>
      <c r="C48" s="86" t="s">
        <v>53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</row>
    <row r="49" spans="1:14" ht="40.15" customHeight="1" thickTop="1" thickBot="1">
      <c r="A49" s="80">
        <v>9</v>
      </c>
      <c r="B49" s="94" t="s">
        <v>120</v>
      </c>
      <c r="C49" s="81" t="s">
        <v>53</v>
      </c>
      <c r="D49" s="82">
        <v>14.76340055</v>
      </c>
      <c r="E49" s="82">
        <v>14.51</v>
      </c>
      <c r="F49" s="82">
        <v>11.836855999999999</v>
      </c>
      <c r="G49" s="82">
        <v>16</v>
      </c>
      <c r="H49" s="82">
        <v>21.191393999999999</v>
      </c>
      <c r="I49" s="82">
        <v>15.286379999999999</v>
      </c>
      <c r="J49" s="82">
        <v>23.353408990000002</v>
      </c>
      <c r="K49" s="82">
        <v>13.785955</v>
      </c>
      <c r="L49" s="82">
        <v>19.574187000000002</v>
      </c>
      <c r="M49" s="82">
        <v>14.457965</v>
      </c>
      <c r="N49" s="82">
        <v>17.22823867</v>
      </c>
    </row>
    <row r="50" spans="1:14" ht="40.15" customHeight="1" thickTop="1" thickBot="1">
      <c r="A50" s="80">
        <v>10</v>
      </c>
      <c r="B50" s="94" t="s">
        <v>121</v>
      </c>
      <c r="C50" s="81" t="s">
        <v>53</v>
      </c>
      <c r="D50" s="82">
        <f t="shared" ref="D50:N50" si="12">D51+D56+D57+D62</f>
        <v>37.58587679</v>
      </c>
      <c r="E50" s="82">
        <f t="shared" si="12"/>
        <v>36.814980000000006</v>
      </c>
      <c r="F50" s="82">
        <f t="shared" si="12"/>
        <v>43.154115620000006</v>
      </c>
      <c r="G50" s="82">
        <f t="shared" si="12"/>
        <v>45.842755639999901</v>
      </c>
      <c r="H50" s="82">
        <f t="shared" si="12"/>
        <v>30.04117015000001</v>
      </c>
      <c r="I50" s="82">
        <f t="shared" si="12"/>
        <v>6.2401788500000004</v>
      </c>
      <c r="J50" s="82">
        <f t="shared" si="12"/>
        <v>3.05904964</v>
      </c>
      <c r="K50" s="82">
        <f t="shared" si="12"/>
        <v>3.1389256200000002</v>
      </c>
      <c r="L50" s="82">
        <f t="shared" si="12"/>
        <v>0.46546049</v>
      </c>
      <c r="M50" s="82">
        <f t="shared" si="12"/>
        <v>0.26246536999999998</v>
      </c>
      <c r="N50" s="82">
        <f t="shared" si="12"/>
        <v>0.18768583</v>
      </c>
    </row>
    <row r="51" spans="1:14" ht="40.15" customHeight="1" thickTop="1" thickBot="1">
      <c r="A51" s="85">
        <v>10.1</v>
      </c>
      <c r="B51" s="95" t="s">
        <v>285</v>
      </c>
      <c r="C51" s="86" t="s">
        <v>53</v>
      </c>
      <c r="D51" s="87">
        <f t="shared" ref="D51:N51" si="13">SUM(D52:D55)</f>
        <v>37.305467790000002</v>
      </c>
      <c r="E51" s="87">
        <f t="shared" si="13"/>
        <v>35.352603000000002</v>
      </c>
      <c r="F51" s="87">
        <f t="shared" si="13"/>
        <v>39.154115620000006</v>
      </c>
      <c r="G51" s="87">
        <f t="shared" si="13"/>
        <v>41.8348026399999</v>
      </c>
      <c r="H51" s="87">
        <f t="shared" si="13"/>
        <v>28.71520872000001</v>
      </c>
      <c r="I51" s="87">
        <f t="shared" si="13"/>
        <v>2.0998753000000003</v>
      </c>
      <c r="J51" s="87">
        <f t="shared" si="13"/>
        <v>0.24486481000000004</v>
      </c>
      <c r="K51" s="87">
        <f t="shared" si="13"/>
        <v>0.141794</v>
      </c>
      <c r="L51" s="87">
        <f t="shared" si="13"/>
        <v>4.0846499999999996E-3</v>
      </c>
      <c r="M51" s="87">
        <f t="shared" si="13"/>
        <v>9.9240399999999986E-3</v>
      </c>
      <c r="N51" s="87">
        <f t="shared" si="13"/>
        <v>0.15719358999999999</v>
      </c>
    </row>
    <row r="52" spans="1:14" ht="40.15" customHeight="1" thickTop="1" thickBot="1">
      <c r="A52" s="70" t="s">
        <v>32</v>
      </c>
      <c r="B52" s="97" t="s">
        <v>241</v>
      </c>
      <c r="C52" s="71" t="s">
        <v>53</v>
      </c>
      <c r="D52" s="159">
        <v>0</v>
      </c>
      <c r="E52" s="159">
        <v>0</v>
      </c>
      <c r="F52" s="159">
        <v>0</v>
      </c>
      <c r="G52" s="159">
        <v>0</v>
      </c>
      <c r="H52" s="73">
        <v>0</v>
      </c>
      <c r="I52" s="73">
        <v>0</v>
      </c>
      <c r="J52" s="73">
        <v>0</v>
      </c>
      <c r="K52" s="73">
        <v>0</v>
      </c>
      <c r="L52" s="73">
        <v>3.4129999999999998E-3</v>
      </c>
      <c r="M52" s="73">
        <v>9.8879999999999992E-3</v>
      </c>
      <c r="N52" s="183">
        <v>0</v>
      </c>
    </row>
    <row r="53" spans="1:14" ht="40.15" customHeight="1" thickTop="1" thickBot="1">
      <c r="A53" s="70" t="s">
        <v>33</v>
      </c>
      <c r="B53" s="97" t="s">
        <v>133</v>
      </c>
      <c r="C53" s="71" t="s">
        <v>53</v>
      </c>
      <c r="D53" s="159">
        <v>0</v>
      </c>
      <c r="E53" s="159">
        <v>0</v>
      </c>
      <c r="F53" s="159">
        <v>0</v>
      </c>
      <c r="G53" s="159">
        <v>0</v>
      </c>
      <c r="H53" s="73">
        <v>0</v>
      </c>
      <c r="I53" s="73">
        <v>0</v>
      </c>
      <c r="J53" s="73">
        <v>0</v>
      </c>
      <c r="K53" s="73">
        <v>0</v>
      </c>
      <c r="L53" s="73">
        <v>0</v>
      </c>
      <c r="M53" s="183">
        <v>0</v>
      </c>
      <c r="N53" s="183">
        <v>0</v>
      </c>
    </row>
    <row r="54" spans="1:14" ht="40.15" customHeight="1" thickTop="1" thickBot="1">
      <c r="A54" s="70" t="s">
        <v>34</v>
      </c>
      <c r="B54" s="97" t="s">
        <v>242</v>
      </c>
      <c r="C54" s="71" t="s">
        <v>53</v>
      </c>
      <c r="D54" s="159">
        <v>7.9616952699999999</v>
      </c>
      <c r="E54" s="159">
        <v>5.3691360000000001</v>
      </c>
      <c r="F54" s="159">
        <v>6.9938742000000005</v>
      </c>
      <c r="G54" s="159">
        <v>7</v>
      </c>
      <c r="H54" s="73">
        <v>6.1545676800000004</v>
      </c>
      <c r="I54" s="73">
        <v>8.9870680000000008E-2</v>
      </c>
      <c r="J54" s="73">
        <v>5.1765999999999965E-4</v>
      </c>
      <c r="K54" s="73">
        <v>0.141794</v>
      </c>
      <c r="L54" s="73">
        <v>6.7164999999999998E-4</v>
      </c>
      <c r="M54" s="73">
        <v>3.6040000000000001E-5</v>
      </c>
      <c r="N54" s="183">
        <v>0.15719358999999999</v>
      </c>
    </row>
    <row r="55" spans="1:14" ht="40.15" customHeight="1" thickTop="1" thickBot="1">
      <c r="A55" s="70" t="s">
        <v>35</v>
      </c>
      <c r="B55" s="97" t="s">
        <v>134</v>
      </c>
      <c r="C55" s="71" t="s">
        <v>53</v>
      </c>
      <c r="D55" s="159">
        <v>29.343772520000002</v>
      </c>
      <c r="E55" s="159">
        <v>29.983467000000001</v>
      </c>
      <c r="F55" s="159">
        <v>32.160241420000006</v>
      </c>
      <c r="G55" s="159">
        <v>34.8348026399999</v>
      </c>
      <c r="H55" s="159">
        <v>22.560641040000011</v>
      </c>
      <c r="I55" s="159">
        <v>2.0100046200000001</v>
      </c>
      <c r="J55" s="159">
        <v>0.24434715000000004</v>
      </c>
      <c r="K55" s="159">
        <v>0</v>
      </c>
      <c r="L55" s="159">
        <v>0</v>
      </c>
      <c r="M55" s="159">
        <v>0</v>
      </c>
      <c r="N55" s="183">
        <v>0</v>
      </c>
    </row>
    <row r="56" spans="1:14" ht="40.15" customHeight="1" thickTop="1" thickBot="1">
      <c r="A56" s="85">
        <v>10.199999999999999</v>
      </c>
      <c r="B56" s="95" t="s">
        <v>135</v>
      </c>
      <c r="C56" s="86" t="s">
        <v>53</v>
      </c>
      <c r="D56" s="87">
        <f>0.186109</f>
        <v>0.186109</v>
      </c>
      <c r="E56" s="87">
        <v>1.462377</v>
      </c>
      <c r="F56" s="87">
        <v>4</v>
      </c>
      <c r="G56" s="87">
        <v>4</v>
      </c>
      <c r="H56" s="87">
        <v>1.0341729399999999</v>
      </c>
      <c r="I56" s="87">
        <v>3.4673378800000001</v>
      </c>
      <c r="J56" s="87">
        <v>1.1363169900000001</v>
      </c>
      <c r="K56" s="87">
        <v>2.8643490000000003</v>
      </c>
      <c r="L56" s="87">
        <v>0.20408000000000001</v>
      </c>
      <c r="M56" s="87">
        <v>0</v>
      </c>
      <c r="N56" s="87">
        <v>1.570057E-2</v>
      </c>
    </row>
    <row r="57" spans="1:14" ht="40.15" customHeight="1" thickTop="1" thickBot="1">
      <c r="A57" s="85">
        <v>10.3</v>
      </c>
      <c r="B57" s="95" t="s">
        <v>136</v>
      </c>
      <c r="C57" s="86" t="s">
        <v>53</v>
      </c>
      <c r="D57" s="87">
        <f t="shared" ref="D57:N57" si="14">SUM(D58:D61)</f>
        <v>9.4299999999999995E-2</v>
      </c>
      <c r="E57" s="87">
        <f t="shared" si="14"/>
        <v>0</v>
      </c>
      <c r="F57" s="87">
        <f t="shared" si="14"/>
        <v>0</v>
      </c>
      <c r="G57" s="87">
        <f t="shared" si="14"/>
        <v>0</v>
      </c>
      <c r="H57" s="87">
        <f t="shared" si="14"/>
        <v>0.2917884899999999</v>
      </c>
      <c r="I57" s="87">
        <f t="shared" si="14"/>
        <v>0.67073167</v>
      </c>
      <c r="J57" s="87">
        <f t="shared" si="14"/>
        <v>1.6748307399999998</v>
      </c>
      <c r="K57" s="87">
        <f t="shared" si="14"/>
        <v>0.10927198999999997</v>
      </c>
      <c r="L57" s="87">
        <f t="shared" si="14"/>
        <v>0.25327232999999999</v>
      </c>
      <c r="M57" s="87">
        <f t="shared" si="14"/>
        <v>0.24400829999999998</v>
      </c>
      <c r="N57" s="87">
        <f t="shared" si="14"/>
        <v>6.7243300000000006E-3</v>
      </c>
    </row>
    <row r="58" spans="1:14" ht="40.15" customHeight="1" thickTop="1" thickBot="1">
      <c r="A58" s="70" t="s">
        <v>36</v>
      </c>
      <c r="B58" s="97" t="s">
        <v>259</v>
      </c>
      <c r="C58" s="71" t="s">
        <v>53</v>
      </c>
      <c r="D58" s="159">
        <v>0</v>
      </c>
      <c r="E58" s="159">
        <v>0</v>
      </c>
      <c r="F58" s="159">
        <v>0</v>
      </c>
      <c r="G58" s="159">
        <v>0</v>
      </c>
      <c r="H58" s="73">
        <v>0</v>
      </c>
      <c r="I58" s="73">
        <v>0.42869000000000002</v>
      </c>
      <c r="J58" s="73">
        <v>1.5464544999999998</v>
      </c>
      <c r="K58" s="73">
        <v>0</v>
      </c>
      <c r="L58" s="73">
        <v>0</v>
      </c>
      <c r="M58" s="183">
        <v>0</v>
      </c>
      <c r="N58" s="183">
        <v>0</v>
      </c>
    </row>
    <row r="59" spans="1:14" ht="40.15" customHeight="1" thickTop="1" thickBot="1">
      <c r="A59" s="70" t="s">
        <v>37</v>
      </c>
      <c r="B59" s="97" t="s">
        <v>244</v>
      </c>
      <c r="C59" s="71" t="s">
        <v>53</v>
      </c>
      <c r="D59" s="159">
        <v>3.1E-2</v>
      </c>
      <c r="E59" s="159">
        <v>0</v>
      </c>
      <c r="F59" s="159">
        <v>0</v>
      </c>
      <c r="G59" s="159">
        <v>0</v>
      </c>
      <c r="H59" s="73">
        <v>0</v>
      </c>
      <c r="I59" s="73">
        <v>2.3157439999999998E-2</v>
      </c>
      <c r="J59" s="73">
        <v>0</v>
      </c>
      <c r="K59" s="73">
        <v>0</v>
      </c>
      <c r="L59" s="73">
        <v>9.433453E-2</v>
      </c>
      <c r="M59" s="73">
        <v>0</v>
      </c>
      <c r="N59" s="183">
        <v>7.4433000000000008E-4</v>
      </c>
    </row>
    <row r="60" spans="1:14" ht="40.15" customHeight="1" thickTop="1" thickBot="1">
      <c r="A60" s="70" t="s">
        <v>38</v>
      </c>
      <c r="B60" s="97" t="s">
        <v>286</v>
      </c>
      <c r="C60" s="71" t="s">
        <v>53</v>
      </c>
      <c r="D60" s="159">
        <v>6.3299999999999995E-2</v>
      </c>
      <c r="E60" s="159">
        <v>0</v>
      </c>
      <c r="F60" s="159">
        <v>0</v>
      </c>
      <c r="G60" s="159">
        <v>0</v>
      </c>
      <c r="H60" s="73">
        <v>0.2917884899999999</v>
      </c>
      <c r="I60" s="73">
        <v>0.21888423000000001</v>
      </c>
      <c r="J60" s="73">
        <v>0.12837624</v>
      </c>
      <c r="K60" s="73">
        <v>0.10927198999999997</v>
      </c>
      <c r="L60" s="73">
        <v>0.15893779999999999</v>
      </c>
      <c r="M60" s="73">
        <v>0.24400829999999998</v>
      </c>
      <c r="N60" s="183">
        <v>5.9800000000000001E-3</v>
      </c>
    </row>
    <row r="61" spans="1:14" ht="40.15" customHeight="1" thickTop="1" thickBot="1">
      <c r="A61" s="70" t="s">
        <v>39</v>
      </c>
      <c r="B61" s="98" t="s">
        <v>246</v>
      </c>
      <c r="C61" s="71" t="s">
        <v>53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0</v>
      </c>
      <c r="M61" s="159">
        <v>0</v>
      </c>
      <c r="N61" s="159">
        <v>0</v>
      </c>
    </row>
    <row r="62" spans="1:14" ht="40.15" customHeight="1" thickTop="1" thickBot="1">
      <c r="A62" s="85">
        <v>10.4</v>
      </c>
      <c r="B62" s="95" t="s">
        <v>247</v>
      </c>
      <c r="C62" s="86" t="s">
        <v>53</v>
      </c>
      <c r="D62" s="87">
        <v>0</v>
      </c>
      <c r="E62" s="87">
        <v>0</v>
      </c>
      <c r="F62" s="87">
        <v>0</v>
      </c>
      <c r="G62" s="87">
        <v>7.953E-3</v>
      </c>
      <c r="H62" s="87">
        <v>0</v>
      </c>
      <c r="I62" s="87">
        <v>2.2339999999999999E-3</v>
      </c>
      <c r="J62" s="87">
        <v>3.0370999999999996E-3</v>
      </c>
      <c r="K62" s="87">
        <v>2.3510629999999998E-2</v>
      </c>
      <c r="L62" s="87">
        <v>4.0235100000000001E-3</v>
      </c>
      <c r="M62" s="87">
        <v>8.5330300000000005E-3</v>
      </c>
      <c r="N62" s="87">
        <v>8.0673399999999992E-3</v>
      </c>
    </row>
    <row r="63" spans="1:14" ht="13.5" thickTop="1">
      <c r="K63" s="37"/>
      <c r="L63" s="6"/>
    </row>
    <row r="64" spans="1:14" ht="15.75">
      <c r="A64" s="99" t="s">
        <v>181</v>
      </c>
      <c r="K64" s="37"/>
      <c r="L64" s="6"/>
    </row>
    <row r="65" spans="1:12">
      <c r="A65" s="31"/>
      <c r="B65" s="31"/>
      <c r="C65" s="31"/>
      <c r="D65" s="6"/>
      <c r="E65" s="6"/>
      <c r="F65" s="6"/>
      <c r="K65" s="37"/>
      <c r="L65" s="6"/>
    </row>
    <row r="66" spans="1:12">
      <c r="K66" s="37"/>
      <c r="L66" s="6"/>
    </row>
    <row r="87" spans="10:10">
      <c r="J87" s="14"/>
    </row>
  </sheetData>
  <mergeCells count="3">
    <mergeCell ref="B8:E8"/>
    <mergeCell ref="B9:D10"/>
    <mergeCell ref="A11:N11"/>
  </mergeCells>
  <pageMargins left="0.7" right="0.7" top="0.75" bottom="0.75" header="0.3" footer="0.3"/>
  <pageSetup orientation="portrait" r:id="rId1"/>
  <ignoredErrors>
    <ignoredError sqref="J15:L15 M15:N15 D40:L40 D51:M51 D57:N57" formulaRange="1"/>
    <ignoredError sqref="M37:M39 M19:N19 D23:N23 D46:N46 D50:N50" unlockedFormula="1"/>
    <ignoredError sqref="M40" formulaRange="1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118"/>
  <sheetViews>
    <sheetView showGridLines="0" tabSelected="1" zoomScale="70" zoomScaleNormal="70" workbookViewId="0">
      <pane ySplit="13" topLeftCell="A14" activePane="bottomLeft" state="frozen"/>
      <selection pane="bottomLeft" activeCell="Q31" sqref="Q31"/>
    </sheetView>
  </sheetViews>
  <sheetFormatPr baseColWidth="10" defaultRowHeight="12.75"/>
  <cols>
    <col min="1" max="1" width="17.140625" customWidth="1"/>
    <col min="2" max="2" width="101.28515625" customWidth="1"/>
    <col min="3" max="3" width="11.5703125" bestFit="1" customWidth="1"/>
    <col min="4" max="5" width="12" bestFit="1" customWidth="1"/>
    <col min="6" max="7" width="13.28515625" bestFit="1" customWidth="1"/>
    <col min="8" max="8" width="12.7109375" bestFit="1" customWidth="1"/>
    <col min="9" max="9" width="13.28515625" style="37" bestFit="1" customWidth="1"/>
    <col min="10" max="10" width="12.7109375" customWidth="1"/>
    <col min="12" max="12" width="13.85546875" bestFit="1" customWidth="1"/>
    <col min="13" max="13" width="14.42578125" bestFit="1" customWidth="1"/>
  </cols>
  <sheetData>
    <row r="2" spans="1:13" ht="15.75">
      <c r="B2" s="7"/>
      <c r="C2" s="5"/>
    </row>
    <row r="3" spans="1:13" ht="15.75">
      <c r="B3" s="7"/>
      <c r="C3" s="5"/>
    </row>
    <row r="4" spans="1:13">
      <c r="B4" s="4"/>
      <c r="C4" s="10"/>
    </row>
    <row r="5" spans="1:13">
      <c r="B5" s="4"/>
      <c r="C5" s="10"/>
    </row>
    <row r="6" spans="1:13">
      <c r="B6" s="4"/>
      <c r="C6" s="10"/>
    </row>
    <row r="7" spans="1:13">
      <c r="B7" s="4"/>
      <c r="C7" s="10"/>
    </row>
    <row r="8" spans="1:13">
      <c r="B8" s="4"/>
      <c r="C8" s="10"/>
    </row>
    <row r="9" spans="1:13" ht="23.25">
      <c r="B9" s="227"/>
      <c r="C9" s="227"/>
      <c r="D9" s="227"/>
    </row>
    <row r="10" spans="1:13">
      <c r="B10" s="4"/>
      <c r="C10" s="10"/>
    </row>
    <row r="11" spans="1:13" ht="15.75">
      <c r="B11" s="8"/>
    </row>
    <row r="12" spans="1:13" ht="18" customHeight="1">
      <c r="A12" s="228" t="s">
        <v>342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</row>
    <row r="13" spans="1:13" ht="15" customHeight="1">
      <c r="A13" s="15" t="s">
        <v>101</v>
      </c>
      <c r="B13" s="15" t="s">
        <v>102</v>
      </c>
      <c r="C13" s="15">
        <v>2012</v>
      </c>
      <c r="D13" s="15">
        <v>2013</v>
      </c>
      <c r="E13" s="15">
        <v>2014</v>
      </c>
      <c r="F13" s="15">
        <v>2015</v>
      </c>
      <c r="G13" s="15">
        <v>2016</v>
      </c>
      <c r="H13" s="15">
        <v>2017</v>
      </c>
      <c r="I13" s="15">
        <v>2018</v>
      </c>
      <c r="J13" s="15">
        <v>2019</v>
      </c>
      <c r="K13" s="15">
        <v>2020</v>
      </c>
      <c r="L13" s="15">
        <v>2021</v>
      </c>
      <c r="M13" s="15">
        <v>2022</v>
      </c>
    </row>
    <row r="14" spans="1:13" ht="18" thickBot="1">
      <c r="A14" s="80">
        <v>1</v>
      </c>
      <c r="B14" s="94" t="s">
        <v>122</v>
      </c>
      <c r="C14" s="101">
        <v>16680.043540000002</v>
      </c>
      <c r="D14" s="101">
        <v>16444.713910000006</v>
      </c>
      <c r="E14" s="101">
        <v>25498.069000000032</v>
      </c>
      <c r="F14" s="101">
        <v>23228</v>
      </c>
      <c r="G14" s="101">
        <v>21441.491379999992</v>
      </c>
      <c r="H14" s="101">
        <f>SUM(H15:H16)</f>
        <v>107635.37797000006</v>
      </c>
      <c r="I14" s="101">
        <f>SUM(I15:I16)</f>
        <v>177188.70073999959</v>
      </c>
      <c r="J14" s="101">
        <f>+SUM(J15:J16)</f>
        <v>102777.21201000005</v>
      </c>
      <c r="K14" s="101">
        <f>+SUM(K15:K16)</f>
        <v>161323.76538999999</v>
      </c>
      <c r="L14" s="101">
        <f>+SUM(L15:L16)</f>
        <v>230125.29407000009</v>
      </c>
      <c r="M14" s="101">
        <f>+SUM(M15:M16)</f>
        <v>156556.40642000004</v>
      </c>
    </row>
    <row r="15" spans="1:13" ht="33" thickTop="1" thickBot="1">
      <c r="A15" s="85">
        <v>1.1000000000000001</v>
      </c>
      <c r="B15" s="95" t="s">
        <v>287</v>
      </c>
      <c r="C15" s="102">
        <v>3.3424999999999998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</row>
    <row r="16" spans="1:13" ht="36" customHeight="1" thickTop="1" thickBot="1">
      <c r="A16" s="85">
        <v>1.2</v>
      </c>
      <c r="B16" s="95" t="s">
        <v>124</v>
      </c>
      <c r="C16" s="102">
        <v>16676.701040000004</v>
      </c>
      <c r="D16" s="102">
        <v>16444.713910000006</v>
      </c>
      <c r="E16" s="102">
        <v>25498.069000000032</v>
      </c>
      <c r="F16" s="102">
        <v>23228</v>
      </c>
      <c r="G16" s="102">
        <v>21441.491379999992</v>
      </c>
      <c r="H16" s="102">
        <f>SUM(H17:H18)</f>
        <v>107635.37797000006</v>
      </c>
      <c r="I16" s="102">
        <f>SUM(I17:I18)</f>
        <v>177188.70073999959</v>
      </c>
      <c r="J16" s="102">
        <f>+SUM(J17:J18)</f>
        <v>102777.21201000005</v>
      </c>
      <c r="K16" s="102">
        <f>+SUM(K17:K18)</f>
        <v>161323.76538999999</v>
      </c>
      <c r="L16" s="102">
        <f>+SUM(L17:L18)</f>
        <v>230125.29407000009</v>
      </c>
      <c r="M16" s="102">
        <f>+SUM(M17:M18)</f>
        <v>156556.40642000004</v>
      </c>
    </row>
    <row r="17" spans="1:13" ht="18.75" thickTop="1" thickBot="1">
      <c r="A17" s="70" t="s">
        <v>6</v>
      </c>
      <c r="B17" s="96" t="s">
        <v>125</v>
      </c>
      <c r="C17" s="103">
        <v>451.27146000000005</v>
      </c>
      <c r="D17" s="103">
        <v>3571.9322699999993</v>
      </c>
      <c r="E17" s="103">
        <v>4618.8999999999996</v>
      </c>
      <c r="F17" s="103">
        <v>429</v>
      </c>
      <c r="G17" s="103">
        <v>4419.4413799999993</v>
      </c>
      <c r="H17" s="103">
        <v>86530.211470000038</v>
      </c>
      <c r="I17" s="103">
        <v>147545.17115999997</v>
      </c>
      <c r="J17" s="103">
        <v>88399.009710000042</v>
      </c>
      <c r="K17" s="103">
        <v>139245.30860999998</v>
      </c>
      <c r="L17" s="103">
        <v>207125.42218000005</v>
      </c>
      <c r="M17" s="103">
        <v>126595.96585000004</v>
      </c>
    </row>
    <row r="18" spans="1:13" ht="18.75" thickTop="1" thickBot="1">
      <c r="A18" s="70" t="s">
        <v>7</v>
      </c>
      <c r="B18" s="96" t="s">
        <v>126</v>
      </c>
      <c r="C18" s="103">
        <v>16225.429580000004</v>
      </c>
      <c r="D18" s="103">
        <v>12872.781640000005</v>
      </c>
      <c r="E18" s="103">
        <v>20879.169000000031</v>
      </c>
      <c r="F18" s="103">
        <v>22799</v>
      </c>
      <c r="G18" s="103">
        <v>17022.049999999992</v>
      </c>
      <c r="H18" s="103">
        <v>21105.166500000028</v>
      </c>
      <c r="I18" s="103">
        <v>29643.529579999624</v>
      </c>
      <c r="J18" s="103">
        <v>14378.202300000004</v>
      </c>
      <c r="K18" s="103">
        <v>22078.456780000008</v>
      </c>
      <c r="L18" s="103">
        <v>22999.871890000028</v>
      </c>
      <c r="M18" s="103">
        <v>29960.440570000006</v>
      </c>
    </row>
    <row r="19" spans="1:13" ht="18.75" thickTop="1" thickBot="1">
      <c r="A19" s="80" t="s">
        <v>59</v>
      </c>
      <c r="B19" s="94" t="s">
        <v>228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0</v>
      </c>
    </row>
    <row r="20" spans="1:13" ht="18.75" thickTop="1" thickBot="1">
      <c r="A20" s="80" t="s">
        <v>96</v>
      </c>
      <c r="B20" s="94" t="s">
        <v>229</v>
      </c>
      <c r="C20" s="101">
        <v>68513.091610000003</v>
      </c>
      <c r="D20" s="101">
        <v>79055.850539999999</v>
      </c>
      <c r="E20" s="101">
        <v>61446</v>
      </c>
      <c r="F20" s="101">
        <v>56735.9</v>
      </c>
      <c r="G20" s="101">
        <v>82012.199090000024</v>
      </c>
      <c r="H20" s="101">
        <f>SUM(H21:H22)</f>
        <v>63438.938670000025</v>
      </c>
      <c r="I20" s="101">
        <f>SUM(I21:I22)</f>
        <v>98069.721630000029</v>
      </c>
      <c r="J20" s="101">
        <f>+SUM(J21:J22)</f>
        <v>102207.66554000005</v>
      </c>
      <c r="K20" s="101">
        <f>+SUM(K21:K22)</f>
        <v>20911.790850000001</v>
      </c>
      <c r="L20" s="101">
        <f>+SUM(L21:L22)</f>
        <v>74227.178769999999</v>
      </c>
      <c r="M20" s="101">
        <f>+SUM(M21:M22)</f>
        <v>112950.73021999997</v>
      </c>
    </row>
    <row r="21" spans="1:13" ht="18.75" thickTop="1" thickBot="1">
      <c r="A21" s="85" t="s">
        <v>97</v>
      </c>
      <c r="B21" s="95" t="s">
        <v>230</v>
      </c>
      <c r="C21" s="102">
        <v>68513.091610000003</v>
      </c>
      <c r="D21" s="102">
        <v>79055.850539999999</v>
      </c>
      <c r="E21" s="102">
        <v>60902</v>
      </c>
      <c r="F21" s="102">
        <v>56515.9</v>
      </c>
      <c r="G21" s="102">
        <v>82012.199090000024</v>
      </c>
      <c r="H21" s="102">
        <v>63438.938670000025</v>
      </c>
      <c r="I21" s="102">
        <v>98065.019210000028</v>
      </c>
      <c r="J21" s="102">
        <v>102201.24070000004</v>
      </c>
      <c r="K21" s="102">
        <v>20911.383880000001</v>
      </c>
      <c r="L21" s="102">
        <v>74209.065879999995</v>
      </c>
      <c r="M21" s="102">
        <v>112950.73021999997</v>
      </c>
    </row>
    <row r="22" spans="1:13" ht="18.75" thickTop="1" thickBot="1">
      <c r="A22" s="85" t="s">
        <v>98</v>
      </c>
      <c r="B22" s="95" t="s">
        <v>265</v>
      </c>
      <c r="C22" s="102">
        <v>0</v>
      </c>
      <c r="D22" s="102">
        <v>0</v>
      </c>
      <c r="E22" s="102">
        <v>544</v>
      </c>
      <c r="F22" s="102">
        <v>220</v>
      </c>
      <c r="G22" s="102">
        <v>0</v>
      </c>
      <c r="H22" s="102">
        <v>0</v>
      </c>
      <c r="I22" s="102">
        <v>4.70242</v>
      </c>
      <c r="J22" s="102">
        <v>6.4248399999999988</v>
      </c>
      <c r="K22" s="102">
        <v>0.40697000000000005</v>
      </c>
      <c r="L22" s="102">
        <v>18.11289</v>
      </c>
      <c r="M22" s="102">
        <v>0</v>
      </c>
    </row>
    <row r="23" spans="1:13" ht="18.75" thickTop="1" thickBot="1">
      <c r="A23" s="80" t="s">
        <v>99</v>
      </c>
      <c r="B23" s="94" t="s">
        <v>288</v>
      </c>
      <c r="C23" s="101">
        <v>230.738</v>
      </c>
      <c r="D23" s="101">
        <v>575.41999999999996</v>
      </c>
      <c r="E23" s="101">
        <v>258.59699999999998</v>
      </c>
      <c r="F23" s="101">
        <v>294.98570000000001</v>
      </c>
      <c r="G23" s="101">
        <v>65.805499999999995</v>
      </c>
      <c r="H23" s="101">
        <v>91.798919999999981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</row>
    <row r="24" spans="1:13" ht="18.75" thickTop="1" thickBot="1">
      <c r="A24" s="80">
        <v>5</v>
      </c>
      <c r="B24" s="94" t="s">
        <v>117</v>
      </c>
      <c r="C24" s="101">
        <v>49849.714240000001</v>
      </c>
      <c r="D24" s="101">
        <v>63406.495999999999</v>
      </c>
      <c r="E24" s="101">
        <v>76173</v>
      </c>
      <c r="F24" s="101">
        <v>67526.119759999943</v>
      </c>
      <c r="G24" s="101">
        <v>67450.714569999953</v>
      </c>
      <c r="H24" s="101">
        <f>SUM(H25:H26)</f>
        <v>94796.221059999982</v>
      </c>
      <c r="I24" s="101">
        <f>SUM(I25:I26)</f>
        <v>116192.40345000007</v>
      </c>
      <c r="J24" s="101">
        <f>+SUM(J25:J26)</f>
        <v>97337.109619999974</v>
      </c>
      <c r="K24" s="101">
        <f>+SUM(K25:K26)</f>
        <v>107229.90072999998</v>
      </c>
      <c r="L24" s="101">
        <f>+SUM(L25:L26)</f>
        <v>159724.59164</v>
      </c>
      <c r="M24" s="101">
        <f>+SUM(M25:M26)</f>
        <v>183534.31735</v>
      </c>
    </row>
    <row r="25" spans="1:13" ht="18.75" thickTop="1" thickBot="1">
      <c r="A25" s="70" t="s">
        <v>56</v>
      </c>
      <c r="B25" s="96" t="s">
        <v>125</v>
      </c>
      <c r="C25" s="103">
        <v>18051.190009999998</v>
      </c>
      <c r="D25" s="103">
        <v>24570.11</v>
      </c>
      <c r="E25" s="103">
        <v>25263</v>
      </c>
      <c r="F25" s="103">
        <v>25253.56633999999</v>
      </c>
      <c r="G25" s="103">
        <v>28989.731909999991</v>
      </c>
      <c r="H25" s="103">
        <v>48268.221059999982</v>
      </c>
      <c r="I25" s="103">
        <v>63267.621200000089</v>
      </c>
      <c r="J25" s="103">
        <v>51478.051329999995</v>
      </c>
      <c r="K25" s="103">
        <v>62218.844070000006</v>
      </c>
      <c r="L25" s="103">
        <v>93552.528539999912</v>
      </c>
      <c r="M25" s="103">
        <v>102635.15036999996</v>
      </c>
    </row>
    <row r="26" spans="1:13" ht="18.75" thickTop="1" thickBot="1">
      <c r="A26" s="70" t="s">
        <v>57</v>
      </c>
      <c r="B26" s="96" t="s">
        <v>126</v>
      </c>
      <c r="C26" s="103">
        <v>31798.524229999999</v>
      </c>
      <c r="D26" s="103">
        <v>38836.385999999999</v>
      </c>
      <c r="E26" s="103">
        <v>50910</v>
      </c>
      <c r="F26" s="103">
        <v>42272.553419999953</v>
      </c>
      <c r="G26" s="103">
        <v>38460.982659999958</v>
      </c>
      <c r="H26" s="103">
        <v>46528</v>
      </c>
      <c r="I26" s="103">
        <v>52924.782249999982</v>
      </c>
      <c r="J26" s="103">
        <v>45859.058289999979</v>
      </c>
      <c r="K26" s="103">
        <v>45011.056659999973</v>
      </c>
      <c r="L26" s="103">
        <v>66172.063100000101</v>
      </c>
      <c r="M26" s="103">
        <v>80899.166980000038</v>
      </c>
    </row>
    <row r="27" spans="1:13" ht="18.75" thickTop="1" thickBot="1">
      <c r="A27" s="80">
        <v>6</v>
      </c>
      <c r="B27" s="94" t="s">
        <v>263</v>
      </c>
      <c r="C27" s="101">
        <v>72462.708769999997</v>
      </c>
      <c r="D27" s="101">
        <v>84892.809439999997</v>
      </c>
      <c r="E27" s="101">
        <v>74476.200330000094</v>
      </c>
      <c r="F27" s="101">
        <v>62565.051059999954</v>
      </c>
      <c r="G27" s="101">
        <v>43013.765979999982</v>
      </c>
      <c r="H27" s="101">
        <f t="shared" ref="H27:M27" si="0">+H28+H31+H32+H34</f>
        <v>63676.238750000019</v>
      </c>
      <c r="I27" s="101">
        <f t="shared" si="0"/>
        <v>76314.017559999877</v>
      </c>
      <c r="J27" s="101">
        <f t="shared" si="0"/>
        <v>55497.840189999944</v>
      </c>
      <c r="K27" s="101">
        <f t="shared" si="0"/>
        <v>70518.901930000022</v>
      </c>
      <c r="L27" s="101">
        <f t="shared" si="0"/>
        <v>106035.66760000002</v>
      </c>
      <c r="M27" s="101">
        <f t="shared" si="0"/>
        <v>104103.17702</v>
      </c>
    </row>
    <row r="28" spans="1:13" ht="18.75" thickTop="1" thickBot="1">
      <c r="A28" s="85">
        <v>6.1</v>
      </c>
      <c r="B28" s="95" t="s">
        <v>217</v>
      </c>
      <c r="C28" s="102">
        <v>0</v>
      </c>
      <c r="D28" s="102">
        <v>7.7830000000000004</v>
      </c>
      <c r="E28" s="102">
        <v>16.73902</v>
      </c>
      <c r="F28" s="102">
        <v>7.3635799999999998</v>
      </c>
      <c r="G28" s="102">
        <v>0</v>
      </c>
      <c r="H28" s="102">
        <v>0</v>
      </c>
      <c r="I28" s="102">
        <v>0</v>
      </c>
      <c r="J28" s="102">
        <v>0</v>
      </c>
      <c r="K28" s="102">
        <f>K29+K30</f>
        <v>11.24352</v>
      </c>
      <c r="L28" s="102">
        <f>L29+L30</f>
        <v>75.641459999999995</v>
      </c>
      <c r="M28" s="102">
        <f>M29+M30</f>
        <v>2171.9015000000004</v>
      </c>
    </row>
    <row r="29" spans="1:13" ht="18.75" thickTop="1" thickBot="1">
      <c r="A29" s="70" t="s">
        <v>20</v>
      </c>
      <c r="B29" s="96" t="s">
        <v>125</v>
      </c>
      <c r="C29" s="103">
        <v>0</v>
      </c>
      <c r="D29" s="103">
        <v>0</v>
      </c>
      <c r="E29" s="103">
        <v>0</v>
      </c>
      <c r="F29" s="103">
        <v>0</v>
      </c>
      <c r="G29" s="103">
        <v>0</v>
      </c>
      <c r="H29" s="103">
        <v>0</v>
      </c>
      <c r="I29" s="103">
        <v>0</v>
      </c>
      <c r="J29" s="103">
        <v>0</v>
      </c>
      <c r="K29" s="103">
        <v>0</v>
      </c>
      <c r="L29" s="103">
        <v>0</v>
      </c>
      <c r="M29" s="103">
        <v>0</v>
      </c>
    </row>
    <row r="30" spans="1:13" ht="18.75" thickTop="1" thickBot="1">
      <c r="A30" s="70" t="s">
        <v>21</v>
      </c>
      <c r="B30" s="96" t="s">
        <v>126</v>
      </c>
      <c r="C30" s="103">
        <v>0</v>
      </c>
      <c r="D30" s="103">
        <v>7.7830000000000004</v>
      </c>
      <c r="E30" s="103">
        <v>16.73902</v>
      </c>
      <c r="F30" s="103">
        <v>7.3635799999999998</v>
      </c>
      <c r="G30" s="103">
        <v>0</v>
      </c>
      <c r="H30" s="103">
        <v>0</v>
      </c>
      <c r="I30" s="103">
        <v>0</v>
      </c>
      <c r="J30" s="103">
        <v>0</v>
      </c>
      <c r="K30" s="103">
        <v>11.24352</v>
      </c>
      <c r="L30" s="103">
        <v>75.641459999999995</v>
      </c>
      <c r="M30" s="103">
        <v>2171.9015000000004</v>
      </c>
    </row>
    <row r="31" spans="1:13" ht="18.75" thickTop="1" thickBot="1">
      <c r="A31" s="85">
        <v>6.2</v>
      </c>
      <c r="B31" s="95" t="s">
        <v>128</v>
      </c>
      <c r="C31" s="102">
        <v>65246.344730000004</v>
      </c>
      <c r="D31" s="102">
        <v>74439.038159999996</v>
      </c>
      <c r="E31" s="102">
        <v>67795.271480000098</v>
      </c>
      <c r="F31" s="102">
        <v>62164.486289999957</v>
      </c>
      <c r="G31" s="102">
        <v>42944.87448999998</v>
      </c>
      <c r="H31" s="128">
        <v>63669.317450000017</v>
      </c>
      <c r="I31" s="128">
        <v>76312.837689999869</v>
      </c>
      <c r="J31" s="128">
        <v>55497.840189999944</v>
      </c>
      <c r="K31" s="128">
        <v>70507.658410000018</v>
      </c>
      <c r="L31" s="128">
        <v>105948.55727000002</v>
      </c>
      <c r="M31" s="128">
        <v>101931.27552</v>
      </c>
    </row>
    <row r="32" spans="1:13" ht="33" thickTop="1" thickBot="1">
      <c r="A32" s="85">
        <v>6.3</v>
      </c>
      <c r="B32" s="95" t="s">
        <v>289</v>
      </c>
      <c r="C32" s="104">
        <v>17.931000000000001</v>
      </c>
      <c r="D32" s="102">
        <v>0</v>
      </c>
      <c r="E32" s="104">
        <v>0</v>
      </c>
      <c r="F32" s="102">
        <v>0</v>
      </c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</row>
    <row r="33" spans="1:13" ht="18.75" thickTop="1" thickBot="1">
      <c r="A33" s="70" t="s">
        <v>24</v>
      </c>
      <c r="B33" s="96" t="s">
        <v>290</v>
      </c>
      <c r="C33" s="76">
        <v>17.931000000000001</v>
      </c>
      <c r="D33" s="103">
        <v>0</v>
      </c>
      <c r="E33" s="76">
        <v>0</v>
      </c>
      <c r="F33" s="103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1:13" ht="18.75" thickTop="1" thickBot="1">
      <c r="A34" s="85">
        <v>6.4</v>
      </c>
      <c r="B34" s="95" t="s">
        <v>129</v>
      </c>
      <c r="C34" s="104">
        <v>7198.4330399999999</v>
      </c>
      <c r="D34" s="102">
        <v>10445.98828</v>
      </c>
      <c r="E34" s="104">
        <v>6664.1898300000021</v>
      </c>
      <c r="F34" s="102">
        <v>393.20118999999988</v>
      </c>
      <c r="G34" s="104">
        <v>68.891490000000005</v>
      </c>
      <c r="H34" s="104">
        <f t="shared" ref="H34:M34" si="1">SUM(H35:H37)</f>
        <v>6.9213000000000031</v>
      </c>
      <c r="I34" s="104">
        <f t="shared" si="1"/>
        <v>1.1798700000000002</v>
      </c>
      <c r="J34" s="104">
        <f t="shared" si="1"/>
        <v>0</v>
      </c>
      <c r="K34" s="104">
        <f t="shared" si="1"/>
        <v>0</v>
      </c>
      <c r="L34" s="104">
        <f t="shared" si="1"/>
        <v>11.468870000000001</v>
      </c>
      <c r="M34" s="104">
        <f t="shared" si="1"/>
        <v>0</v>
      </c>
    </row>
    <row r="35" spans="1:13" ht="18.75" thickTop="1" thickBot="1">
      <c r="A35" s="70" t="s">
        <v>25</v>
      </c>
      <c r="B35" s="96" t="s">
        <v>248</v>
      </c>
      <c r="C35" s="76">
        <v>0</v>
      </c>
      <c r="D35" s="103">
        <v>0</v>
      </c>
      <c r="E35" s="76">
        <v>0</v>
      </c>
      <c r="F35" s="103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</row>
    <row r="36" spans="1:13" ht="18.75" thickTop="1" thickBot="1">
      <c r="A36" s="70" t="s">
        <v>26</v>
      </c>
      <c r="B36" s="96" t="s">
        <v>130</v>
      </c>
      <c r="C36" s="76">
        <v>5921.9088099999999</v>
      </c>
      <c r="D36" s="103">
        <v>10445.98828</v>
      </c>
      <c r="E36" s="76">
        <v>6664.1898300000021</v>
      </c>
      <c r="F36" s="103">
        <v>393.20118999999988</v>
      </c>
      <c r="G36" s="76">
        <v>68.891490000000005</v>
      </c>
      <c r="H36" s="126">
        <v>6.9213000000000031</v>
      </c>
      <c r="I36" s="126">
        <v>1.1798700000000002</v>
      </c>
      <c r="J36" s="126">
        <v>0</v>
      </c>
      <c r="K36" s="126">
        <v>0</v>
      </c>
      <c r="L36" s="126">
        <v>0</v>
      </c>
      <c r="M36" s="126">
        <v>0</v>
      </c>
    </row>
    <row r="37" spans="1:13" ht="18.75" thickTop="1" thickBot="1">
      <c r="A37" s="70" t="s">
        <v>27</v>
      </c>
      <c r="B37" s="96" t="s">
        <v>160</v>
      </c>
      <c r="C37" s="76">
        <v>1276.52423</v>
      </c>
      <c r="D37" s="103">
        <v>0</v>
      </c>
      <c r="E37" s="76">
        <v>0</v>
      </c>
      <c r="F37" s="103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11.468870000000001</v>
      </c>
      <c r="M37" s="76">
        <v>0</v>
      </c>
    </row>
    <row r="38" spans="1:13" ht="18.75" thickTop="1" thickBot="1">
      <c r="A38" s="80">
        <v>7</v>
      </c>
      <c r="B38" s="94" t="s">
        <v>118</v>
      </c>
      <c r="C38" s="83">
        <v>831723</v>
      </c>
      <c r="D38" s="101">
        <v>776892</v>
      </c>
      <c r="E38" s="83">
        <v>902625</v>
      </c>
      <c r="F38" s="101">
        <v>1265039</v>
      </c>
      <c r="G38" s="83">
        <v>1237373.0009999999</v>
      </c>
      <c r="H38" s="83">
        <f t="shared" ref="H38:M38" si="2">SUM(H39:H41)</f>
        <v>1334290.973</v>
      </c>
      <c r="I38" s="83">
        <f t="shared" si="2"/>
        <v>1684874.59036</v>
      </c>
      <c r="J38" s="83">
        <f t="shared" si="2"/>
        <v>1415990.0690000001</v>
      </c>
      <c r="K38" s="83">
        <f t="shared" si="2"/>
        <v>1136380</v>
      </c>
      <c r="L38" s="83">
        <f t="shared" si="2"/>
        <v>1602664.5247223</v>
      </c>
      <c r="M38" s="83">
        <f t="shared" si="2"/>
        <v>1913547.62379087</v>
      </c>
    </row>
    <row r="39" spans="1:13" ht="18.75" thickTop="1" thickBot="1">
      <c r="A39" s="85">
        <v>7.1</v>
      </c>
      <c r="B39" s="95" t="s">
        <v>233</v>
      </c>
      <c r="C39" s="104">
        <v>0</v>
      </c>
      <c r="D39" s="102">
        <v>0</v>
      </c>
      <c r="E39" s="104">
        <v>0</v>
      </c>
      <c r="F39" s="102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</row>
    <row r="40" spans="1:13" ht="18.75" thickTop="1" thickBot="1">
      <c r="A40" s="85">
        <v>7.2</v>
      </c>
      <c r="B40" s="95" t="s">
        <v>234</v>
      </c>
      <c r="C40" s="104">
        <v>0</v>
      </c>
      <c r="D40" s="102">
        <v>0</v>
      </c>
      <c r="E40" s="104">
        <v>0</v>
      </c>
      <c r="F40" s="102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</row>
    <row r="41" spans="1:13" ht="18.75" thickTop="1" thickBot="1">
      <c r="A41" s="85">
        <v>7.3</v>
      </c>
      <c r="B41" s="95" t="s">
        <v>235</v>
      </c>
      <c r="C41" s="104">
        <v>831723</v>
      </c>
      <c r="D41" s="104">
        <v>776892</v>
      </c>
      <c r="E41" s="104">
        <v>902625</v>
      </c>
      <c r="F41" s="104">
        <v>1265039</v>
      </c>
      <c r="G41" s="104">
        <v>1237373.0009999999</v>
      </c>
      <c r="H41" s="104">
        <f t="shared" ref="H41:M41" si="3">SUM(H42:H45)</f>
        <v>1334290.973</v>
      </c>
      <c r="I41" s="104">
        <f t="shared" si="3"/>
        <v>1684874.59036</v>
      </c>
      <c r="J41" s="104">
        <f t="shared" si="3"/>
        <v>1415990.0690000001</v>
      </c>
      <c r="K41" s="104">
        <f t="shared" si="3"/>
        <v>1136380</v>
      </c>
      <c r="L41" s="104">
        <f t="shared" si="3"/>
        <v>1602664.5247223</v>
      </c>
      <c r="M41" s="104">
        <f t="shared" si="3"/>
        <v>1913547.62379087</v>
      </c>
    </row>
    <row r="42" spans="1:13" ht="18.75" thickTop="1" thickBot="1">
      <c r="A42" s="70" t="s">
        <v>28</v>
      </c>
      <c r="B42" s="96" t="s">
        <v>291</v>
      </c>
      <c r="C42" s="76">
        <v>0</v>
      </c>
      <c r="D42" s="103">
        <v>0</v>
      </c>
      <c r="E42" s="76">
        <v>0</v>
      </c>
      <c r="F42" s="103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</row>
    <row r="43" spans="1:13" ht="18.75" thickTop="1" thickBot="1">
      <c r="A43" s="70" t="s">
        <v>29</v>
      </c>
      <c r="B43" s="96" t="s">
        <v>236</v>
      </c>
      <c r="C43" s="76">
        <v>831723</v>
      </c>
      <c r="D43" s="76">
        <v>776892</v>
      </c>
      <c r="E43" s="76">
        <v>902625</v>
      </c>
      <c r="F43" s="76">
        <v>1265039</v>
      </c>
      <c r="G43" s="76">
        <v>1237373.0009999999</v>
      </c>
      <c r="H43" s="76">
        <v>1334290.973</v>
      </c>
      <c r="I43" s="76">
        <v>1684874.59036</v>
      </c>
      <c r="J43" s="76">
        <v>1415990.0690000001</v>
      </c>
      <c r="K43" s="76">
        <v>1136380</v>
      </c>
      <c r="L43" s="76">
        <v>1602664.5247223</v>
      </c>
      <c r="M43" s="76">
        <v>1913547.62379087</v>
      </c>
    </row>
    <row r="44" spans="1:13" ht="18.75" thickTop="1" thickBot="1">
      <c r="A44" s="70" t="s">
        <v>30</v>
      </c>
      <c r="B44" s="96" t="s">
        <v>292</v>
      </c>
      <c r="C44" s="76">
        <v>0</v>
      </c>
      <c r="D44" s="103">
        <v>0</v>
      </c>
      <c r="E44" s="76">
        <v>0</v>
      </c>
      <c r="F44" s="103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</row>
    <row r="45" spans="1:13" ht="18.75" thickTop="1" thickBot="1">
      <c r="A45" s="70" t="s">
        <v>31</v>
      </c>
      <c r="B45" s="96" t="s">
        <v>238</v>
      </c>
      <c r="C45" s="76">
        <v>0</v>
      </c>
      <c r="D45" s="103">
        <v>0</v>
      </c>
      <c r="E45" s="76">
        <v>0</v>
      </c>
      <c r="F45" s="103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</row>
    <row r="46" spans="1:13" ht="18.75" thickTop="1" thickBot="1">
      <c r="A46" s="85">
        <v>7.4</v>
      </c>
      <c r="B46" s="95" t="s">
        <v>203</v>
      </c>
      <c r="C46" s="104">
        <v>0</v>
      </c>
      <c r="D46" s="102">
        <v>0</v>
      </c>
      <c r="E46" s="104">
        <v>0</v>
      </c>
      <c r="F46" s="102">
        <v>0</v>
      </c>
      <c r="G46" s="104">
        <v>0</v>
      </c>
      <c r="H46" s="104">
        <v>0</v>
      </c>
      <c r="I46" s="104">
        <v>0</v>
      </c>
      <c r="J46" s="104">
        <v>0</v>
      </c>
      <c r="K46" s="104">
        <v>0</v>
      </c>
      <c r="L46" s="104">
        <v>0</v>
      </c>
      <c r="M46" s="104">
        <v>0</v>
      </c>
    </row>
    <row r="47" spans="1:13" ht="18.75" thickTop="1" thickBot="1">
      <c r="A47" s="80">
        <v>8</v>
      </c>
      <c r="B47" s="94" t="s">
        <v>239</v>
      </c>
      <c r="C47" s="83">
        <v>0</v>
      </c>
      <c r="D47" s="101">
        <v>0</v>
      </c>
      <c r="E47" s="83">
        <v>0</v>
      </c>
      <c r="F47" s="101">
        <v>0</v>
      </c>
      <c r="G47" s="83">
        <v>0</v>
      </c>
      <c r="H47" s="83">
        <v>0</v>
      </c>
      <c r="I47" s="83">
        <v>0</v>
      </c>
      <c r="J47" s="83">
        <v>0</v>
      </c>
      <c r="K47" s="83">
        <v>0</v>
      </c>
      <c r="L47" s="83">
        <v>0</v>
      </c>
      <c r="M47" s="83">
        <v>0</v>
      </c>
    </row>
    <row r="48" spans="1:13" ht="36" customHeight="1" thickTop="1" thickBot="1">
      <c r="A48" s="85">
        <v>8.1</v>
      </c>
      <c r="B48" s="95" t="s">
        <v>224</v>
      </c>
      <c r="C48" s="104">
        <v>0</v>
      </c>
      <c r="D48" s="102">
        <v>0</v>
      </c>
      <c r="E48" s="104">
        <v>0</v>
      </c>
      <c r="F48" s="102">
        <v>0</v>
      </c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</row>
    <row r="49" spans="1:13" ht="24" customHeight="1" thickTop="1" thickBot="1">
      <c r="A49" s="85">
        <v>8.1999999999999993</v>
      </c>
      <c r="B49" s="95" t="s">
        <v>132</v>
      </c>
      <c r="C49" s="104">
        <v>0</v>
      </c>
      <c r="D49" s="102">
        <v>0</v>
      </c>
      <c r="E49" s="104">
        <v>0</v>
      </c>
      <c r="F49" s="102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</row>
    <row r="50" spans="1:13" ht="18.75" thickTop="1" thickBot="1">
      <c r="A50" s="80">
        <v>9</v>
      </c>
      <c r="B50" s="94" t="s">
        <v>120</v>
      </c>
      <c r="C50" s="83">
        <v>3035.50191</v>
      </c>
      <c r="D50" s="101">
        <v>3328.386</v>
      </c>
      <c r="E50" s="83">
        <v>3237</v>
      </c>
      <c r="F50" s="101">
        <v>3823.9564200000009</v>
      </c>
      <c r="G50" s="83">
        <v>4433.5396499999988</v>
      </c>
      <c r="H50" s="83">
        <v>3262.0991800000002</v>
      </c>
      <c r="I50" s="83">
        <v>4695.5493800000004</v>
      </c>
      <c r="J50" s="83">
        <v>2794.0985199999991</v>
      </c>
      <c r="K50" s="83">
        <v>3843.8750299999997</v>
      </c>
      <c r="L50" s="83">
        <v>3522.5125600000006</v>
      </c>
      <c r="M50" s="83">
        <v>4839.0574799999958</v>
      </c>
    </row>
    <row r="51" spans="1:13" ht="18.75" thickTop="1" thickBot="1">
      <c r="A51" s="80">
        <v>10</v>
      </c>
      <c r="B51" s="94" t="s">
        <v>121</v>
      </c>
      <c r="C51" s="83">
        <v>46110.601649999997</v>
      </c>
      <c r="D51" s="101">
        <f>+D52+D57+D58+D63</f>
        <v>42274.252780000032</v>
      </c>
      <c r="E51" s="101">
        <f t="shared" ref="E51:G51" si="4">+E52+E57+E58+E63</f>
        <v>52104.041100000002</v>
      </c>
      <c r="F51" s="101">
        <f t="shared" si="4"/>
        <v>55503.106390000125</v>
      </c>
      <c r="G51" s="101">
        <f t="shared" si="4"/>
        <v>30296.8308</v>
      </c>
      <c r="H51" s="101">
        <f t="shared" ref="H51:M51" si="5">+H52+H57+H58+H63</f>
        <v>7338.0575499999995</v>
      </c>
      <c r="I51" s="101">
        <f t="shared" si="5"/>
        <v>3089.7287299999998</v>
      </c>
      <c r="J51" s="101">
        <f t="shared" si="5"/>
        <v>4039.124800000001</v>
      </c>
      <c r="K51" s="101">
        <f t="shared" si="5"/>
        <v>523.25265999999999</v>
      </c>
      <c r="L51" s="101">
        <f t="shared" si="5"/>
        <v>341.23757000000001</v>
      </c>
      <c r="M51" s="101">
        <f t="shared" si="5"/>
        <v>247.81652000000003</v>
      </c>
    </row>
    <row r="52" spans="1:13" ht="18.75" thickTop="1" thickBot="1">
      <c r="A52" s="85">
        <v>10.1</v>
      </c>
      <c r="B52" s="95" t="s">
        <v>285</v>
      </c>
      <c r="C52" s="104">
        <v>45630.30889</v>
      </c>
      <c r="D52" s="102">
        <f>SUM(D53:D56)</f>
        <v>40418.198780000035</v>
      </c>
      <c r="E52" s="102">
        <f t="shared" ref="E52:G52" si="6">SUM(E53:E56)</f>
        <v>46320</v>
      </c>
      <c r="F52" s="102">
        <f t="shared" si="6"/>
        <v>49599.403000000122</v>
      </c>
      <c r="G52" s="102">
        <f t="shared" si="6"/>
        <v>28522.317040000002</v>
      </c>
      <c r="H52" s="102">
        <f t="shared" ref="H52:M52" si="7">SUM(H53:H56)</f>
        <v>1909.3422399999997</v>
      </c>
      <c r="I52" s="102">
        <f t="shared" si="7"/>
        <v>186.12230000000002</v>
      </c>
      <c r="J52" s="102">
        <f t="shared" si="7"/>
        <v>31.303730000000016</v>
      </c>
      <c r="K52" s="102">
        <f t="shared" si="7"/>
        <v>9.1683000000000003</v>
      </c>
      <c r="L52" s="102">
        <f t="shared" si="7"/>
        <v>7.1236699999999997</v>
      </c>
      <c r="M52" s="102">
        <f t="shared" si="7"/>
        <v>149.53720000000004</v>
      </c>
    </row>
    <row r="53" spans="1:13" ht="18.75" thickTop="1" thickBot="1">
      <c r="A53" s="70" t="s">
        <v>32</v>
      </c>
      <c r="B53" s="97" t="s">
        <v>241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2.9489399999999999</v>
      </c>
      <c r="L53" s="76">
        <v>7.0120699999999996</v>
      </c>
      <c r="M53" s="76">
        <v>0</v>
      </c>
    </row>
    <row r="54" spans="1:13" ht="18.75" thickTop="1" thickBot="1">
      <c r="A54" s="70" t="s">
        <v>33</v>
      </c>
      <c r="B54" s="97" t="s">
        <v>256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</row>
    <row r="55" spans="1:13" ht="18.75" thickTop="1" thickBot="1">
      <c r="A55" s="70" t="s">
        <v>34</v>
      </c>
      <c r="B55" s="97" t="s">
        <v>257</v>
      </c>
      <c r="C55" s="76">
        <v>8855.94722</v>
      </c>
      <c r="D55" s="76">
        <v>6348.9678299999996</v>
      </c>
      <c r="E55" s="76">
        <v>8898</v>
      </c>
      <c r="F55" s="76">
        <v>8041.3607999999958</v>
      </c>
      <c r="G55" s="76">
        <v>5965.742229999998</v>
      </c>
      <c r="H55" s="76">
        <v>88.748949999999994</v>
      </c>
      <c r="I55" s="76">
        <v>0.51750000000000185</v>
      </c>
      <c r="J55" s="76">
        <v>31.303730000000016</v>
      </c>
      <c r="K55" s="76">
        <v>6.21936</v>
      </c>
      <c r="L55" s="76">
        <v>0.11159999999999999</v>
      </c>
      <c r="M55" s="76">
        <v>149.53720000000004</v>
      </c>
    </row>
    <row r="56" spans="1:13" ht="18.75" thickTop="1" thickBot="1">
      <c r="A56" s="70" t="s">
        <v>35</v>
      </c>
      <c r="B56" s="97" t="s">
        <v>258</v>
      </c>
      <c r="C56" s="76">
        <v>36774.361669999998</v>
      </c>
      <c r="D56" s="76">
        <v>34069.230950000034</v>
      </c>
      <c r="E56" s="76">
        <v>37422</v>
      </c>
      <c r="F56" s="76">
        <v>41558.042200000127</v>
      </c>
      <c r="G56" s="76">
        <v>22556.574810000006</v>
      </c>
      <c r="H56" s="76">
        <v>1820.5932899999998</v>
      </c>
      <c r="I56" s="76">
        <v>185.60480000000001</v>
      </c>
      <c r="J56" s="76">
        <v>0</v>
      </c>
      <c r="K56" s="76">
        <v>0</v>
      </c>
      <c r="L56" s="76">
        <v>0</v>
      </c>
      <c r="M56" s="76">
        <v>0</v>
      </c>
    </row>
    <row r="57" spans="1:13" ht="36" customHeight="1" thickTop="1" thickBot="1">
      <c r="A57" s="85">
        <v>10.199999999999999</v>
      </c>
      <c r="B57" s="95" t="s">
        <v>135</v>
      </c>
      <c r="C57" s="104">
        <v>226.29275999999999</v>
      </c>
      <c r="D57" s="104">
        <v>1795.778</v>
      </c>
      <c r="E57" s="104">
        <v>5690</v>
      </c>
      <c r="F57" s="104">
        <v>5758.9101599999995</v>
      </c>
      <c r="G57" s="104">
        <v>1443.4527499999999</v>
      </c>
      <c r="H57" s="104">
        <v>4887.6720799999994</v>
      </c>
      <c r="I57" s="104">
        <v>1788.88912</v>
      </c>
      <c r="J57" s="104">
        <v>3806.1305900000011</v>
      </c>
      <c r="K57" s="104">
        <v>263.99048000000005</v>
      </c>
      <c r="L57" s="104">
        <v>0</v>
      </c>
      <c r="M57" s="104">
        <v>26.861789999999999</v>
      </c>
    </row>
    <row r="58" spans="1:13" ht="18.75" thickTop="1" thickBot="1">
      <c r="A58" s="85">
        <v>10.3</v>
      </c>
      <c r="B58" s="95" t="s">
        <v>136</v>
      </c>
      <c r="C58" s="104">
        <v>144</v>
      </c>
      <c r="D58" s="104">
        <v>37.301000000000002</v>
      </c>
      <c r="E58" s="104">
        <v>87.0411</v>
      </c>
      <c r="F58" s="104">
        <v>98.708699999999951</v>
      </c>
      <c r="G58" s="104">
        <v>320.57953999999995</v>
      </c>
      <c r="H58" s="104">
        <f>SUM(H59:H62)</f>
        <v>525.24629000000004</v>
      </c>
      <c r="I58" s="104">
        <f>SUM(I59:I62)</f>
        <v>1090.3644999999999</v>
      </c>
      <c r="J58" s="104">
        <v>104.14019999999999</v>
      </c>
      <c r="K58" s="104">
        <f>SUM(K59:K62)</f>
        <v>232.07925</v>
      </c>
      <c r="L58" s="104">
        <f>SUM(L59:L62)</f>
        <v>293.91278999999997</v>
      </c>
      <c r="M58" s="104">
        <f>SUM(M59:M62)</f>
        <v>14.335149999999999</v>
      </c>
    </row>
    <row r="59" spans="1:13" ht="18.75" thickTop="1" thickBot="1">
      <c r="A59" s="70" t="s">
        <v>36</v>
      </c>
      <c r="B59" s="97" t="s">
        <v>293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237.29563999999999</v>
      </c>
      <c r="I59" s="76">
        <v>962.57388000000003</v>
      </c>
      <c r="J59" s="76">
        <v>0</v>
      </c>
      <c r="K59" s="76">
        <v>0</v>
      </c>
      <c r="L59" s="76">
        <v>0</v>
      </c>
      <c r="M59" s="76">
        <v>0</v>
      </c>
    </row>
    <row r="60" spans="1:13" ht="18.75" thickTop="1" thickBot="1">
      <c r="A60" s="70" t="s">
        <v>37</v>
      </c>
      <c r="B60" s="97" t="s">
        <v>262</v>
      </c>
      <c r="C60" s="76">
        <v>60</v>
      </c>
      <c r="D60" s="76">
        <v>0</v>
      </c>
      <c r="E60" s="76">
        <v>0</v>
      </c>
      <c r="F60" s="76">
        <v>0</v>
      </c>
      <c r="G60" s="76">
        <v>0</v>
      </c>
      <c r="H60" s="76">
        <v>58.460049999999995</v>
      </c>
      <c r="I60" s="76">
        <v>0</v>
      </c>
      <c r="J60" s="76">
        <v>0</v>
      </c>
      <c r="K60" s="76">
        <v>22.87988</v>
      </c>
      <c r="L60" s="76">
        <v>0</v>
      </c>
      <c r="M60" s="76">
        <v>4.3885599999999991</v>
      </c>
    </row>
    <row r="61" spans="1:13" ht="18.75" thickTop="1" thickBot="1">
      <c r="A61" s="70" t="s">
        <v>38</v>
      </c>
      <c r="B61" s="97" t="s">
        <v>294</v>
      </c>
      <c r="C61" s="76">
        <v>84</v>
      </c>
      <c r="D61" s="76">
        <v>37.301000000000002</v>
      </c>
      <c r="E61" s="76">
        <v>87.0411</v>
      </c>
      <c r="F61" s="76">
        <v>98.708699999999951</v>
      </c>
      <c r="G61" s="76">
        <v>320.57953999999995</v>
      </c>
      <c r="H61" s="76">
        <v>229.49060000000003</v>
      </c>
      <c r="I61" s="76">
        <v>127.79061999999998</v>
      </c>
      <c r="J61" s="76">
        <v>104.14019999999999</v>
      </c>
      <c r="K61" s="76">
        <v>209.19937000000002</v>
      </c>
      <c r="L61" s="76">
        <v>293.91278999999997</v>
      </c>
      <c r="M61" s="76">
        <v>9.9465900000000005</v>
      </c>
    </row>
    <row r="62" spans="1:13" ht="37.5" customHeight="1" thickTop="1" thickBot="1">
      <c r="A62" s="70" t="s">
        <v>39</v>
      </c>
      <c r="B62" s="98" t="s">
        <v>246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</row>
    <row r="63" spans="1:13" ht="33" thickTop="1" thickBot="1">
      <c r="A63" s="85">
        <v>10.4</v>
      </c>
      <c r="B63" s="95" t="s">
        <v>247</v>
      </c>
      <c r="C63" s="104">
        <v>110</v>
      </c>
      <c r="D63" s="104">
        <v>22.975000000000001</v>
      </c>
      <c r="E63" s="104">
        <v>7</v>
      </c>
      <c r="F63" s="104">
        <v>46.084530000000001</v>
      </c>
      <c r="G63" s="104">
        <v>10.481470000000002</v>
      </c>
      <c r="H63" s="104">
        <v>15.796939999999999</v>
      </c>
      <c r="I63" s="104">
        <v>24.352810000000002</v>
      </c>
      <c r="J63" s="104">
        <v>97.550280000000001</v>
      </c>
      <c r="K63" s="104">
        <v>18.01463</v>
      </c>
      <c r="L63" s="104">
        <v>40.20111</v>
      </c>
      <c r="M63" s="104">
        <v>57.082380000000001</v>
      </c>
    </row>
    <row r="64" spans="1:13" ht="20.25" thickTop="1" thickBot="1">
      <c r="A64" s="106"/>
      <c r="B64" s="158" t="s">
        <v>50</v>
      </c>
      <c r="C64" s="108">
        <f t="shared" ref="C64:F64" si="8">+C51+C50+C47+C38+C27+C23+C24+C20+C19+C14</f>
        <v>1088605.3997200001</v>
      </c>
      <c r="D64" s="108">
        <f>+D51+D50+D47+D38+D27+D23+D24+D20+D19+D14</f>
        <v>1066869.9286700001</v>
      </c>
      <c r="E64" s="108">
        <f t="shared" si="8"/>
        <v>1195817.9074300001</v>
      </c>
      <c r="F64" s="108">
        <f t="shared" si="8"/>
        <v>1534716.1193299999</v>
      </c>
      <c r="G64" s="108">
        <f>+G51+G50+G47+G38+G27+G23+G24+G20+G19+G14</f>
        <v>1486087.3479699998</v>
      </c>
      <c r="H64" s="108">
        <f>+H51+H50+H47+H38+H27+H23+H24+H20+H19+H14</f>
        <v>1674529.7050999999</v>
      </c>
      <c r="I64" s="108">
        <f>+I51+I50+I47+I38+I27+I23+I24+I20+I19+I14</f>
        <v>2160424.7118499996</v>
      </c>
      <c r="J64" s="108">
        <f>+J14+J19+J20+J23+J24+J27+J38+J47+J50+J51</f>
        <v>1780643.1196800002</v>
      </c>
      <c r="K64" s="108">
        <f>+K14+K19+K20+K23+K24+K27+K38+K47+K50+K51</f>
        <v>1500731.4865899999</v>
      </c>
      <c r="L64" s="108">
        <f>+L14+L19+L20+L23+L24+L27+L38+L47+L50+L51</f>
        <v>2176641.0069323</v>
      </c>
      <c r="M64" s="108">
        <f>+M14+M19+M20+M23+M24+M27+M38+M47+M50+M51</f>
        <v>2475779.1288008699</v>
      </c>
    </row>
    <row r="65" spans="1:13" ht="13.5" thickTop="1">
      <c r="K65" s="134"/>
      <c r="L65" s="134"/>
    </row>
    <row r="66" spans="1:13" ht="15.75">
      <c r="A66" s="99" t="s">
        <v>181</v>
      </c>
      <c r="K66" s="134"/>
      <c r="L66" s="134"/>
    </row>
    <row r="67" spans="1:13" ht="15.75">
      <c r="A67" s="99"/>
      <c r="B67" s="11"/>
      <c r="K67" s="134"/>
      <c r="L67" s="134"/>
    </row>
    <row r="69" spans="1:13" s="57" customFormat="1" ht="22.5" customHeight="1">
      <c r="A69" s="228" t="s">
        <v>178</v>
      </c>
      <c r="B69" s="228"/>
      <c r="C69" s="228"/>
      <c r="D69" s="228"/>
      <c r="E69" s="228"/>
      <c r="F69" s="228"/>
      <c r="G69" s="228"/>
      <c r="H69" s="228"/>
      <c r="I69" s="228"/>
      <c r="J69" s="228"/>
      <c r="K69" s="228"/>
      <c r="L69" s="228"/>
      <c r="M69" s="228"/>
    </row>
    <row r="70" spans="1:13" ht="15.75">
      <c r="A70" s="15" t="s">
        <v>112</v>
      </c>
      <c r="B70" s="15" t="s">
        <v>113</v>
      </c>
      <c r="C70" s="15">
        <v>2012</v>
      </c>
      <c r="D70" s="15">
        <v>2013</v>
      </c>
      <c r="E70" s="15">
        <v>2014</v>
      </c>
      <c r="F70" s="15">
        <v>2015</v>
      </c>
      <c r="G70" s="15">
        <v>2016</v>
      </c>
      <c r="H70" s="15">
        <v>2017</v>
      </c>
      <c r="I70" s="15">
        <v>2018</v>
      </c>
      <c r="J70" s="15">
        <v>2019</v>
      </c>
      <c r="K70" s="15">
        <v>2020</v>
      </c>
      <c r="L70" s="15">
        <v>2021</v>
      </c>
      <c r="M70" s="15">
        <v>2022</v>
      </c>
    </row>
    <row r="71" spans="1:13" ht="18" thickBot="1">
      <c r="A71" s="80">
        <v>11</v>
      </c>
      <c r="B71" s="94" t="s">
        <v>167</v>
      </c>
      <c r="C71" s="83">
        <f t="shared" ref="C71:I71" si="9">+C72+C75+C76+C77+C78</f>
        <v>2514.0237399999996</v>
      </c>
      <c r="D71" s="101">
        <f t="shared" si="9"/>
        <v>1668.18859</v>
      </c>
      <c r="E71" s="83">
        <f t="shared" si="9"/>
        <v>2466.0369499999997</v>
      </c>
      <c r="F71" s="101">
        <f t="shared" si="9"/>
        <v>2723.3665999999998</v>
      </c>
      <c r="G71" s="83">
        <f t="shared" si="9"/>
        <v>4624.2601500000001</v>
      </c>
      <c r="H71" s="101">
        <f t="shared" si="9"/>
        <v>1949.11275</v>
      </c>
      <c r="I71" s="101">
        <f t="shared" si="9"/>
        <v>2806.9277699999989</v>
      </c>
      <c r="J71" s="101">
        <f>+J72+J75+J76+J77+J78</f>
        <v>2809.7893899999999</v>
      </c>
      <c r="K71" s="101">
        <f>+K72+K75+K76+K77+K78</f>
        <v>2258.8748299999993</v>
      </c>
      <c r="L71" s="101">
        <f>+L72+L75+L76+L77+L78</f>
        <v>3297.9762999999984</v>
      </c>
      <c r="M71" s="101">
        <f>+M72+M75+M76+M77+M78</f>
        <v>3274.1328799999974</v>
      </c>
    </row>
    <row r="72" spans="1:13" ht="18.75" thickTop="1" thickBot="1">
      <c r="A72" s="85" t="s">
        <v>42</v>
      </c>
      <c r="B72" s="95" t="s">
        <v>260</v>
      </c>
      <c r="C72" s="104">
        <f>SUM(C73:C74)</f>
        <v>23.795919999999999</v>
      </c>
      <c r="D72" s="102">
        <f>D73+D74</f>
        <v>0.9284</v>
      </c>
      <c r="E72" s="104">
        <v>0</v>
      </c>
      <c r="F72" s="102">
        <v>0</v>
      </c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</row>
    <row r="73" spans="1:13" ht="18.75" thickTop="1" thickBot="1">
      <c r="A73" s="70" t="s">
        <v>43</v>
      </c>
      <c r="B73" s="96" t="s">
        <v>125</v>
      </c>
      <c r="C73" s="76">
        <v>0</v>
      </c>
      <c r="D73" s="105">
        <v>0</v>
      </c>
      <c r="E73" s="76">
        <v>0</v>
      </c>
      <c r="F73" s="105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</row>
    <row r="74" spans="1:13" ht="18.75" thickTop="1" thickBot="1">
      <c r="A74" s="70" t="s">
        <v>44</v>
      </c>
      <c r="B74" s="96" t="s">
        <v>126</v>
      </c>
      <c r="C74" s="76">
        <v>23.795919999999999</v>
      </c>
      <c r="D74" s="105">
        <v>0.9284</v>
      </c>
      <c r="E74" s="76">
        <v>0</v>
      </c>
      <c r="F74" s="105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</row>
    <row r="75" spans="1:13" ht="34.5" customHeight="1" thickTop="1" thickBot="1">
      <c r="A75" s="85" t="s">
        <v>46</v>
      </c>
      <c r="B75" s="95" t="s">
        <v>295</v>
      </c>
      <c r="C75" s="104">
        <v>874.28300000000002</v>
      </c>
      <c r="D75" s="102">
        <v>967.66300000000001</v>
      </c>
      <c r="E75" s="104">
        <v>871.92154999999957</v>
      </c>
      <c r="F75" s="102">
        <v>921.00115999999991</v>
      </c>
      <c r="G75" s="104">
        <v>865.36563999999964</v>
      </c>
      <c r="H75" s="104">
        <v>227.46410999999995</v>
      </c>
      <c r="I75" s="104">
        <v>554.35098999999934</v>
      </c>
      <c r="J75" s="104">
        <v>924.37145000000032</v>
      </c>
      <c r="K75" s="104">
        <v>927.93042999999932</v>
      </c>
      <c r="L75" s="104">
        <v>1719.8987799999984</v>
      </c>
      <c r="M75" s="104">
        <v>2031.8125599999983</v>
      </c>
    </row>
    <row r="76" spans="1:13" ht="40.5" customHeight="1" thickTop="1" thickBot="1">
      <c r="A76" s="85" t="s">
        <v>47</v>
      </c>
      <c r="B76" s="95" t="s">
        <v>296</v>
      </c>
      <c r="C76" s="104">
        <v>606.25001999999995</v>
      </c>
      <c r="D76" s="102">
        <v>11.33778</v>
      </c>
      <c r="E76" s="104">
        <v>0</v>
      </c>
      <c r="F76" s="102">
        <v>24.53858</v>
      </c>
      <c r="G76" s="104">
        <v>10.97683</v>
      </c>
      <c r="H76" s="104">
        <v>72.236029999999985</v>
      </c>
      <c r="I76" s="104">
        <v>0.72</v>
      </c>
      <c r="J76" s="104">
        <v>0</v>
      </c>
      <c r="K76" s="104">
        <v>0</v>
      </c>
      <c r="L76" s="104">
        <v>18.35079</v>
      </c>
      <c r="M76" s="104">
        <v>472.77870999999999</v>
      </c>
    </row>
    <row r="77" spans="1:13" ht="32.25" customHeight="1" thickTop="1" thickBot="1">
      <c r="A77" s="85" t="s">
        <v>48</v>
      </c>
      <c r="B77" s="95" t="s">
        <v>168</v>
      </c>
      <c r="C77" s="104">
        <v>981.0548</v>
      </c>
      <c r="D77" s="102">
        <v>663.75741000000005</v>
      </c>
      <c r="E77" s="104">
        <v>1382.3954200000003</v>
      </c>
      <c r="F77" s="102">
        <v>1331.1525099999997</v>
      </c>
      <c r="G77" s="104">
        <v>3712.7871900000005</v>
      </c>
      <c r="H77" s="104">
        <v>1571.99161</v>
      </c>
      <c r="I77" s="104">
        <v>2251.8567799999996</v>
      </c>
      <c r="J77" s="104">
        <v>1885.4179399999996</v>
      </c>
      <c r="K77" s="104">
        <v>1330.9443999999999</v>
      </c>
      <c r="L77" s="104">
        <v>1559.7267299999999</v>
      </c>
      <c r="M77" s="104">
        <v>768.34160999999972</v>
      </c>
    </row>
    <row r="78" spans="1:13" ht="39" customHeight="1" thickTop="1" thickBot="1">
      <c r="A78" s="85" t="s">
        <v>49</v>
      </c>
      <c r="B78" s="95" t="s">
        <v>169</v>
      </c>
      <c r="C78" s="104">
        <v>28.64</v>
      </c>
      <c r="D78" s="102">
        <v>24.501999999999999</v>
      </c>
      <c r="E78" s="104">
        <v>211.71997999999999</v>
      </c>
      <c r="F78" s="102">
        <v>446.67435000000006</v>
      </c>
      <c r="G78" s="104">
        <v>35.130489999999995</v>
      </c>
      <c r="H78" s="104">
        <v>77.421000000000006</v>
      </c>
      <c r="I78" s="104">
        <v>0</v>
      </c>
      <c r="J78" s="104">
        <v>0</v>
      </c>
      <c r="K78" s="104">
        <v>0</v>
      </c>
      <c r="L78" s="104">
        <v>0</v>
      </c>
      <c r="M78" s="104">
        <v>1.2</v>
      </c>
    </row>
    <row r="79" spans="1:13" ht="18.75" thickTop="1" thickBot="1">
      <c r="A79" s="80">
        <v>12</v>
      </c>
      <c r="B79" s="94" t="s">
        <v>170</v>
      </c>
      <c r="C79" s="83">
        <f>+C80+C81+C82+C83+C84+C85+C86</f>
        <v>52366.426729999999</v>
      </c>
      <c r="D79" s="101">
        <f>+D80+D81+D82+D83+D84+D85+D86</f>
        <v>49422.88672000001</v>
      </c>
      <c r="E79" s="83">
        <f t="shared" ref="E79:I79" si="10">+E80+E81+E82+E83+E84+E85+E86</f>
        <v>38565.289419999979</v>
      </c>
      <c r="F79" s="101">
        <f t="shared" si="10"/>
        <v>27090.483589999985</v>
      </c>
      <c r="G79" s="83">
        <f t="shared" si="10"/>
        <v>22144.302589999999</v>
      </c>
      <c r="H79" s="83">
        <f t="shared" si="10"/>
        <v>21188.446709999997</v>
      </c>
      <c r="I79" s="83">
        <f t="shared" si="10"/>
        <v>24332.603019999999</v>
      </c>
      <c r="J79" s="83">
        <f>+J80+J81+J82+J83+J84+J85+J86</f>
        <v>21258.70157000003</v>
      </c>
      <c r="K79" s="83">
        <f>+K80+K81+K82+K83+K84+K85+K86</f>
        <v>14108.660909999999</v>
      </c>
      <c r="L79" s="83">
        <f>SUM(L80:L86)</f>
        <v>14809.941359999999</v>
      </c>
      <c r="M79" s="83">
        <f>SUM(M80:M86)</f>
        <v>24271.513810000008</v>
      </c>
    </row>
    <row r="80" spans="1:13" ht="18.75" thickTop="1" thickBot="1">
      <c r="A80" s="85">
        <v>12.1</v>
      </c>
      <c r="B80" s="95" t="s">
        <v>171</v>
      </c>
      <c r="C80" s="104">
        <v>0</v>
      </c>
      <c r="D80" s="102">
        <v>0</v>
      </c>
      <c r="E80" s="104">
        <v>0</v>
      </c>
      <c r="F80" s="102">
        <v>0.10646000000000001</v>
      </c>
      <c r="G80" s="104">
        <v>0</v>
      </c>
      <c r="H80" s="104">
        <v>0</v>
      </c>
      <c r="I80" s="104">
        <v>0</v>
      </c>
      <c r="J80" s="104">
        <v>0</v>
      </c>
      <c r="K80" s="104">
        <v>0</v>
      </c>
      <c r="L80" s="104">
        <v>0</v>
      </c>
      <c r="M80" s="104">
        <v>0</v>
      </c>
    </row>
    <row r="81" spans="1:13" ht="33" thickTop="1" thickBot="1">
      <c r="A81" s="85">
        <v>12.2</v>
      </c>
      <c r="B81" s="95" t="s">
        <v>297</v>
      </c>
      <c r="C81" s="104">
        <v>177.13254000000001</v>
      </c>
      <c r="D81" s="102">
        <v>142.12970000000001</v>
      </c>
      <c r="E81" s="104">
        <v>6.1249799999999999</v>
      </c>
      <c r="F81" s="102">
        <v>0.10646000000000001</v>
      </c>
      <c r="G81" s="104">
        <v>0.10646000000000001</v>
      </c>
      <c r="H81" s="104">
        <v>0.10646000000000001</v>
      </c>
      <c r="I81" s="104">
        <v>8.2476300000000009</v>
      </c>
      <c r="J81" s="104">
        <v>0</v>
      </c>
      <c r="K81" s="104">
        <v>0</v>
      </c>
      <c r="L81" s="104">
        <v>0</v>
      </c>
      <c r="M81" s="104">
        <v>3.6629999999999998</v>
      </c>
    </row>
    <row r="82" spans="1:13" ht="18.75" thickTop="1" thickBot="1">
      <c r="A82" s="85">
        <v>12.3</v>
      </c>
      <c r="B82" s="95" t="s">
        <v>298</v>
      </c>
      <c r="C82" s="104">
        <v>0</v>
      </c>
      <c r="D82" s="102">
        <v>0.21</v>
      </c>
      <c r="E82" s="104">
        <v>0</v>
      </c>
      <c r="F82" s="102">
        <v>0</v>
      </c>
      <c r="G82" s="104">
        <v>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</row>
    <row r="83" spans="1:13" ht="18.75" thickTop="1" thickBot="1">
      <c r="A83" s="85">
        <v>12.4</v>
      </c>
      <c r="B83" s="95" t="s">
        <v>172</v>
      </c>
      <c r="C83" s="104">
        <v>23893.083119999999</v>
      </c>
      <c r="D83" s="102">
        <v>22563.046310000002</v>
      </c>
      <c r="E83" s="104">
        <v>12035.799199999978</v>
      </c>
      <c r="F83" s="102">
        <v>6152.8215399999972</v>
      </c>
      <c r="G83" s="104">
        <v>6029.6490799999983</v>
      </c>
      <c r="H83" s="104">
        <v>8173.7652999999937</v>
      </c>
      <c r="I83" s="104">
        <v>9126.9682999999895</v>
      </c>
      <c r="J83" s="104">
        <v>7578.7853399999913</v>
      </c>
      <c r="K83" s="104">
        <v>5503.6302700000006</v>
      </c>
      <c r="L83" s="104">
        <v>5892</v>
      </c>
      <c r="M83" s="104">
        <v>12228.709580000015</v>
      </c>
    </row>
    <row r="84" spans="1:13" ht="18.75" thickTop="1" thickBot="1">
      <c r="A84" s="85">
        <v>12.5</v>
      </c>
      <c r="B84" s="95" t="s">
        <v>173</v>
      </c>
      <c r="C84" s="104">
        <v>15172.54435</v>
      </c>
      <c r="D84" s="102">
        <v>16573.95638</v>
      </c>
      <c r="E84" s="104">
        <v>17057.436950000003</v>
      </c>
      <c r="F84" s="102">
        <v>15178.41065999999</v>
      </c>
      <c r="G84" s="104">
        <v>14344.87643</v>
      </c>
      <c r="H84" s="104">
        <v>10888</v>
      </c>
      <c r="I84" s="104">
        <v>13109.882580000007</v>
      </c>
      <c r="J84" s="104">
        <v>11972.812030000039</v>
      </c>
      <c r="K84" s="104">
        <v>8199.5192999999981</v>
      </c>
      <c r="L84" s="104">
        <v>8141.9231399999971</v>
      </c>
      <c r="M84" s="104">
        <v>10459.804319999994</v>
      </c>
    </row>
    <row r="85" spans="1:13" ht="18.75" thickTop="1" thickBot="1">
      <c r="A85" s="85">
        <v>12.6</v>
      </c>
      <c r="B85" s="95" t="s">
        <v>276</v>
      </c>
      <c r="C85" s="104">
        <v>4470.76</v>
      </c>
      <c r="D85" s="102">
        <v>4214.72</v>
      </c>
      <c r="E85" s="104">
        <v>4303.3728100000008</v>
      </c>
      <c r="F85" s="102">
        <v>2317.4636099999993</v>
      </c>
      <c r="G85" s="104">
        <v>249.89529000000005</v>
      </c>
      <c r="H85" s="104">
        <v>431.68947000000003</v>
      </c>
      <c r="I85" s="104">
        <v>388.83478999999988</v>
      </c>
      <c r="J85" s="104">
        <v>315.15652999999992</v>
      </c>
      <c r="K85" s="104">
        <v>51.266549999999981</v>
      </c>
      <c r="L85" s="104">
        <v>22.513129999999993</v>
      </c>
      <c r="M85" s="104">
        <v>3.2236899999999999</v>
      </c>
    </row>
    <row r="86" spans="1:13" ht="36" customHeight="1" thickTop="1" thickBot="1">
      <c r="A86" s="85">
        <v>12.7</v>
      </c>
      <c r="B86" s="95" t="s">
        <v>174</v>
      </c>
      <c r="C86" s="104">
        <v>8652.9067200000009</v>
      </c>
      <c r="D86" s="102">
        <v>5928.8243300000004</v>
      </c>
      <c r="E86" s="104">
        <v>5162.5554799999973</v>
      </c>
      <c r="F86" s="102">
        <v>3441.5748599999979</v>
      </c>
      <c r="G86" s="104">
        <v>1519.7753300000008</v>
      </c>
      <c r="H86" s="104">
        <v>1694.8854800000011</v>
      </c>
      <c r="I86" s="104">
        <v>1698.6697200000006</v>
      </c>
      <c r="J86" s="104">
        <v>1391.9476699999991</v>
      </c>
      <c r="K86" s="104">
        <v>354.24479000000065</v>
      </c>
      <c r="L86" s="104">
        <v>753.50509000000238</v>
      </c>
      <c r="M86" s="104">
        <v>1576.1132200000004</v>
      </c>
    </row>
    <row r="87" spans="1:13" ht="20.25" thickTop="1" thickBot="1">
      <c r="A87" s="106"/>
      <c r="B87" s="107" t="s">
        <v>50</v>
      </c>
      <c r="C87" s="108">
        <f t="shared" ref="C87:I87" si="11">+C79+C71</f>
        <v>54880.450469999996</v>
      </c>
      <c r="D87" s="108">
        <f t="shared" si="11"/>
        <v>51091.075310000007</v>
      </c>
      <c r="E87" s="108">
        <f t="shared" si="11"/>
        <v>41031.326369999981</v>
      </c>
      <c r="F87" s="108">
        <f t="shared" si="11"/>
        <v>29813.850189999986</v>
      </c>
      <c r="G87" s="108">
        <f t="shared" si="11"/>
        <v>26768.562740000001</v>
      </c>
      <c r="H87" s="108">
        <f t="shared" si="11"/>
        <v>23137.559459999997</v>
      </c>
      <c r="I87" s="108">
        <f t="shared" si="11"/>
        <v>27139.530789999997</v>
      </c>
      <c r="J87" s="108">
        <f>+J79+J71</f>
        <v>24068.490960000032</v>
      </c>
      <c r="K87" s="108">
        <f>+K79+K71</f>
        <v>16367.535739999998</v>
      </c>
      <c r="L87" s="108">
        <f>+L79+L71</f>
        <v>18107.917659999999</v>
      </c>
      <c r="M87" s="108">
        <f>+M79+M71</f>
        <v>27545.646690000005</v>
      </c>
    </row>
    <row r="88" spans="1:13" ht="15" thickTop="1">
      <c r="I88" s="62"/>
    </row>
    <row r="90" spans="1:13" ht="19.5" thickBot="1">
      <c r="A90" s="107"/>
      <c r="B90" s="109" t="s">
        <v>176</v>
      </c>
      <c r="C90" s="109">
        <f t="shared" ref="C90:I90" si="12">+C87+C64</f>
        <v>1143485.8501900001</v>
      </c>
      <c r="D90" s="109">
        <f t="shared" si="12"/>
        <v>1117961.00398</v>
      </c>
      <c r="E90" s="109">
        <f t="shared" si="12"/>
        <v>1236849.2338</v>
      </c>
      <c r="F90" s="109">
        <f t="shared" si="12"/>
        <v>1564529.9695199998</v>
      </c>
      <c r="G90" s="109">
        <f t="shared" si="12"/>
        <v>1512855.9107099997</v>
      </c>
      <c r="H90" s="109">
        <f t="shared" si="12"/>
        <v>1697667.2645599998</v>
      </c>
      <c r="I90" s="109">
        <f t="shared" si="12"/>
        <v>2187564.2426399998</v>
      </c>
      <c r="J90" s="109">
        <f>+J87+J64</f>
        <v>1804711.6106400003</v>
      </c>
      <c r="K90" s="109">
        <f>+K87+K64</f>
        <v>1517099.0223299998</v>
      </c>
      <c r="L90" s="109">
        <f>+L87+L64</f>
        <v>2194748.9245922999</v>
      </c>
      <c r="M90" s="109">
        <f>+M87+M64</f>
        <v>2503324.7754908698</v>
      </c>
    </row>
    <row r="91" spans="1:13" ht="13.5" thickTop="1">
      <c r="B91" s="11"/>
      <c r="J91" s="37"/>
      <c r="K91" s="37"/>
      <c r="L91" s="14"/>
    </row>
    <row r="92" spans="1:13" ht="15.75">
      <c r="A92" s="99" t="s">
        <v>181</v>
      </c>
      <c r="J92" s="37"/>
      <c r="K92" s="37"/>
      <c r="L92" s="14"/>
    </row>
    <row r="93" spans="1:13">
      <c r="A93" s="11"/>
      <c r="I93"/>
    </row>
    <row r="97" spans="9:9" ht="15">
      <c r="I97" s="68"/>
    </row>
    <row r="98" spans="9:9" ht="14.25">
      <c r="I98" s="61"/>
    </row>
    <row r="99" spans="9:9" ht="14.25">
      <c r="I99" s="61"/>
    </row>
    <row r="100" spans="9:9" ht="14.25">
      <c r="I100" s="61"/>
    </row>
    <row r="101" spans="9:9" ht="14.25">
      <c r="I101" s="61"/>
    </row>
    <row r="102" spans="9:9" ht="14.25">
      <c r="I102" s="61"/>
    </row>
    <row r="103" spans="9:9" ht="14.25">
      <c r="I103" s="61"/>
    </row>
    <row r="104" spans="9:9" ht="14.25">
      <c r="I104" s="61"/>
    </row>
    <row r="105" spans="9:9" ht="14.25">
      <c r="I105" s="61"/>
    </row>
    <row r="106" spans="9:9" ht="14.25">
      <c r="I106" s="61"/>
    </row>
    <row r="107" spans="9:9" ht="14.25">
      <c r="I107" s="61"/>
    </row>
    <row r="108" spans="9:9" ht="14.25">
      <c r="I108" s="61"/>
    </row>
    <row r="109" spans="9:9" ht="15">
      <c r="I109" s="69"/>
    </row>
    <row r="110" spans="9:9" ht="14.25">
      <c r="I110" s="62"/>
    </row>
    <row r="111" spans="9:9" ht="14.25">
      <c r="I111" s="62"/>
    </row>
    <row r="112" spans="9:9" ht="14.25">
      <c r="I112" s="62"/>
    </row>
    <row r="113" spans="9:9" ht="14.25">
      <c r="I113" s="62"/>
    </row>
    <row r="114" spans="9:9" ht="14.25">
      <c r="I114" s="62"/>
    </row>
    <row r="115" spans="9:9" ht="14.25">
      <c r="I115" s="62"/>
    </row>
    <row r="116" spans="9:9" ht="14.25">
      <c r="I116" s="62"/>
    </row>
    <row r="117" spans="9:9" ht="14.25">
      <c r="I117" s="62"/>
    </row>
    <row r="118" spans="9:9" ht="14.25">
      <c r="I118" s="62"/>
    </row>
  </sheetData>
  <mergeCells count="3">
    <mergeCell ref="B9:D9"/>
    <mergeCell ref="A12:M12"/>
    <mergeCell ref="A69:M69"/>
  </mergeCells>
  <pageMargins left="0.7" right="0.7" top="0.75" bottom="0.75" header="0.3" footer="0.3"/>
  <pageSetup orientation="portrait" r:id="rId1"/>
  <ignoredErrors>
    <ignoredError sqref="H20:K20 H16 J38 K16 I16:J16 L16 L20:M20 D52:G52 M52" formulaRange="1"/>
    <ignoredError sqref="H41:L41 H52:J52 H58:I58 K52:L52 L58 K58" formulaRange="1" unlockedFormula="1"/>
    <ignoredError sqref="H34:L34 M34 M41 M58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2"/>
  <sheetViews>
    <sheetView showGridLines="0" zoomScale="70" zoomScaleNormal="70" workbookViewId="0">
      <pane xSplit="2" topLeftCell="L1" activePane="topRight" state="frozen"/>
      <selection pane="topRight" activeCell="Z39" sqref="Z39:Z70"/>
    </sheetView>
  </sheetViews>
  <sheetFormatPr baseColWidth="10" defaultRowHeight="12.75"/>
  <cols>
    <col min="1" max="1" width="15.7109375" customWidth="1"/>
    <col min="2" max="2" width="92.5703125" customWidth="1"/>
    <col min="3" max="3" width="14.28515625" customWidth="1"/>
    <col min="4" max="6" width="11.42578125" customWidth="1"/>
    <col min="7" max="7" width="11.7109375" customWidth="1"/>
    <col min="8" max="18" width="11.42578125" customWidth="1"/>
    <col min="19" max="19" width="11.7109375" customWidth="1"/>
    <col min="20" max="20" width="11.42578125" customWidth="1"/>
    <col min="22" max="22" width="11.42578125" style="134"/>
  </cols>
  <sheetData>
    <row r="1" spans="1:26" ht="15.75">
      <c r="B1" s="7"/>
    </row>
    <row r="2" spans="1:26">
      <c r="B2" s="6"/>
    </row>
    <row r="3" spans="1:26">
      <c r="A3" s="4"/>
      <c r="B3" s="10"/>
      <c r="C3" s="2"/>
      <c r="D3" s="2"/>
      <c r="E3" s="2"/>
      <c r="F3" s="2"/>
      <c r="G3" s="2"/>
      <c r="H3" s="1"/>
      <c r="I3" s="1"/>
    </row>
    <row r="4" spans="1:26">
      <c r="A4" s="4"/>
      <c r="B4" s="10"/>
      <c r="C4" s="2"/>
      <c r="D4" s="2"/>
      <c r="E4" s="2"/>
      <c r="F4" s="2"/>
      <c r="G4" s="2"/>
      <c r="H4" s="1"/>
      <c r="I4" s="1"/>
    </row>
    <row r="5" spans="1:26">
      <c r="A5" s="4"/>
      <c r="B5" s="10"/>
      <c r="C5" s="2"/>
      <c r="D5" s="2"/>
      <c r="E5" s="2"/>
      <c r="F5" s="2"/>
      <c r="G5" s="2"/>
      <c r="H5" s="1"/>
      <c r="I5" s="1"/>
    </row>
    <row r="6" spans="1:26">
      <c r="A6" s="4"/>
      <c r="B6" s="10"/>
      <c r="C6" s="2"/>
      <c r="D6" s="2"/>
      <c r="E6" s="2"/>
      <c r="F6" s="2"/>
      <c r="G6" s="2"/>
      <c r="H6" s="1"/>
      <c r="I6" s="1"/>
    </row>
    <row r="7" spans="1:26">
      <c r="A7" s="4"/>
      <c r="B7" s="10"/>
      <c r="C7" s="2"/>
      <c r="D7" s="2"/>
      <c r="E7" s="2"/>
      <c r="F7" s="2"/>
      <c r="G7" s="2"/>
      <c r="H7" s="1"/>
      <c r="I7" s="1"/>
    </row>
    <row r="8" spans="1:26" ht="36">
      <c r="A8" s="4"/>
      <c r="B8" s="10"/>
      <c r="C8" s="24"/>
      <c r="D8" s="25"/>
      <c r="E8" s="25"/>
      <c r="F8" s="25"/>
      <c r="G8" s="25"/>
      <c r="H8" s="26"/>
      <c r="I8" s="26"/>
      <c r="J8" s="27"/>
      <c r="K8" s="27"/>
      <c r="L8" s="28"/>
      <c r="M8" s="28"/>
    </row>
    <row r="9" spans="1:26">
      <c r="A9" s="4"/>
      <c r="B9" s="10"/>
      <c r="C9" s="2"/>
      <c r="D9" s="2"/>
      <c r="E9" s="2"/>
      <c r="F9" s="2"/>
      <c r="G9" s="2"/>
      <c r="H9" s="1"/>
      <c r="I9" s="1"/>
    </row>
    <row r="10" spans="1:26" ht="23.25">
      <c r="A10" s="4"/>
      <c r="B10" s="10"/>
      <c r="C10" s="2"/>
      <c r="D10" s="2"/>
      <c r="E10" s="220"/>
      <c r="F10" s="220"/>
      <c r="G10" s="220"/>
      <c r="H10" s="220"/>
      <c r="I10" s="220"/>
      <c r="J10" s="220"/>
    </row>
    <row r="11" spans="1:26">
      <c r="A11" s="4"/>
      <c r="B11" s="10"/>
      <c r="C11" s="2"/>
      <c r="D11" s="2"/>
      <c r="E11" s="2"/>
      <c r="F11" s="2"/>
      <c r="G11" s="2"/>
      <c r="H11" s="1"/>
      <c r="I11" s="1"/>
    </row>
    <row r="12" spans="1:26">
      <c r="A12" s="4"/>
      <c r="B12" s="10"/>
      <c r="C12" s="2"/>
      <c r="D12" s="2"/>
      <c r="E12" s="2"/>
      <c r="F12" s="2"/>
      <c r="G12" s="2"/>
      <c r="H12" s="1"/>
      <c r="I12" s="1"/>
    </row>
    <row r="13" spans="1:26" ht="28.5" customHeight="1">
      <c r="A13" s="222" t="s">
        <v>154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</row>
    <row r="14" spans="1:26" ht="20.100000000000001" customHeight="1" thickBot="1">
      <c r="A14" s="78" t="s">
        <v>101</v>
      </c>
      <c r="B14" s="78" t="s">
        <v>102</v>
      </c>
      <c r="C14" s="79" t="s">
        <v>103</v>
      </c>
      <c r="D14" s="78">
        <v>2000</v>
      </c>
      <c r="E14" s="78">
        <v>2001</v>
      </c>
      <c r="F14" s="78">
        <v>2002</v>
      </c>
      <c r="G14" s="78">
        <v>2003</v>
      </c>
      <c r="H14" s="78">
        <v>2004</v>
      </c>
      <c r="I14" s="78">
        <v>2005</v>
      </c>
      <c r="J14" s="78">
        <v>2006</v>
      </c>
      <c r="K14" s="78">
        <v>2007</v>
      </c>
      <c r="L14" s="78">
        <v>2008</v>
      </c>
      <c r="M14" s="78">
        <v>2009</v>
      </c>
      <c r="N14" s="78">
        <v>2010</v>
      </c>
      <c r="O14" s="78">
        <v>2011</v>
      </c>
      <c r="P14" s="78">
        <v>2012</v>
      </c>
      <c r="Q14" s="78">
        <v>2013</v>
      </c>
      <c r="R14" s="78">
        <v>2014</v>
      </c>
      <c r="S14" s="78">
        <v>2015</v>
      </c>
      <c r="T14" s="78">
        <v>2016</v>
      </c>
      <c r="U14" s="78">
        <v>2017</v>
      </c>
      <c r="V14" s="78">
        <v>2018</v>
      </c>
      <c r="W14" s="78">
        <v>2019</v>
      </c>
      <c r="X14" s="78">
        <v>2020</v>
      </c>
      <c r="Y14" s="78">
        <v>2021</v>
      </c>
      <c r="Z14" s="78">
        <v>2022</v>
      </c>
    </row>
    <row r="15" spans="1:26" ht="18.75" thickTop="1" thickBot="1">
      <c r="A15" s="80">
        <v>1</v>
      </c>
      <c r="B15" s="94" t="s">
        <v>122</v>
      </c>
      <c r="C15" s="81" t="s">
        <v>40</v>
      </c>
      <c r="D15" s="82">
        <f t="shared" ref="D15:X15" si="0">SUM(D16:D17)</f>
        <v>2</v>
      </c>
      <c r="E15" s="82">
        <f t="shared" si="0"/>
        <v>2</v>
      </c>
      <c r="F15" s="82">
        <f t="shared" si="0"/>
        <v>1</v>
      </c>
      <c r="G15" s="83">
        <f t="shared" si="0"/>
        <v>2</v>
      </c>
      <c r="H15" s="91">
        <f t="shared" si="0"/>
        <v>3</v>
      </c>
      <c r="I15" s="92">
        <f t="shared" si="0"/>
        <v>8</v>
      </c>
      <c r="J15" s="110">
        <f t="shared" si="0"/>
        <v>8</v>
      </c>
      <c r="K15" s="82">
        <f t="shared" si="0"/>
        <v>7</v>
      </c>
      <c r="L15" s="82">
        <f t="shared" si="0"/>
        <v>6</v>
      </c>
      <c r="M15" s="82">
        <f t="shared" si="0"/>
        <v>5</v>
      </c>
      <c r="N15" s="83">
        <f t="shared" si="0"/>
        <v>5</v>
      </c>
      <c r="O15" s="91">
        <f t="shared" si="0"/>
        <v>9</v>
      </c>
      <c r="P15" s="93">
        <f t="shared" si="0"/>
        <v>6.19177</v>
      </c>
      <c r="Q15" s="83">
        <f t="shared" si="0"/>
        <v>6.21</v>
      </c>
      <c r="R15" s="83">
        <f t="shared" si="0"/>
        <v>2.4763000000000002</v>
      </c>
      <c r="S15" s="83">
        <f t="shared" si="0"/>
        <v>2.8369</v>
      </c>
      <c r="T15" s="83">
        <f t="shared" si="0"/>
        <v>3.5119862500000001</v>
      </c>
      <c r="U15" s="83">
        <f t="shared" si="0"/>
        <v>3.7707773699999998</v>
      </c>
      <c r="V15" s="83">
        <f t="shared" si="0"/>
        <v>2.6275454599999999</v>
      </c>
      <c r="W15" s="83">
        <f t="shared" si="0"/>
        <v>3.1864302499999999</v>
      </c>
      <c r="X15" s="83">
        <f t="shared" si="0"/>
        <v>5.4042851299999999</v>
      </c>
      <c r="Y15" s="82">
        <f>+Y16+Y17</f>
        <v>6.1512276000000004</v>
      </c>
      <c r="Z15" s="82">
        <f>+Z16+Z17</f>
        <v>8.5470513000000015</v>
      </c>
    </row>
    <row r="16" spans="1:26" ht="33" thickTop="1" thickBot="1">
      <c r="A16" s="85">
        <v>1.1000000000000001</v>
      </c>
      <c r="B16" s="95" t="s">
        <v>278</v>
      </c>
      <c r="C16" s="86" t="s">
        <v>40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0</v>
      </c>
      <c r="K16" s="87">
        <v>0</v>
      </c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</row>
    <row r="17" spans="1:26" ht="18.75" thickTop="1" thickBot="1">
      <c r="A17" s="85">
        <v>1.2</v>
      </c>
      <c r="B17" s="95" t="s">
        <v>124</v>
      </c>
      <c r="C17" s="86" t="s">
        <v>40</v>
      </c>
      <c r="D17" s="87">
        <f t="shared" ref="D17:R17" si="1">SUM(D18:D19)</f>
        <v>2</v>
      </c>
      <c r="E17" s="87">
        <f t="shared" si="1"/>
        <v>2</v>
      </c>
      <c r="F17" s="87">
        <f t="shared" si="1"/>
        <v>1</v>
      </c>
      <c r="G17" s="87">
        <f t="shared" si="1"/>
        <v>2</v>
      </c>
      <c r="H17" s="87">
        <f t="shared" si="1"/>
        <v>3</v>
      </c>
      <c r="I17" s="87">
        <f t="shared" si="1"/>
        <v>8</v>
      </c>
      <c r="J17" s="87">
        <f t="shared" si="1"/>
        <v>8</v>
      </c>
      <c r="K17" s="87">
        <f t="shared" si="1"/>
        <v>7</v>
      </c>
      <c r="L17" s="87">
        <f t="shared" si="1"/>
        <v>6</v>
      </c>
      <c r="M17" s="87">
        <f t="shared" si="1"/>
        <v>5</v>
      </c>
      <c r="N17" s="87">
        <f t="shared" si="1"/>
        <v>5</v>
      </c>
      <c r="O17" s="87">
        <f t="shared" si="1"/>
        <v>9</v>
      </c>
      <c r="P17" s="87">
        <f t="shared" si="1"/>
        <v>6.19177</v>
      </c>
      <c r="Q17" s="87">
        <f t="shared" si="1"/>
        <v>6.21</v>
      </c>
      <c r="R17" s="87">
        <f t="shared" si="1"/>
        <v>2.4763000000000002</v>
      </c>
      <c r="S17" s="87">
        <f t="shared" ref="S17:Z17" si="2">+S18+S19</f>
        <v>2.8369</v>
      </c>
      <c r="T17" s="87">
        <f t="shared" si="2"/>
        <v>3.5119862500000001</v>
      </c>
      <c r="U17" s="87">
        <f t="shared" si="2"/>
        <v>3.7707773699999998</v>
      </c>
      <c r="V17" s="87">
        <f t="shared" si="2"/>
        <v>2.6275454599999999</v>
      </c>
      <c r="W17" s="87">
        <f t="shared" si="2"/>
        <v>3.1864302499999999</v>
      </c>
      <c r="X17" s="87">
        <f t="shared" si="2"/>
        <v>5.4042851299999999</v>
      </c>
      <c r="Y17" s="87">
        <f t="shared" si="2"/>
        <v>6.1512276000000004</v>
      </c>
      <c r="Z17" s="87">
        <f t="shared" si="2"/>
        <v>8.5470513000000015</v>
      </c>
    </row>
    <row r="18" spans="1:26" ht="18.75" thickTop="1" thickBot="1">
      <c r="A18" s="70" t="s">
        <v>6</v>
      </c>
      <c r="B18" s="96" t="s">
        <v>125</v>
      </c>
      <c r="C18" s="71" t="s">
        <v>40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v>0</v>
      </c>
      <c r="U18" s="72">
        <v>0</v>
      </c>
      <c r="V18" s="72">
        <v>0</v>
      </c>
      <c r="W18" s="72">
        <v>0</v>
      </c>
      <c r="X18" s="72">
        <v>1.4135389999999999E-2</v>
      </c>
      <c r="Y18" s="72">
        <v>0</v>
      </c>
      <c r="Z18" s="72">
        <v>0</v>
      </c>
    </row>
    <row r="19" spans="1:26" ht="18.75" thickTop="1" thickBot="1">
      <c r="A19" s="70" t="s">
        <v>7</v>
      </c>
      <c r="B19" s="96" t="s">
        <v>126</v>
      </c>
      <c r="C19" s="71" t="s">
        <v>40</v>
      </c>
      <c r="D19" s="72">
        <v>2</v>
      </c>
      <c r="E19" s="72">
        <v>2</v>
      </c>
      <c r="F19" s="72">
        <v>1</v>
      </c>
      <c r="G19" s="72">
        <v>2</v>
      </c>
      <c r="H19" s="72">
        <v>3</v>
      </c>
      <c r="I19" s="72">
        <v>8</v>
      </c>
      <c r="J19" s="72">
        <v>8</v>
      </c>
      <c r="K19" s="72">
        <v>7</v>
      </c>
      <c r="L19" s="72">
        <v>6</v>
      </c>
      <c r="M19" s="72">
        <v>5</v>
      </c>
      <c r="N19" s="72">
        <v>5</v>
      </c>
      <c r="O19" s="72">
        <v>9</v>
      </c>
      <c r="P19" s="72">
        <v>6.19177</v>
      </c>
      <c r="Q19" s="72">
        <v>6.21</v>
      </c>
      <c r="R19" s="72">
        <v>2.4763000000000002</v>
      </c>
      <c r="S19" s="72">
        <v>2.8369</v>
      </c>
      <c r="T19" s="72">
        <v>3.5119862500000001</v>
      </c>
      <c r="U19" s="72">
        <v>3.7707773699999998</v>
      </c>
      <c r="V19" s="72">
        <v>2.6275454599999999</v>
      </c>
      <c r="W19" s="72">
        <v>3.1864302499999999</v>
      </c>
      <c r="X19" s="72">
        <v>5.39014974</v>
      </c>
      <c r="Y19" s="72">
        <v>6.1512276000000004</v>
      </c>
      <c r="Z19" s="72">
        <v>8.5470513000000015</v>
      </c>
    </row>
    <row r="20" spans="1:26" ht="18.75" thickTop="1" thickBot="1">
      <c r="A20" s="70" t="s">
        <v>63</v>
      </c>
      <c r="B20" s="96" t="s">
        <v>155</v>
      </c>
      <c r="C20" s="71" t="s">
        <v>40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7</v>
      </c>
      <c r="L20" s="72">
        <v>6</v>
      </c>
      <c r="M20" s="72">
        <v>5</v>
      </c>
      <c r="N20" s="72">
        <v>5</v>
      </c>
      <c r="O20" s="72">
        <v>9</v>
      </c>
      <c r="P20" s="72">
        <v>6</v>
      </c>
      <c r="Q20" s="72">
        <v>6</v>
      </c>
      <c r="R20" s="72">
        <v>2.4763000000000002</v>
      </c>
      <c r="S20" s="72">
        <v>2.8369</v>
      </c>
      <c r="T20" s="72">
        <v>3.5119862500000001</v>
      </c>
      <c r="U20" s="72">
        <v>3.7707773699999998</v>
      </c>
      <c r="V20" s="72">
        <v>2.6275454599999999</v>
      </c>
      <c r="W20" s="72">
        <v>3.1864302499999999</v>
      </c>
      <c r="X20" s="72">
        <v>5.1738843799999996</v>
      </c>
      <c r="Y20" s="72">
        <v>6.1512276000000004</v>
      </c>
      <c r="Z20" s="72">
        <v>8.5470513000000015</v>
      </c>
    </row>
    <row r="21" spans="1:26" ht="18.75" thickTop="1" thickBot="1">
      <c r="A21" s="80">
        <v>2</v>
      </c>
      <c r="B21" s="94" t="s">
        <v>228</v>
      </c>
      <c r="C21" s="81" t="s">
        <v>53</v>
      </c>
      <c r="D21" s="82">
        <v>1</v>
      </c>
      <c r="E21" s="82">
        <v>1</v>
      </c>
      <c r="F21" s="82">
        <v>1</v>
      </c>
      <c r="G21" s="82">
        <v>1</v>
      </c>
      <c r="H21" s="82">
        <v>1</v>
      </c>
      <c r="I21" s="82">
        <v>1</v>
      </c>
      <c r="J21" s="82">
        <v>1</v>
      </c>
      <c r="K21" s="82">
        <v>1</v>
      </c>
      <c r="L21" s="82">
        <v>1</v>
      </c>
      <c r="M21" s="82">
        <v>2</v>
      </c>
      <c r="N21" s="82">
        <v>2</v>
      </c>
      <c r="O21" s="82">
        <v>1</v>
      </c>
      <c r="P21" s="82">
        <v>1.8178869</v>
      </c>
      <c r="Q21" s="82">
        <v>1.895</v>
      </c>
      <c r="R21" s="82">
        <v>2.1432545099999998</v>
      </c>
      <c r="S21" s="82">
        <v>2.0734497699999999</v>
      </c>
      <c r="T21" s="82">
        <v>3.0190652</v>
      </c>
      <c r="U21" s="82">
        <v>3.02204899</v>
      </c>
      <c r="V21" s="82">
        <v>3.0504206999999997</v>
      </c>
      <c r="W21" s="82">
        <v>3.55</v>
      </c>
      <c r="X21" s="82">
        <v>3.4796927500000003</v>
      </c>
      <c r="Y21" s="82">
        <v>3.8313125799999996</v>
      </c>
      <c r="Z21" s="82">
        <v>4.4944379800000007</v>
      </c>
    </row>
    <row r="22" spans="1:26" ht="18.75" thickTop="1" thickBot="1">
      <c r="A22" s="80" t="s">
        <v>96</v>
      </c>
      <c r="B22" s="94" t="s">
        <v>229</v>
      </c>
      <c r="C22" s="81" t="s">
        <v>41</v>
      </c>
      <c r="D22" s="82">
        <f t="shared" ref="D22:Z22" si="3">SUM(D23:D24)</f>
        <v>0</v>
      </c>
      <c r="E22" s="82">
        <f t="shared" si="3"/>
        <v>1</v>
      </c>
      <c r="F22" s="82">
        <f t="shared" si="3"/>
        <v>0</v>
      </c>
      <c r="G22" s="82">
        <f t="shared" si="3"/>
        <v>1</v>
      </c>
      <c r="H22" s="82">
        <f t="shared" si="3"/>
        <v>0</v>
      </c>
      <c r="I22" s="82">
        <f t="shared" si="3"/>
        <v>1</v>
      </c>
      <c r="J22" s="82">
        <f t="shared" si="3"/>
        <v>5</v>
      </c>
      <c r="K22" s="82">
        <f t="shared" si="3"/>
        <v>29</v>
      </c>
      <c r="L22" s="82">
        <f t="shared" si="3"/>
        <v>0</v>
      </c>
      <c r="M22" s="82">
        <f t="shared" si="3"/>
        <v>148</v>
      </c>
      <c r="N22" s="82">
        <f t="shared" si="3"/>
        <v>184</v>
      </c>
      <c r="O22" s="82">
        <f t="shared" si="3"/>
        <v>166</v>
      </c>
      <c r="P22" s="82">
        <f t="shared" si="3"/>
        <v>86</v>
      </c>
      <c r="Q22" s="82">
        <f t="shared" si="3"/>
        <v>14.5</v>
      </c>
      <c r="R22" s="82">
        <f t="shared" si="3"/>
        <v>444.02850177777782</v>
      </c>
      <c r="S22" s="82">
        <f t="shared" si="3"/>
        <v>190.62321441037039</v>
      </c>
      <c r="T22" s="82">
        <f t="shared" si="3"/>
        <v>221.26190110666664</v>
      </c>
      <c r="U22" s="82">
        <f t="shared" si="3"/>
        <v>13.23322395851852</v>
      </c>
      <c r="V22" s="82">
        <f t="shared" si="3"/>
        <v>12.58413633777778</v>
      </c>
      <c r="W22" s="82">
        <f t="shared" si="3"/>
        <v>0.11844542666666669</v>
      </c>
      <c r="X22" s="82">
        <f t="shared" si="3"/>
        <v>174.56148288888889</v>
      </c>
      <c r="Y22" s="82">
        <f t="shared" si="3"/>
        <v>0.11684983</v>
      </c>
      <c r="Z22" s="82">
        <f t="shared" si="3"/>
        <v>0.15628943925925926</v>
      </c>
    </row>
    <row r="23" spans="1:26" ht="18.75" thickTop="1" thickBot="1">
      <c r="A23" s="85" t="s">
        <v>97</v>
      </c>
      <c r="B23" s="95" t="s">
        <v>230</v>
      </c>
      <c r="C23" s="86" t="s">
        <v>40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2</v>
      </c>
      <c r="O23" s="87">
        <v>24</v>
      </c>
      <c r="P23" s="87">
        <v>86</v>
      </c>
      <c r="Q23" s="87">
        <v>14.5</v>
      </c>
      <c r="R23" s="87">
        <v>47.069596933333337</v>
      </c>
      <c r="S23" s="87">
        <v>10.583553906666699</v>
      </c>
      <c r="T23" s="87">
        <v>3.0823128400000002</v>
      </c>
      <c r="U23" s="87">
        <v>3.7437187733333341</v>
      </c>
      <c r="V23" s="87">
        <v>11.881697760000002</v>
      </c>
      <c r="W23" s="87">
        <v>9.8445426666666683E-2</v>
      </c>
      <c r="X23" s="87">
        <v>5.3688266666666665E-2</v>
      </c>
      <c r="Y23" s="87">
        <v>0</v>
      </c>
      <c r="Z23" s="87">
        <v>6.2245309259259252E-2</v>
      </c>
    </row>
    <row r="24" spans="1:26" ht="18.75" thickTop="1" thickBot="1">
      <c r="A24" s="85" t="s">
        <v>98</v>
      </c>
      <c r="B24" s="95" t="s">
        <v>265</v>
      </c>
      <c r="C24" s="86" t="s">
        <v>40</v>
      </c>
      <c r="D24" s="87">
        <v>0</v>
      </c>
      <c r="E24" s="87">
        <v>1</v>
      </c>
      <c r="F24" s="87">
        <v>0</v>
      </c>
      <c r="G24" s="87">
        <v>1</v>
      </c>
      <c r="H24" s="87">
        <v>0</v>
      </c>
      <c r="I24" s="87">
        <v>1</v>
      </c>
      <c r="J24" s="87">
        <v>5</v>
      </c>
      <c r="K24" s="87">
        <v>29</v>
      </c>
      <c r="L24" s="87">
        <v>0</v>
      </c>
      <c r="M24" s="87">
        <v>148</v>
      </c>
      <c r="N24" s="87">
        <v>182</v>
      </c>
      <c r="O24" s="87">
        <v>142</v>
      </c>
      <c r="P24" s="87">
        <v>0</v>
      </c>
      <c r="Q24" s="87">
        <v>0</v>
      </c>
      <c r="R24" s="87">
        <v>396.95890484444448</v>
      </c>
      <c r="S24" s="87">
        <v>180.03966050370369</v>
      </c>
      <c r="T24" s="87">
        <v>218.17958826666663</v>
      </c>
      <c r="U24" s="87">
        <v>9.4895051851851857</v>
      </c>
      <c r="V24" s="87">
        <v>0.70243857777777774</v>
      </c>
      <c r="W24" s="87">
        <v>0.02</v>
      </c>
      <c r="X24" s="87">
        <v>174.50779462222224</v>
      </c>
      <c r="Y24" s="87">
        <v>0.11684983</v>
      </c>
      <c r="Z24" s="87">
        <v>9.4044130000000004E-2</v>
      </c>
    </row>
    <row r="25" spans="1:26" ht="18.75" thickTop="1" thickBot="1">
      <c r="A25" s="80" t="s">
        <v>99</v>
      </c>
      <c r="B25" s="94" t="s">
        <v>288</v>
      </c>
      <c r="C25" s="81" t="s">
        <v>53</v>
      </c>
      <c r="D25" s="82" t="s">
        <v>55</v>
      </c>
      <c r="E25" s="82" t="s">
        <v>55</v>
      </c>
      <c r="F25" s="82" t="s">
        <v>55</v>
      </c>
      <c r="G25" s="82" t="s">
        <v>55</v>
      </c>
      <c r="H25" s="82" t="s">
        <v>55</v>
      </c>
      <c r="I25" s="82" t="s">
        <v>55</v>
      </c>
      <c r="J25" s="82" t="s">
        <v>55</v>
      </c>
      <c r="K25" s="82" t="s">
        <v>55</v>
      </c>
      <c r="L25" s="82" t="s">
        <v>55</v>
      </c>
      <c r="M25" s="82" t="s">
        <v>55</v>
      </c>
      <c r="N25" s="82" t="s">
        <v>55</v>
      </c>
      <c r="O25" s="82" t="s">
        <v>55</v>
      </c>
      <c r="P25" s="82">
        <v>0</v>
      </c>
      <c r="Q25" s="82">
        <v>0.10269481481481482</v>
      </c>
      <c r="R25" s="82">
        <v>0.10196467148148149</v>
      </c>
      <c r="S25" s="82">
        <v>0.17083231000000004</v>
      </c>
      <c r="T25" s="82">
        <v>0.56886599999999998</v>
      </c>
      <c r="U25" s="82">
        <v>1.07618799</v>
      </c>
      <c r="V25" s="82">
        <v>2.8671813200000003</v>
      </c>
      <c r="W25" s="82">
        <v>2.8031476899999999</v>
      </c>
      <c r="X25" s="82">
        <v>4.269861563703703</v>
      </c>
      <c r="Y25" s="82">
        <v>6.3825002200000007</v>
      </c>
      <c r="Z25" s="82">
        <v>6.1808050899999998</v>
      </c>
    </row>
    <row r="26" spans="1:26" ht="18.75" thickTop="1" thickBot="1">
      <c r="A26" s="80">
        <v>5</v>
      </c>
      <c r="B26" s="94" t="s">
        <v>117</v>
      </c>
      <c r="C26" s="81" t="s">
        <v>40</v>
      </c>
      <c r="D26" s="82">
        <f t="shared" ref="D26:X26" si="4">SUM(D27:D28)</f>
        <v>84</v>
      </c>
      <c r="E26" s="82">
        <f t="shared" si="4"/>
        <v>148</v>
      </c>
      <c r="F26" s="82">
        <f t="shared" si="4"/>
        <v>20</v>
      </c>
      <c r="G26" s="82">
        <f t="shared" si="4"/>
        <v>19</v>
      </c>
      <c r="H26" s="82">
        <f t="shared" si="4"/>
        <v>33</v>
      </c>
      <c r="I26" s="82">
        <f t="shared" si="4"/>
        <v>37</v>
      </c>
      <c r="J26" s="82">
        <f t="shared" si="4"/>
        <v>30</v>
      </c>
      <c r="K26" s="82">
        <f t="shared" si="4"/>
        <v>29</v>
      </c>
      <c r="L26" s="82">
        <f t="shared" si="4"/>
        <v>27</v>
      </c>
      <c r="M26" s="82">
        <f t="shared" si="4"/>
        <v>24</v>
      </c>
      <c r="N26" s="82">
        <f t="shared" si="4"/>
        <v>20</v>
      </c>
      <c r="O26" s="82">
        <f t="shared" si="4"/>
        <v>19</v>
      </c>
      <c r="P26" s="82">
        <f t="shared" si="4"/>
        <v>12.708970000000001</v>
      </c>
      <c r="Q26" s="82">
        <f t="shared" si="4"/>
        <v>12.168839999999999</v>
      </c>
      <c r="R26" s="82">
        <f t="shared" si="4"/>
        <v>10.153359999999989</v>
      </c>
      <c r="S26" s="82">
        <f t="shared" si="4"/>
        <v>10.312224507402599</v>
      </c>
      <c r="T26" s="82">
        <f t="shared" si="4"/>
        <v>3.9654396571428574</v>
      </c>
      <c r="U26" s="82">
        <f t="shared" si="4"/>
        <v>8.9619391675324653</v>
      </c>
      <c r="V26" s="82">
        <f t="shared" si="4"/>
        <v>8.4996730636363669</v>
      </c>
      <c r="W26" s="82">
        <f t="shared" si="4"/>
        <v>8.1166100922077931</v>
      </c>
      <c r="X26" s="82">
        <f t="shared" si="4"/>
        <v>14.355089472727254</v>
      </c>
      <c r="Y26" s="82">
        <f t="shared" ref="Y26:Z26" si="5">SUM(Y27:Y28)</f>
        <v>15.271299999999997</v>
      </c>
      <c r="Z26" s="82">
        <f t="shared" si="5"/>
        <v>18.731056872727269</v>
      </c>
    </row>
    <row r="27" spans="1:26" ht="18.75" thickTop="1" thickBot="1">
      <c r="A27" s="70" t="s">
        <v>56</v>
      </c>
      <c r="B27" s="96" t="s">
        <v>125</v>
      </c>
      <c r="C27" s="71" t="s">
        <v>40</v>
      </c>
      <c r="D27" s="72">
        <v>11</v>
      </c>
      <c r="E27" s="72">
        <v>15</v>
      </c>
      <c r="F27" s="72">
        <v>4</v>
      </c>
      <c r="G27" s="72">
        <v>3</v>
      </c>
      <c r="H27" s="73">
        <v>5</v>
      </c>
      <c r="I27" s="73">
        <v>3</v>
      </c>
      <c r="J27" s="74">
        <v>4</v>
      </c>
      <c r="K27" s="73">
        <v>3</v>
      </c>
      <c r="L27" s="73">
        <v>3</v>
      </c>
      <c r="M27" s="73">
        <v>4</v>
      </c>
      <c r="N27" s="73">
        <v>3</v>
      </c>
      <c r="O27" s="73">
        <v>2</v>
      </c>
      <c r="P27" s="73">
        <v>2.5</v>
      </c>
      <c r="Q27" s="73">
        <v>2.5</v>
      </c>
      <c r="R27" s="73">
        <v>2.4998100000000001</v>
      </c>
      <c r="S27" s="73">
        <v>2.4595662545454542</v>
      </c>
      <c r="T27" s="73">
        <v>1.4027785428571433</v>
      </c>
      <c r="U27" s="73">
        <v>2.0468237999999999</v>
      </c>
      <c r="V27" s="73">
        <v>1.4242489272727272</v>
      </c>
      <c r="W27" s="73">
        <v>1.8214043636363635</v>
      </c>
      <c r="X27" s="73">
        <v>2.4273204545454545</v>
      </c>
      <c r="Y27" s="183">
        <v>2.6773693272727268</v>
      </c>
      <c r="Z27" s="183">
        <v>3.246345618181818</v>
      </c>
    </row>
    <row r="28" spans="1:26" ht="18.75" thickTop="1" thickBot="1">
      <c r="A28" s="70" t="s">
        <v>57</v>
      </c>
      <c r="B28" s="96" t="s">
        <v>126</v>
      </c>
      <c r="C28" s="71" t="s">
        <v>40</v>
      </c>
      <c r="D28" s="72">
        <v>73</v>
      </c>
      <c r="E28" s="72">
        <v>133</v>
      </c>
      <c r="F28" s="72">
        <v>16</v>
      </c>
      <c r="G28" s="72">
        <v>16</v>
      </c>
      <c r="H28" s="73">
        <v>28</v>
      </c>
      <c r="I28" s="73">
        <v>34</v>
      </c>
      <c r="J28" s="74">
        <v>26</v>
      </c>
      <c r="K28" s="73">
        <v>26</v>
      </c>
      <c r="L28" s="73">
        <v>24</v>
      </c>
      <c r="M28" s="73">
        <v>20</v>
      </c>
      <c r="N28" s="73">
        <v>17</v>
      </c>
      <c r="O28" s="73">
        <v>17</v>
      </c>
      <c r="P28" s="73">
        <v>10.208970000000001</v>
      </c>
      <c r="Q28" s="73">
        <v>9.6688399999999994</v>
      </c>
      <c r="R28" s="73">
        <v>7.6535499999999876</v>
      </c>
      <c r="S28" s="73">
        <v>7.8526582528571449</v>
      </c>
      <c r="T28" s="73">
        <v>2.5626611142857141</v>
      </c>
      <c r="U28" s="73">
        <v>6.915115367532465</v>
      </c>
      <c r="V28" s="73">
        <v>7.0754241363636394</v>
      </c>
      <c r="W28" s="73">
        <v>6.29520572857143</v>
      </c>
      <c r="X28" s="73">
        <v>11.927769018181801</v>
      </c>
      <c r="Y28" s="183">
        <v>12.59393067272727</v>
      </c>
      <c r="Z28" s="183">
        <v>15.48471125454545</v>
      </c>
    </row>
    <row r="29" spans="1:26" ht="18.75" thickTop="1" thickBot="1">
      <c r="A29" s="70" t="s">
        <v>64</v>
      </c>
      <c r="B29" s="96" t="s">
        <v>155</v>
      </c>
      <c r="C29" s="71" t="s">
        <v>40</v>
      </c>
      <c r="D29" s="72">
        <v>0</v>
      </c>
      <c r="E29" s="72">
        <v>0</v>
      </c>
      <c r="F29" s="72">
        <v>0</v>
      </c>
      <c r="G29" s="72">
        <v>0</v>
      </c>
      <c r="H29" s="73">
        <v>9</v>
      </c>
      <c r="I29" s="73">
        <v>0</v>
      </c>
      <c r="J29" s="74">
        <v>19</v>
      </c>
      <c r="K29" s="73">
        <v>26</v>
      </c>
      <c r="L29" s="73">
        <v>24</v>
      </c>
      <c r="M29" s="73">
        <v>20</v>
      </c>
      <c r="N29" s="73">
        <v>17</v>
      </c>
      <c r="O29" s="73">
        <v>17</v>
      </c>
      <c r="P29" s="73">
        <v>5.7076000000000002</v>
      </c>
      <c r="Q29" s="73">
        <v>4.8877971000000002</v>
      </c>
      <c r="R29" s="73">
        <v>7.5350999999999875</v>
      </c>
      <c r="S29" s="73">
        <v>7.7507839428571446</v>
      </c>
      <c r="T29" s="73">
        <v>2.5626611142857141</v>
      </c>
      <c r="U29" s="73">
        <v>6.7767949857142833</v>
      </c>
      <c r="V29" s="73">
        <v>6.9789379000000027</v>
      </c>
      <c r="W29" s="73">
        <v>5.7477235285714299</v>
      </c>
      <c r="X29" s="73">
        <v>11.607652709090916</v>
      </c>
      <c r="Y29" s="183">
        <v>12.257899327272726</v>
      </c>
      <c r="Z29" s="183">
        <v>6.3306458545454527</v>
      </c>
    </row>
    <row r="30" spans="1:26" ht="18.75" thickTop="1" thickBot="1">
      <c r="A30" s="80">
        <v>6</v>
      </c>
      <c r="B30" s="94" t="s">
        <v>263</v>
      </c>
      <c r="C30" s="81" t="s">
        <v>40</v>
      </c>
      <c r="D30" s="82">
        <f t="shared" ref="D30:Z30" si="6">+D31+D35+D39+D41</f>
        <v>12</v>
      </c>
      <c r="E30" s="82">
        <f t="shared" si="6"/>
        <v>11</v>
      </c>
      <c r="F30" s="82">
        <f t="shared" si="6"/>
        <v>16</v>
      </c>
      <c r="G30" s="82">
        <f t="shared" si="6"/>
        <v>19</v>
      </c>
      <c r="H30" s="82">
        <f t="shared" si="6"/>
        <v>19</v>
      </c>
      <c r="I30" s="82">
        <f t="shared" si="6"/>
        <v>25</v>
      </c>
      <c r="J30" s="82">
        <f t="shared" si="6"/>
        <v>72</v>
      </c>
      <c r="K30" s="82">
        <f t="shared" si="6"/>
        <v>34</v>
      </c>
      <c r="L30" s="82">
        <f t="shared" si="6"/>
        <v>37</v>
      </c>
      <c r="M30" s="82">
        <f t="shared" si="6"/>
        <v>37</v>
      </c>
      <c r="N30" s="82">
        <f t="shared" si="6"/>
        <v>44</v>
      </c>
      <c r="O30" s="82">
        <f t="shared" si="6"/>
        <v>58</v>
      </c>
      <c r="P30" s="82">
        <f t="shared" si="6"/>
        <v>33.747984903999999</v>
      </c>
      <c r="Q30" s="82">
        <f t="shared" si="6"/>
        <v>47.408382079999996</v>
      </c>
      <c r="R30" s="82">
        <f t="shared" si="6"/>
        <v>49.112539840303036</v>
      </c>
      <c r="S30" s="82">
        <f t="shared" si="6"/>
        <v>47.980872634123529</v>
      </c>
      <c r="T30" s="82">
        <f t="shared" si="6"/>
        <v>45.105224525541729</v>
      </c>
      <c r="U30" s="82">
        <f t="shared" si="6"/>
        <v>45.559490500607289</v>
      </c>
      <c r="V30" s="82">
        <f t="shared" si="6"/>
        <v>45.748339955195704</v>
      </c>
      <c r="W30" s="82">
        <f t="shared" si="6"/>
        <v>44.205270762638833</v>
      </c>
      <c r="X30" s="82">
        <f>+X31+X35+X39+X41</f>
        <v>49.248479622082655</v>
      </c>
      <c r="Y30" s="82">
        <f t="shared" si="6"/>
        <v>71.873805271428623</v>
      </c>
      <c r="Z30" s="82">
        <f t="shared" si="6"/>
        <v>67.901251984415609</v>
      </c>
    </row>
    <row r="31" spans="1:26" ht="18.75" thickTop="1" thickBot="1">
      <c r="A31" s="85">
        <v>6.1</v>
      </c>
      <c r="B31" s="95" t="s">
        <v>217</v>
      </c>
      <c r="C31" s="86" t="s">
        <v>40</v>
      </c>
      <c r="D31" s="87">
        <f t="shared" ref="D31:S31" si="7">SUM(D32:D33)</f>
        <v>0</v>
      </c>
      <c r="E31" s="87">
        <f t="shared" si="7"/>
        <v>0</v>
      </c>
      <c r="F31" s="87">
        <f t="shared" si="7"/>
        <v>0</v>
      </c>
      <c r="G31" s="87">
        <f t="shared" si="7"/>
        <v>0</v>
      </c>
      <c r="H31" s="87">
        <f t="shared" si="7"/>
        <v>0</v>
      </c>
      <c r="I31" s="87">
        <f t="shared" si="7"/>
        <v>0</v>
      </c>
      <c r="J31" s="87">
        <f t="shared" si="7"/>
        <v>0</v>
      </c>
      <c r="K31" s="87">
        <f t="shared" si="7"/>
        <v>0</v>
      </c>
      <c r="L31" s="87">
        <f t="shared" si="7"/>
        <v>0</v>
      </c>
      <c r="M31" s="87">
        <f t="shared" si="7"/>
        <v>0</v>
      </c>
      <c r="N31" s="87">
        <f t="shared" si="7"/>
        <v>1</v>
      </c>
      <c r="O31" s="87">
        <f t="shared" si="7"/>
        <v>1</v>
      </c>
      <c r="P31" s="87">
        <f t="shared" si="7"/>
        <v>3.7287873999999999E-2</v>
      </c>
      <c r="Q31" s="87">
        <f t="shared" si="7"/>
        <v>4.8187600000000004E-2</v>
      </c>
      <c r="R31" s="87">
        <f t="shared" si="7"/>
        <v>2.6718680000000033E-2</v>
      </c>
      <c r="S31" s="87">
        <f t="shared" si="7"/>
        <v>2.3500905641025641E-2</v>
      </c>
      <c r="T31" s="87">
        <v>2.8815082051282057E-2</v>
      </c>
      <c r="U31" s="87">
        <v>2.9609555897435899E-2</v>
      </c>
      <c r="V31" s="87">
        <f>V32+V33</f>
        <v>4.5490367179487172E-2</v>
      </c>
      <c r="W31" s="87">
        <f>W32+W33</f>
        <v>9.9134092307692281E-3</v>
      </c>
      <c r="X31" s="87">
        <f>X32+X33</f>
        <v>1.9997260512820515E-2</v>
      </c>
      <c r="Y31" s="87">
        <f t="shared" ref="Y31:Z31" si="8">SUM(Y32:Y33)</f>
        <v>1.1949654545454545E-2</v>
      </c>
      <c r="Z31" s="87">
        <f t="shared" si="8"/>
        <v>5.4150109090909136E-2</v>
      </c>
    </row>
    <row r="32" spans="1:26" ht="18.75" thickTop="1" thickBot="1">
      <c r="A32" s="70" t="s">
        <v>20</v>
      </c>
      <c r="B32" s="96" t="s">
        <v>125</v>
      </c>
      <c r="C32" s="71" t="s">
        <v>40</v>
      </c>
      <c r="D32" s="72">
        <v>0</v>
      </c>
      <c r="E32" s="72">
        <v>0</v>
      </c>
      <c r="F32" s="72">
        <v>0</v>
      </c>
      <c r="G32" s="72">
        <v>0</v>
      </c>
      <c r="H32" s="73">
        <v>0</v>
      </c>
      <c r="I32" s="73">
        <v>0</v>
      </c>
      <c r="J32" s="72">
        <v>0</v>
      </c>
      <c r="K32" s="73">
        <v>0</v>
      </c>
      <c r="L32" s="73">
        <v>0</v>
      </c>
      <c r="M32" s="73">
        <v>0</v>
      </c>
      <c r="N32" s="73">
        <v>1</v>
      </c>
      <c r="O32" s="73">
        <v>1</v>
      </c>
      <c r="P32" s="73">
        <v>1.6217400000000001E-4</v>
      </c>
      <c r="Q32" s="73">
        <v>3.457E-3</v>
      </c>
      <c r="R32" s="73">
        <v>1.2416E-3</v>
      </c>
      <c r="S32" s="73">
        <v>7.2009230769230759E-4</v>
      </c>
      <c r="T32" s="73">
        <v>1.1858153846153847E-3</v>
      </c>
      <c r="U32" s="73">
        <v>2.8933692307692308E-3</v>
      </c>
      <c r="V32" s="73">
        <v>4.0935384615384615E-4</v>
      </c>
      <c r="W32" s="73">
        <v>9.9369230769230782E-5</v>
      </c>
      <c r="X32" s="73">
        <v>6.3675384615384609E-4</v>
      </c>
      <c r="Y32" s="183">
        <v>3.2290909090909088E-4</v>
      </c>
      <c r="Z32" s="183">
        <v>1.4614545454545453E-4</v>
      </c>
    </row>
    <row r="33" spans="1:26" ht="18.75" thickTop="1" thickBot="1">
      <c r="A33" s="70" t="s">
        <v>21</v>
      </c>
      <c r="B33" s="96" t="s">
        <v>126</v>
      </c>
      <c r="C33" s="71" t="s">
        <v>40</v>
      </c>
      <c r="D33" s="72">
        <v>0</v>
      </c>
      <c r="E33" s="72">
        <v>0</v>
      </c>
      <c r="F33" s="72">
        <v>0</v>
      </c>
      <c r="G33" s="72">
        <v>0</v>
      </c>
      <c r="H33" s="73">
        <v>0</v>
      </c>
      <c r="I33" s="73">
        <v>0</v>
      </c>
      <c r="J33" s="72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3.7125699999999998E-2</v>
      </c>
      <c r="Q33" s="73">
        <v>4.4730600000000002E-2</v>
      </c>
      <c r="R33" s="73">
        <v>2.5477080000000034E-2</v>
      </c>
      <c r="S33" s="73">
        <f>S34+0.0146</f>
        <v>2.2780813333333334E-2</v>
      </c>
      <c r="T33" s="73">
        <v>2.7629266666666673E-2</v>
      </c>
      <c r="U33" s="73">
        <v>2.6716186666666666E-2</v>
      </c>
      <c r="V33" s="73">
        <v>4.5081013333333322E-2</v>
      </c>
      <c r="W33" s="73">
        <v>9.8140399999999978E-3</v>
      </c>
      <c r="X33" s="73">
        <v>1.9360506666666669E-2</v>
      </c>
      <c r="Y33" s="183">
        <v>1.1626745454545454E-2</v>
      </c>
      <c r="Z33" s="183">
        <v>5.4003963636363679E-2</v>
      </c>
    </row>
    <row r="34" spans="1:26" ht="18.75" thickTop="1" thickBot="1">
      <c r="A34" s="70" t="s">
        <v>65</v>
      </c>
      <c r="B34" s="96" t="s">
        <v>155</v>
      </c>
      <c r="C34" s="71" t="s">
        <v>40</v>
      </c>
      <c r="D34" s="72">
        <v>0</v>
      </c>
      <c r="E34" s="72">
        <v>0</v>
      </c>
      <c r="F34" s="72">
        <v>0</v>
      </c>
      <c r="G34" s="72">
        <v>0</v>
      </c>
      <c r="H34" s="73">
        <v>0</v>
      </c>
      <c r="I34" s="73">
        <v>0</v>
      </c>
      <c r="J34" s="72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8.2140000000000002E-4</v>
      </c>
      <c r="Q34" s="73">
        <v>1.4347520000000001E-2</v>
      </c>
      <c r="R34" s="73">
        <v>1.0897333333333332E-2</v>
      </c>
      <c r="S34" s="73">
        <v>8.1808133333333335E-3</v>
      </c>
      <c r="T34" s="73">
        <v>2.7629266666666673E-2</v>
      </c>
      <c r="U34" s="73">
        <v>2.6716186666666666E-2</v>
      </c>
      <c r="V34" s="73">
        <v>4.5081013333333322E-2</v>
      </c>
      <c r="W34" s="73">
        <v>9.8140399999999978E-3</v>
      </c>
      <c r="X34" s="73">
        <v>1.6323226666666669E-2</v>
      </c>
      <c r="Y34" s="183">
        <v>2.1429454545454549E-3</v>
      </c>
      <c r="Z34" s="183">
        <v>2.0816181818181798E-3</v>
      </c>
    </row>
    <row r="35" spans="1:26" ht="18.75" thickTop="1" thickBot="1">
      <c r="A35" s="85">
        <v>6.2</v>
      </c>
      <c r="B35" s="95" t="s">
        <v>128</v>
      </c>
      <c r="C35" s="86" t="s">
        <v>40</v>
      </c>
      <c r="D35" s="87">
        <f t="shared" ref="D35:R35" si="9">SUM(D36:D37)</f>
        <v>0</v>
      </c>
      <c r="E35" s="87">
        <f t="shared" si="9"/>
        <v>0</v>
      </c>
      <c r="F35" s="87">
        <f t="shared" si="9"/>
        <v>5</v>
      </c>
      <c r="G35" s="87">
        <f t="shared" si="9"/>
        <v>4</v>
      </c>
      <c r="H35" s="87">
        <f t="shared" si="9"/>
        <v>5</v>
      </c>
      <c r="I35" s="87">
        <f t="shared" si="9"/>
        <v>8</v>
      </c>
      <c r="J35" s="87">
        <f t="shared" si="9"/>
        <v>8</v>
      </c>
      <c r="K35" s="87">
        <f t="shared" si="9"/>
        <v>5</v>
      </c>
      <c r="L35" s="87">
        <f t="shared" si="9"/>
        <v>4</v>
      </c>
      <c r="M35" s="87">
        <f t="shared" si="9"/>
        <v>6</v>
      </c>
      <c r="N35" s="87">
        <f t="shared" si="9"/>
        <v>6</v>
      </c>
      <c r="O35" s="87">
        <f t="shared" si="9"/>
        <v>9</v>
      </c>
      <c r="P35" s="87">
        <f t="shared" si="9"/>
        <v>2.3995100300000001</v>
      </c>
      <c r="Q35" s="87">
        <f t="shared" si="9"/>
        <v>7.6638479999999998</v>
      </c>
      <c r="R35" s="87">
        <f t="shared" si="9"/>
        <v>9.4086319636363651</v>
      </c>
      <c r="S35" s="87">
        <f>S36+S37</f>
        <v>9.8389371346363639</v>
      </c>
      <c r="T35" s="87">
        <v>8.5950227230769229</v>
      </c>
      <c r="U35" s="87">
        <v>5.1158949076923079</v>
      </c>
      <c r="V35" s="87">
        <f>V36+V37</f>
        <v>7.4169022153846162</v>
      </c>
      <c r="W35" s="87">
        <f>W36+W37</f>
        <v>6.6532080769230788</v>
      </c>
      <c r="X35" s="87">
        <f>X36+X37</f>
        <v>10.182506461538463</v>
      </c>
      <c r="Y35" s="87">
        <v>12.166469657142862</v>
      </c>
      <c r="Z35" s="87">
        <v>12.166469657142862</v>
      </c>
    </row>
    <row r="36" spans="1:26" ht="18.75" thickTop="1" thickBot="1">
      <c r="A36" s="70" t="s">
        <v>22</v>
      </c>
      <c r="B36" s="96" t="s">
        <v>125</v>
      </c>
      <c r="C36" s="71" t="s">
        <v>40</v>
      </c>
      <c r="D36" s="72">
        <v>0</v>
      </c>
      <c r="E36" s="72">
        <v>0</v>
      </c>
      <c r="F36" s="72">
        <v>1</v>
      </c>
      <c r="G36" s="72">
        <v>1</v>
      </c>
      <c r="H36" s="72">
        <v>1</v>
      </c>
      <c r="I36" s="72">
        <v>3</v>
      </c>
      <c r="J36" s="72">
        <v>2</v>
      </c>
      <c r="K36" s="72">
        <v>0</v>
      </c>
      <c r="L36" s="72">
        <v>4</v>
      </c>
      <c r="M36" s="72">
        <v>3</v>
      </c>
      <c r="N36" s="72">
        <v>3</v>
      </c>
      <c r="O36" s="72">
        <v>5</v>
      </c>
      <c r="P36" s="72">
        <v>0.53391303000000001</v>
      </c>
      <c r="Q36" s="72">
        <v>4.7880000000000003</v>
      </c>
      <c r="R36" s="72">
        <v>6.4681513999999991</v>
      </c>
      <c r="S36" s="72">
        <v>4.3230561636363625</v>
      </c>
      <c r="T36" s="72">
        <v>4.945905830769231</v>
      </c>
      <c r="U36" s="72">
        <v>3.755135276923077</v>
      </c>
      <c r="V36" s="72">
        <v>5.4819318000000008</v>
      </c>
      <c r="W36" s="72">
        <v>4.7859608307692323</v>
      </c>
      <c r="X36" s="72">
        <v>5.590745353846156</v>
      </c>
      <c r="Y36" s="72">
        <v>5.8620166428571467</v>
      </c>
      <c r="Z36" s="72">
        <v>8.5734644714285739</v>
      </c>
    </row>
    <row r="37" spans="1:26" ht="18.75" thickTop="1" thickBot="1">
      <c r="A37" s="70" t="s">
        <v>23</v>
      </c>
      <c r="B37" s="96" t="s">
        <v>126</v>
      </c>
      <c r="C37" s="71" t="s">
        <v>40</v>
      </c>
      <c r="D37" s="72">
        <v>0</v>
      </c>
      <c r="E37" s="72">
        <v>0</v>
      </c>
      <c r="F37" s="72">
        <v>4</v>
      </c>
      <c r="G37" s="72">
        <v>3</v>
      </c>
      <c r="H37" s="72">
        <v>4</v>
      </c>
      <c r="I37" s="72">
        <v>5</v>
      </c>
      <c r="J37" s="72">
        <v>6</v>
      </c>
      <c r="K37" s="72">
        <v>5</v>
      </c>
      <c r="L37" s="72">
        <v>0</v>
      </c>
      <c r="M37" s="72">
        <v>3</v>
      </c>
      <c r="N37" s="72">
        <v>3</v>
      </c>
      <c r="O37" s="72">
        <v>4</v>
      </c>
      <c r="P37" s="72">
        <v>1.8655969999999999</v>
      </c>
      <c r="Q37" s="72">
        <v>2.875848</v>
      </c>
      <c r="R37" s="72">
        <v>2.940480563636366</v>
      </c>
      <c r="S37" s="72">
        <f>1.0663046+3.99449442+S38</f>
        <v>5.5158809710000005</v>
      </c>
      <c r="T37" s="72">
        <v>3.6491168923076929</v>
      </c>
      <c r="U37" s="72">
        <v>1.3607596307692307</v>
      </c>
      <c r="V37" s="72">
        <v>1.9349704153846152</v>
      </c>
      <c r="W37" s="72">
        <v>1.8672472461538461</v>
      </c>
      <c r="X37" s="72">
        <v>4.5917611076923066</v>
      </c>
      <c r="Y37" s="72">
        <v>6.3044530142857145</v>
      </c>
      <c r="Z37" s="72">
        <v>4.96630067142857</v>
      </c>
    </row>
    <row r="38" spans="1:26" ht="18.75" thickTop="1" thickBot="1">
      <c r="A38" s="75" t="s">
        <v>66</v>
      </c>
      <c r="B38" s="96" t="s">
        <v>155</v>
      </c>
      <c r="C38" s="71" t="s">
        <v>40</v>
      </c>
      <c r="D38" s="72">
        <v>0</v>
      </c>
      <c r="E38" s="72">
        <v>0</v>
      </c>
      <c r="F38" s="72">
        <v>2</v>
      </c>
      <c r="G38" s="72">
        <v>1</v>
      </c>
      <c r="H38" s="72">
        <v>3</v>
      </c>
      <c r="I38" s="72">
        <v>0</v>
      </c>
      <c r="J38" s="72">
        <v>6</v>
      </c>
      <c r="K38" s="72">
        <v>5</v>
      </c>
      <c r="L38" s="72">
        <v>0</v>
      </c>
      <c r="M38" s="72">
        <v>3</v>
      </c>
      <c r="N38" s="72">
        <v>3</v>
      </c>
      <c r="O38" s="72">
        <v>4</v>
      </c>
      <c r="P38" s="72">
        <v>0.22026961</v>
      </c>
      <c r="Q38" s="72">
        <v>0.13977999999999999</v>
      </c>
      <c r="R38" s="72">
        <v>1.840344945454546</v>
      </c>
      <c r="S38" s="72">
        <f>0.18786913+0.219340091+0.04787273</f>
        <v>0.45508195100000004</v>
      </c>
      <c r="T38" s="72">
        <v>2.1991700461538466</v>
      </c>
      <c r="U38" s="72">
        <v>0.72529356923076915</v>
      </c>
      <c r="V38" s="72">
        <v>0.76373184615384582</v>
      </c>
      <c r="W38" s="72">
        <v>0.88645049230769235</v>
      </c>
      <c r="X38" s="72">
        <v>2.5412752769230775</v>
      </c>
      <c r="Y38" s="72">
        <v>2.022435771428571</v>
      </c>
      <c r="Z38" s="72">
        <v>1.8326232142857146</v>
      </c>
    </row>
    <row r="39" spans="1:26" ht="33" thickTop="1" thickBot="1">
      <c r="A39" s="85">
        <v>6.3</v>
      </c>
      <c r="B39" s="95" t="s">
        <v>282</v>
      </c>
      <c r="C39" s="86" t="s">
        <v>40</v>
      </c>
      <c r="D39" s="87">
        <f t="shared" ref="D39:R39" si="10">+D40</f>
        <v>4</v>
      </c>
      <c r="E39" s="87">
        <f t="shared" si="10"/>
        <v>4</v>
      </c>
      <c r="F39" s="87">
        <f t="shared" si="10"/>
        <v>3</v>
      </c>
      <c r="G39" s="87">
        <f t="shared" si="10"/>
        <v>7</v>
      </c>
      <c r="H39" s="87">
        <f t="shared" si="10"/>
        <v>6</v>
      </c>
      <c r="I39" s="87">
        <f t="shared" si="10"/>
        <v>2</v>
      </c>
      <c r="J39" s="87">
        <f t="shared" si="10"/>
        <v>0</v>
      </c>
      <c r="K39" s="87">
        <f t="shared" si="10"/>
        <v>9</v>
      </c>
      <c r="L39" s="87">
        <f t="shared" si="10"/>
        <v>5</v>
      </c>
      <c r="M39" s="87">
        <f t="shared" si="10"/>
        <v>5</v>
      </c>
      <c r="N39" s="87">
        <f t="shared" si="10"/>
        <v>4</v>
      </c>
      <c r="O39" s="87">
        <f t="shared" si="10"/>
        <v>8</v>
      </c>
      <c r="P39" s="87">
        <f t="shared" si="10"/>
        <v>8</v>
      </c>
      <c r="Q39" s="87">
        <f t="shared" si="10"/>
        <v>9</v>
      </c>
      <c r="R39" s="87">
        <f t="shared" si="10"/>
        <v>9.4497675166666664</v>
      </c>
      <c r="S39" s="87">
        <f>S40</f>
        <v>6.9058849538461544</v>
      </c>
      <c r="T39" s="87">
        <v>7.8984638285714253</v>
      </c>
      <c r="U39" s="87">
        <v>9.9510497999999981</v>
      </c>
      <c r="V39" s="87">
        <f>V40</f>
        <v>7.8861468000000015</v>
      </c>
      <c r="W39" s="87">
        <f>W40</f>
        <v>6.7898007571428591</v>
      </c>
      <c r="X39" s="87">
        <f>X40</f>
        <v>7.0205046142857173</v>
      </c>
      <c r="Y39" s="87">
        <f t="shared" ref="Y39" si="11">Y40</f>
        <v>9.4387747090909073</v>
      </c>
      <c r="Z39" s="87">
        <v>6.4165297636363627</v>
      </c>
    </row>
    <row r="40" spans="1:26" ht="18.75" thickTop="1" thickBot="1">
      <c r="A40" s="70" t="s">
        <v>24</v>
      </c>
      <c r="B40" s="96" t="s">
        <v>193</v>
      </c>
      <c r="C40" s="71" t="s">
        <v>40</v>
      </c>
      <c r="D40" s="72">
        <v>4</v>
      </c>
      <c r="E40" s="72">
        <v>4</v>
      </c>
      <c r="F40" s="72">
        <v>3</v>
      </c>
      <c r="G40" s="72">
        <v>7</v>
      </c>
      <c r="H40" s="72">
        <v>6</v>
      </c>
      <c r="I40" s="72">
        <v>2</v>
      </c>
      <c r="J40" s="72">
        <v>0</v>
      </c>
      <c r="K40" s="72">
        <v>9</v>
      </c>
      <c r="L40" s="72">
        <v>5</v>
      </c>
      <c r="M40" s="72">
        <v>5</v>
      </c>
      <c r="N40" s="72">
        <v>4</v>
      </c>
      <c r="O40" s="72">
        <v>8</v>
      </c>
      <c r="P40" s="72">
        <v>8</v>
      </c>
      <c r="Q40" s="72">
        <v>9</v>
      </c>
      <c r="R40" s="72">
        <v>9.4497675166666664</v>
      </c>
      <c r="S40" s="72">
        <v>6.9058849538461544</v>
      </c>
      <c r="T40" s="72">
        <v>7.8984638285714253</v>
      </c>
      <c r="U40" s="72">
        <v>9.9510497999999981</v>
      </c>
      <c r="V40" s="72">
        <v>7.8861468000000015</v>
      </c>
      <c r="W40" s="72">
        <v>6.7898007571428591</v>
      </c>
      <c r="X40" s="72">
        <v>7.0205046142857173</v>
      </c>
      <c r="Y40" s="72">
        <v>9.4387747090909073</v>
      </c>
      <c r="Z40" s="72">
        <v>6.4165297636363627</v>
      </c>
    </row>
    <row r="41" spans="1:26" ht="18.75" thickTop="1" thickBot="1">
      <c r="A41" s="85">
        <v>6.4</v>
      </c>
      <c r="B41" s="95" t="s">
        <v>129</v>
      </c>
      <c r="C41" s="86" t="s">
        <v>40</v>
      </c>
      <c r="D41" s="87">
        <f t="shared" ref="D41:R41" si="12">SUM(D42:D44)</f>
        <v>8</v>
      </c>
      <c r="E41" s="87">
        <f t="shared" si="12"/>
        <v>7</v>
      </c>
      <c r="F41" s="87">
        <f t="shared" si="12"/>
        <v>8</v>
      </c>
      <c r="G41" s="87">
        <f t="shared" si="12"/>
        <v>8</v>
      </c>
      <c r="H41" s="87">
        <f t="shared" si="12"/>
        <v>8</v>
      </c>
      <c r="I41" s="87">
        <f t="shared" si="12"/>
        <v>15</v>
      </c>
      <c r="J41" s="87">
        <f t="shared" si="12"/>
        <v>64</v>
      </c>
      <c r="K41" s="87">
        <f t="shared" si="12"/>
        <v>20</v>
      </c>
      <c r="L41" s="87">
        <f t="shared" si="12"/>
        <v>28</v>
      </c>
      <c r="M41" s="87">
        <f t="shared" si="12"/>
        <v>26</v>
      </c>
      <c r="N41" s="87">
        <f t="shared" si="12"/>
        <v>33</v>
      </c>
      <c r="O41" s="87">
        <f t="shared" si="12"/>
        <v>40</v>
      </c>
      <c r="P41" s="87">
        <f t="shared" si="12"/>
        <v>23.311187</v>
      </c>
      <c r="Q41" s="87">
        <f t="shared" si="12"/>
        <v>30.696346479999999</v>
      </c>
      <c r="R41" s="87">
        <f t="shared" si="12"/>
        <v>30.227421680000006</v>
      </c>
      <c r="S41" s="87">
        <f>S42+S43+S44</f>
        <v>31.212549639999981</v>
      </c>
      <c r="T41" s="87">
        <v>28.582922891842095</v>
      </c>
      <c r="U41" s="87">
        <f>U42+U43+U44</f>
        <v>30.462936237017548</v>
      </c>
      <c r="V41" s="87">
        <f>V42+V43+V44</f>
        <v>30.399800572631598</v>
      </c>
      <c r="W41" s="87">
        <f>W42+W43+W44</f>
        <v>30.752348519342121</v>
      </c>
      <c r="X41" s="87">
        <f>X42+X43+X44</f>
        <v>32.025471285745652</v>
      </c>
      <c r="Y41" s="87">
        <f>SUM(Y42:Y44)</f>
        <v>50.256611250649399</v>
      </c>
      <c r="Z41" s="87">
        <f>SUM(Z42:Z44)</f>
        <v>49.26410245454548</v>
      </c>
    </row>
    <row r="42" spans="1:26" ht="18.75" thickTop="1" thickBot="1">
      <c r="A42" s="70" t="s">
        <v>25</v>
      </c>
      <c r="B42" s="96" t="s">
        <v>232</v>
      </c>
      <c r="C42" s="71" t="s">
        <v>40</v>
      </c>
      <c r="D42" s="72">
        <v>3</v>
      </c>
      <c r="E42" s="72">
        <v>3</v>
      </c>
      <c r="F42" s="72">
        <v>3</v>
      </c>
      <c r="G42" s="72">
        <v>3</v>
      </c>
      <c r="H42" s="73">
        <v>3</v>
      </c>
      <c r="I42" s="73">
        <v>4</v>
      </c>
      <c r="J42" s="72">
        <v>4</v>
      </c>
      <c r="K42" s="73">
        <v>10</v>
      </c>
      <c r="L42" s="73">
        <v>3</v>
      </c>
      <c r="M42" s="73">
        <v>3</v>
      </c>
      <c r="N42" s="73">
        <v>3</v>
      </c>
      <c r="O42" s="73">
        <v>5</v>
      </c>
      <c r="P42" s="73">
        <v>4.3204010000000004</v>
      </c>
      <c r="Q42" s="73">
        <v>5.9709483199999998</v>
      </c>
      <c r="R42" s="73">
        <v>5.9004236666666667</v>
      </c>
      <c r="S42" s="73">
        <v>3.3669527466666702</v>
      </c>
      <c r="T42" s="73">
        <v>2.032710936842105</v>
      </c>
      <c r="U42" s="73">
        <v>1.9364724736842105</v>
      </c>
      <c r="V42" s="73">
        <v>1.6826136526315787</v>
      </c>
      <c r="W42" s="73">
        <v>1.5414171368421055</v>
      </c>
      <c r="X42" s="73">
        <v>1.2195456315789475</v>
      </c>
      <c r="Y42" s="183">
        <v>1.8562010142857142</v>
      </c>
      <c r="Z42" s="183">
        <v>1.5012530000000002</v>
      </c>
    </row>
    <row r="43" spans="1:26" ht="18.75" thickTop="1" thickBot="1">
      <c r="A43" s="70" t="s">
        <v>26</v>
      </c>
      <c r="B43" s="96" t="s">
        <v>130</v>
      </c>
      <c r="C43" s="71" t="s">
        <v>40</v>
      </c>
      <c r="D43" s="72">
        <v>5</v>
      </c>
      <c r="E43" s="72">
        <v>4</v>
      </c>
      <c r="F43" s="72">
        <v>0</v>
      </c>
      <c r="G43" s="72">
        <v>5</v>
      </c>
      <c r="H43" s="73">
        <v>5</v>
      </c>
      <c r="I43" s="73">
        <v>11</v>
      </c>
      <c r="J43" s="72">
        <v>14</v>
      </c>
      <c r="K43" s="73">
        <v>0</v>
      </c>
      <c r="L43" s="73">
        <v>24</v>
      </c>
      <c r="M43" s="73">
        <v>23</v>
      </c>
      <c r="N43" s="73">
        <v>30</v>
      </c>
      <c r="O43" s="73">
        <v>35</v>
      </c>
      <c r="P43" s="73">
        <v>18.881862000000002</v>
      </c>
      <c r="Q43" s="73">
        <v>24.455576359999998</v>
      </c>
      <c r="R43" s="73">
        <v>24.251005133333337</v>
      </c>
      <c r="S43" s="73">
        <v>27.583792853333311</v>
      </c>
      <c r="T43" s="73">
        <v>26.23750107499999</v>
      </c>
      <c r="U43" s="73">
        <v>28.176163350000003</v>
      </c>
      <c r="V43" s="73">
        <v>28.423441200000021</v>
      </c>
      <c r="W43" s="73">
        <v>28.985298062500014</v>
      </c>
      <c r="X43" s="73">
        <v>30.674774387500033</v>
      </c>
      <c r="Y43" s="183">
        <v>48.117748800000044</v>
      </c>
      <c r="Z43" s="183">
        <v>47.267297690909118</v>
      </c>
    </row>
    <row r="44" spans="1:26" ht="18.75" thickTop="1" thickBot="1">
      <c r="A44" s="70" t="s">
        <v>27</v>
      </c>
      <c r="B44" s="96" t="s">
        <v>160</v>
      </c>
      <c r="C44" s="71" t="s">
        <v>40</v>
      </c>
      <c r="D44" s="72">
        <v>0</v>
      </c>
      <c r="E44" s="72">
        <v>0</v>
      </c>
      <c r="F44" s="72">
        <v>5</v>
      </c>
      <c r="G44" s="72">
        <v>0</v>
      </c>
      <c r="H44" s="73">
        <v>0</v>
      </c>
      <c r="I44" s="73">
        <v>0</v>
      </c>
      <c r="J44" s="72">
        <v>46</v>
      </c>
      <c r="K44" s="73">
        <v>10</v>
      </c>
      <c r="L44" s="73">
        <v>1</v>
      </c>
      <c r="M44" s="73">
        <v>0</v>
      </c>
      <c r="N44" s="73">
        <v>0</v>
      </c>
      <c r="O44" s="73">
        <v>0</v>
      </c>
      <c r="P44" s="73">
        <v>0.10892400000000001</v>
      </c>
      <c r="Q44" s="73">
        <v>0.2698218</v>
      </c>
      <c r="R44" s="73">
        <v>7.5992879999999999E-2</v>
      </c>
      <c r="S44" s="73">
        <v>0.26180403999999996</v>
      </c>
      <c r="T44" s="73">
        <v>0.31271087999999997</v>
      </c>
      <c r="U44" s="73">
        <v>0.35030041333333339</v>
      </c>
      <c r="V44" s="73">
        <v>0.29374571999999999</v>
      </c>
      <c r="W44" s="73">
        <v>0.22563332</v>
      </c>
      <c r="X44" s="73">
        <v>0.13115126666666665</v>
      </c>
      <c r="Y44" s="183">
        <v>0.28266143636363639</v>
      </c>
      <c r="Z44" s="183">
        <v>0.49555176363636355</v>
      </c>
    </row>
    <row r="45" spans="1:26" ht="18.75" thickTop="1" thickBot="1">
      <c r="A45" s="80">
        <v>7</v>
      </c>
      <c r="B45" s="94" t="s">
        <v>118</v>
      </c>
      <c r="C45" s="81" t="s">
        <v>53</v>
      </c>
      <c r="D45" s="82">
        <f>+D46+D47+D48+D53</f>
        <v>16</v>
      </c>
      <c r="E45" s="82">
        <v>15</v>
      </c>
      <c r="F45" s="82">
        <v>13</v>
      </c>
      <c r="G45" s="82">
        <v>13</v>
      </c>
      <c r="H45" s="82">
        <v>17</v>
      </c>
      <c r="I45" s="82">
        <v>15</v>
      </c>
      <c r="J45" s="82">
        <v>8</v>
      </c>
      <c r="K45" s="82">
        <v>10</v>
      </c>
      <c r="L45" s="82">
        <v>9</v>
      </c>
      <c r="M45" s="82">
        <f>SUM(M46+M47+M48+M53)</f>
        <v>26</v>
      </c>
      <c r="N45" s="82">
        <v>17</v>
      </c>
      <c r="O45" s="82">
        <f>+(O46+O47+O48+O53)</f>
        <v>21</v>
      </c>
      <c r="P45" s="82">
        <f>P46+P47+P48</f>
        <v>22.638529200000001</v>
      </c>
      <c r="Q45" s="82">
        <f>+Q46+Q47+Q48+Q53</f>
        <v>19.698522000000001</v>
      </c>
      <c r="R45" s="82">
        <f>+R46+R47+R48+R53</f>
        <v>27.501191100000003</v>
      </c>
      <c r="S45" s="82">
        <f>+S46+S47+S48+S52</f>
        <v>29.814371600000001</v>
      </c>
      <c r="T45" s="82">
        <f t="shared" ref="T45:Z45" si="13">SUM(T46:T48)+T53</f>
        <v>27.232795509999999</v>
      </c>
      <c r="U45" s="82">
        <f t="shared" si="13"/>
        <v>17.3794285</v>
      </c>
      <c r="V45" s="82">
        <f t="shared" si="13"/>
        <v>15.54417561</v>
      </c>
      <c r="W45" s="82">
        <f t="shared" si="13"/>
        <v>5.56396332</v>
      </c>
      <c r="X45" s="82">
        <f t="shared" si="13"/>
        <v>13.416332110000003</v>
      </c>
      <c r="Y45" s="82">
        <f t="shared" si="13"/>
        <v>13.417416830000002</v>
      </c>
      <c r="Z45" s="82">
        <f t="shared" si="13"/>
        <v>4.3872401200000013</v>
      </c>
    </row>
    <row r="46" spans="1:26" ht="18.75" thickTop="1" thickBot="1">
      <c r="A46" s="85">
        <v>7.1</v>
      </c>
      <c r="B46" s="95" t="s">
        <v>233</v>
      </c>
      <c r="C46" s="86" t="s">
        <v>53</v>
      </c>
      <c r="D46" s="87">
        <v>0</v>
      </c>
      <c r="E46" s="87">
        <v>0</v>
      </c>
      <c r="F46" s="87">
        <v>0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8.3599999999999994E-3</v>
      </c>
      <c r="Q46" s="87">
        <v>0</v>
      </c>
      <c r="R46" s="87">
        <v>1.1220000000000001E-2</v>
      </c>
      <c r="S46" s="87">
        <v>2.2440000000000002E-2</v>
      </c>
      <c r="T46" s="87">
        <v>0</v>
      </c>
      <c r="U46" s="87">
        <v>4.4880000000000003E-2</v>
      </c>
      <c r="V46" s="87">
        <v>3.4499000000000002E-2</v>
      </c>
      <c r="W46" s="87">
        <v>3.4680000000000002E-2</v>
      </c>
      <c r="X46" s="87">
        <v>2.3460000000000002E-2</v>
      </c>
      <c r="Y46" s="87">
        <v>0</v>
      </c>
      <c r="Z46" s="87">
        <v>2.346581E-2</v>
      </c>
    </row>
    <row r="47" spans="1:26" ht="18.75" thickTop="1" thickBot="1">
      <c r="A47" s="85">
        <v>7.2</v>
      </c>
      <c r="B47" s="95" t="s">
        <v>234</v>
      </c>
      <c r="C47" s="86" t="s">
        <v>53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</row>
    <row r="48" spans="1:26" ht="18.75" thickTop="1" thickBot="1">
      <c r="A48" s="85">
        <v>7.3</v>
      </c>
      <c r="B48" s="95" t="s">
        <v>235</v>
      </c>
      <c r="C48" s="86" t="s">
        <v>53</v>
      </c>
      <c r="D48" s="87">
        <v>16</v>
      </c>
      <c r="E48" s="87">
        <v>15</v>
      </c>
      <c r="F48" s="87">
        <v>13</v>
      </c>
      <c r="G48" s="87">
        <v>13</v>
      </c>
      <c r="H48" s="87">
        <v>17</v>
      </c>
      <c r="I48" s="87">
        <v>15</v>
      </c>
      <c r="J48" s="87">
        <v>8</v>
      </c>
      <c r="K48" s="87">
        <v>10</v>
      </c>
      <c r="L48" s="87">
        <v>9</v>
      </c>
      <c r="M48" s="87">
        <f t="shared" ref="M48:Z48" si="14">SUM(M49:M52)</f>
        <v>26</v>
      </c>
      <c r="N48" s="87">
        <f t="shared" si="14"/>
        <v>17</v>
      </c>
      <c r="O48" s="87">
        <f t="shared" si="14"/>
        <v>21</v>
      </c>
      <c r="P48" s="87">
        <f t="shared" si="14"/>
        <v>22.630169200000001</v>
      </c>
      <c r="Q48" s="87">
        <f t="shared" si="14"/>
        <v>19.675000000000001</v>
      </c>
      <c r="R48" s="87">
        <f t="shared" si="14"/>
        <v>27.463571100000003</v>
      </c>
      <c r="S48" s="87">
        <f t="shared" si="14"/>
        <v>29.783340550000002</v>
      </c>
      <c r="T48" s="87">
        <f t="shared" si="14"/>
        <v>27.215012849999997</v>
      </c>
      <c r="U48" s="87">
        <f t="shared" si="14"/>
        <v>17.308148500000001</v>
      </c>
      <c r="V48" s="87">
        <f t="shared" si="14"/>
        <v>15.50967661</v>
      </c>
      <c r="W48" s="87">
        <f t="shared" si="14"/>
        <v>5.5292833200000002</v>
      </c>
      <c r="X48" s="87">
        <f t="shared" si="14"/>
        <v>13.349672110000002</v>
      </c>
      <c r="Y48" s="87">
        <f t="shared" si="14"/>
        <v>13.374216830000002</v>
      </c>
      <c r="Z48" s="87">
        <f t="shared" si="14"/>
        <v>4.3138543100000009</v>
      </c>
    </row>
    <row r="49" spans="1:26" ht="18.75" thickTop="1" thickBot="1">
      <c r="A49" s="70" t="s">
        <v>28</v>
      </c>
      <c r="B49" s="96" t="s">
        <v>291</v>
      </c>
      <c r="C49" s="71" t="s">
        <v>53</v>
      </c>
      <c r="D49" s="72">
        <v>0</v>
      </c>
      <c r="E49" s="72">
        <v>0</v>
      </c>
      <c r="F49" s="72">
        <v>0</v>
      </c>
      <c r="G49" s="72">
        <v>0</v>
      </c>
      <c r="H49" s="73">
        <v>0</v>
      </c>
      <c r="I49" s="73">
        <v>0</v>
      </c>
      <c r="J49" s="72">
        <v>0</v>
      </c>
      <c r="K49" s="73">
        <v>0</v>
      </c>
      <c r="L49" s="73">
        <v>0</v>
      </c>
      <c r="M49" s="73">
        <v>0</v>
      </c>
      <c r="N49" s="77">
        <v>0</v>
      </c>
      <c r="O49" s="73">
        <v>0</v>
      </c>
      <c r="P49" s="73">
        <v>8.7410000000000005E-4</v>
      </c>
      <c r="Q49" s="73">
        <v>0</v>
      </c>
      <c r="R49" s="73">
        <v>4.13E-3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183">
        <v>0</v>
      </c>
      <c r="Z49" s="183">
        <v>0</v>
      </c>
    </row>
    <row r="50" spans="1:26" ht="18.75" thickTop="1" thickBot="1">
      <c r="A50" s="70" t="s">
        <v>29</v>
      </c>
      <c r="B50" s="96" t="s">
        <v>236</v>
      </c>
      <c r="C50" s="71" t="s">
        <v>53</v>
      </c>
      <c r="D50" s="72">
        <v>16</v>
      </c>
      <c r="E50" s="72">
        <v>15</v>
      </c>
      <c r="F50" s="72">
        <v>13</v>
      </c>
      <c r="G50" s="72">
        <v>13</v>
      </c>
      <c r="H50" s="73">
        <v>17</v>
      </c>
      <c r="I50" s="73">
        <v>15</v>
      </c>
      <c r="J50" s="72">
        <v>8</v>
      </c>
      <c r="K50" s="73">
        <v>10</v>
      </c>
      <c r="L50" s="73">
        <v>9</v>
      </c>
      <c r="M50" s="73">
        <v>26</v>
      </c>
      <c r="N50" s="77">
        <v>17</v>
      </c>
      <c r="O50" s="73">
        <v>21</v>
      </c>
      <c r="P50" s="73">
        <v>22.629000000000001</v>
      </c>
      <c r="Q50" s="73">
        <v>19.669</v>
      </c>
      <c r="R50" s="73">
        <v>27.448225100000002</v>
      </c>
      <c r="S50" s="73">
        <v>29.774749500000002</v>
      </c>
      <c r="T50" s="73">
        <v>27.215012849999997</v>
      </c>
      <c r="U50" s="73">
        <v>17.2930685</v>
      </c>
      <c r="V50" s="73">
        <f>5.52461261+9.981</f>
        <v>15.50561261</v>
      </c>
      <c r="W50" s="73">
        <v>5.5202533200000001</v>
      </c>
      <c r="X50" s="73">
        <v>13.349672110000002</v>
      </c>
      <c r="Y50" s="183">
        <v>13.374216830000002</v>
      </c>
      <c r="Z50" s="183">
        <v>4.2639343100000007</v>
      </c>
    </row>
    <row r="51" spans="1:26" ht="18.75" thickTop="1" thickBot="1">
      <c r="A51" s="70" t="s">
        <v>30</v>
      </c>
      <c r="B51" s="96" t="s">
        <v>299</v>
      </c>
      <c r="C51" s="71" t="s">
        <v>53</v>
      </c>
      <c r="D51" s="72">
        <v>0</v>
      </c>
      <c r="E51" s="72">
        <v>0</v>
      </c>
      <c r="F51" s="72">
        <v>0</v>
      </c>
      <c r="G51" s="72">
        <v>0</v>
      </c>
      <c r="H51" s="73">
        <v>0</v>
      </c>
      <c r="I51" s="73">
        <v>0</v>
      </c>
      <c r="J51" s="72">
        <v>0</v>
      </c>
      <c r="K51" s="73">
        <v>0</v>
      </c>
      <c r="L51" s="73">
        <v>0</v>
      </c>
      <c r="M51" s="73">
        <v>0</v>
      </c>
      <c r="N51" s="77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0</v>
      </c>
      <c r="Y51" s="183">
        <v>0</v>
      </c>
      <c r="Z51" s="183">
        <v>0</v>
      </c>
    </row>
    <row r="52" spans="1:26" ht="18.75" thickTop="1" thickBot="1">
      <c r="A52" s="70" t="s">
        <v>31</v>
      </c>
      <c r="B52" s="96" t="s">
        <v>254</v>
      </c>
      <c r="C52" s="71" t="s">
        <v>53</v>
      </c>
      <c r="D52" s="72">
        <v>0</v>
      </c>
      <c r="E52" s="72">
        <v>0</v>
      </c>
      <c r="F52" s="72">
        <v>0</v>
      </c>
      <c r="G52" s="72">
        <v>0</v>
      </c>
      <c r="H52" s="73">
        <v>0</v>
      </c>
      <c r="I52" s="73">
        <v>0</v>
      </c>
      <c r="J52" s="72">
        <v>0</v>
      </c>
      <c r="K52" s="73">
        <v>0</v>
      </c>
      <c r="L52" s="73">
        <v>0</v>
      </c>
      <c r="M52" s="73">
        <v>0</v>
      </c>
      <c r="N52" s="77">
        <v>0</v>
      </c>
      <c r="O52" s="73">
        <v>0</v>
      </c>
      <c r="P52" s="73">
        <v>2.9510000000000002E-4</v>
      </c>
      <c r="Q52" s="73">
        <v>6.0000000000000001E-3</v>
      </c>
      <c r="R52" s="73">
        <v>1.1215999999999999E-2</v>
      </c>
      <c r="S52" s="73">
        <v>8.5910499999999994E-3</v>
      </c>
      <c r="T52" s="73">
        <v>0</v>
      </c>
      <c r="U52" s="73">
        <v>1.508E-2</v>
      </c>
      <c r="V52" s="73">
        <v>4.0639999999999999E-3</v>
      </c>
      <c r="W52" s="73">
        <v>9.0299999999999998E-3</v>
      </c>
      <c r="X52" s="73">
        <v>0</v>
      </c>
      <c r="Y52" s="183">
        <v>0</v>
      </c>
      <c r="Z52" s="183">
        <v>4.9919999999999999E-2</v>
      </c>
    </row>
    <row r="53" spans="1:26" ht="18.75" thickTop="1" thickBot="1">
      <c r="A53" s="85">
        <v>7.4</v>
      </c>
      <c r="B53" s="95" t="s">
        <v>203</v>
      </c>
      <c r="C53" s="86" t="s">
        <v>53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  <c r="I53" s="87">
        <v>0</v>
      </c>
      <c r="J53" s="87">
        <v>0</v>
      </c>
      <c r="K53" s="87">
        <v>0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2.3522000000000001E-2</v>
      </c>
      <c r="R53" s="87">
        <v>2.64E-2</v>
      </c>
      <c r="S53" s="87">
        <v>0</v>
      </c>
      <c r="T53" s="87">
        <v>1.7782659999999999E-2</v>
      </c>
      <c r="U53" s="87">
        <v>2.64E-2</v>
      </c>
      <c r="V53" s="87">
        <v>0</v>
      </c>
      <c r="W53" s="87">
        <v>0</v>
      </c>
      <c r="X53" s="87">
        <v>4.3200000000000002E-2</v>
      </c>
      <c r="Y53" s="87">
        <v>4.3200000000000002E-2</v>
      </c>
      <c r="Z53" s="87">
        <v>4.9919999999999999E-2</v>
      </c>
    </row>
    <row r="54" spans="1:26" ht="18.75" thickTop="1" thickBot="1">
      <c r="A54" s="80">
        <v>8</v>
      </c>
      <c r="B54" s="94" t="s">
        <v>239</v>
      </c>
      <c r="C54" s="81" t="s">
        <v>53</v>
      </c>
      <c r="D54" s="82">
        <f t="shared" ref="D54:S54" si="15">SUM(D55:D56)</f>
        <v>0</v>
      </c>
      <c r="E54" s="82">
        <f t="shared" si="15"/>
        <v>0</v>
      </c>
      <c r="F54" s="82">
        <f t="shared" si="15"/>
        <v>0</v>
      </c>
      <c r="G54" s="82">
        <f t="shared" si="15"/>
        <v>0</v>
      </c>
      <c r="H54" s="82">
        <f t="shared" si="15"/>
        <v>0</v>
      </c>
      <c r="I54" s="82">
        <f t="shared" si="15"/>
        <v>0</v>
      </c>
      <c r="J54" s="82">
        <f t="shared" si="15"/>
        <v>0</v>
      </c>
      <c r="K54" s="82">
        <f t="shared" si="15"/>
        <v>0</v>
      </c>
      <c r="L54" s="82">
        <f t="shared" si="15"/>
        <v>0</v>
      </c>
      <c r="M54" s="82">
        <f t="shared" si="15"/>
        <v>0</v>
      </c>
      <c r="N54" s="82">
        <f t="shared" si="15"/>
        <v>0</v>
      </c>
      <c r="O54" s="82">
        <f t="shared" si="15"/>
        <v>0</v>
      </c>
      <c r="P54" s="82">
        <f t="shared" si="15"/>
        <v>0.14849999999999999</v>
      </c>
      <c r="Q54" s="82">
        <f t="shared" si="15"/>
        <v>0.14849999999999999</v>
      </c>
      <c r="R54" s="82">
        <f t="shared" si="15"/>
        <v>0.15039527999999999</v>
      </c>
      <c r="S54" s="82">
        <f t="shared" si="15"/>
        <v>0.13113580999999999</v>
      </c>
      <c r="T54" s="82">
        <v>0.12814233999999999</v>
      </c>
      <c r="U54" s="82">
        <f>U55+U56</f>
        <v>8.9864219999999995E-2</v>
      </c>
      <c r="V54" s="82">
        <f>V55+V56</f>
        <v>6.99018E-2</v>
      </c>
      <c r="W54" s="82">
        <f>W55+W56</f>
        <v>6.8151690000000001E-2</v>
      </c>
      <c r="X54" s="82">
        <f>X55+X56</f>
        <v>9.0345399999999992E-2</v>
      </c>
      <c r="Y54" s="82">
        <f t="shared" ref="Y54:Z54" si="16">Y55+Y56</f>
        <v>9.0345399999999992E-2</v>
      </c>
      <c r="Z54" s="82">
        <f t="shared" si="16"/>
        <v>0.10684099999999999</v>
      </c>
    </row>
    <row r="55" spans="1:26" ht="33" thickTop="1" thickBot="1">
      <c r="A55" s="85">
        <v>8.1</v>
      </c>
      <c r="B55" s="95" t="s">
        <v>224</v>
      </c>
      <c r="C55" s="86" t="s">
        <v>53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  <c r="I55" s="87">
        <v>0</v>
      </c>
      <c r="J55" s="87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87">
        <v>9.2999999999999999E-2</v>
      </c>
      <c r="Q55" s="87">
        <v>9.2999999999999999E-2</v>
      </c>
      <c r="R55" s="87">
        <v>0.10716299999999999</v>
      </c>
      <c r="S55" s="87">
        <v>9.5614999999999992E-2</v>
      </c>
      <c r="T55" s="87">
        <v>8.133E-2</v>
      </c>
      <c r="U55" s="87">
        <v>4.5359999999999998E-2</v>
      </c>
      <c r="V55" s="87">
        <v>4.6060000000000004E-2</v>
      </c>
      <c r="W55" s="87">
        <v>5.6850000000000005E-2</v>
      </c>
      <c r="X55" s="87">
        <v>6.9134399999999999E-2</v>
      </c>
      <c r="Y55" s="87">
        <v>6.9134399999999999E-2</v>
      </c>
      <c r="Z55" s="87">
        <v>8.6029999999999995E-2</v>
      </c>
    </row>
    <row r="56" spans="1:26" ht="18.75" thickTop="1" thickBot="1">
      <c r="A56" s="85">
        <v>8.1999999999999993</v>
      </c>
      <c r="B56" s="95" t="s">
        <v>132</v>
      </c>
      <c r="C56" s="86" t="s">
        <v>53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0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v>5.5500000000000001E-2</v>
      </c>
      <c r="Q56" s="87">
        <v>5.5500000000000001E-2</v>
      </c>
      <c r="R56" s="87">
        <v>4.3232279999999998E-2</v>
      </c>
      <c r="S56" s="87">
        <v>3.552081E-2</v>
      </c>
      <c r="T56" s="87">
        <v>4.6812340000000001E-2</v>
      </c>
      <c r="U56" s="87">
        <v>4.4504220000000004E-2</v>
      </c>
      <c r="V56" s="87">
        <v>2.38418E-2</v>
      </c>
      <c r="W56" s="87">
        <v>1.1301690000000001E-2</v>
      </c>
      <c r="X56" s="87">
        <v>2.1210999999999997E-2</v>
      </c>
      <c r="Y56" s="87">
        <v>2.1210999999999997E-2</v>
      </c>
      <c r="Z56" s="87">
        <v>2.0811E-2</v>
      </c>
    </row>
    <row r="57" spans="1:26" ht="18.75" thickTop="1" thickBot="1">
      <c r="A57" s="80">
        <v>9</v>
      </c>
      <c r="B57" s="94" t="s">
        <v>120</v>
      </c>
      <c r="C57" s="81" t="s">
        <v>53</v>
      </c>
      <c r="D57" s="82">
        <v>4</v>
      </c>
      <c r="E57" s="82">
        <v>4</v>
      </c>
      <c r="F57" s="82">
        <v>4</v>
      </c>
      <c r="G57" s="82">
        <v>3</v>
      </c>
      <c r="H57" s="82">
        <v>2</v>
      </c>
      <c r="I57" s="82">
        <v>2</v>
      </c>
      <c r="J57" s="82">
        <v>4</v>
      </c>
      <c r="K57" s="82">
        <v>9</v>
      </c>
      <c r="L57" s="82">
        <v>12</v>
      </c>
      <c r="M57" s="82">
        <v>6</v>
      </c>
      <c r="N57" s="82">
        <v>15</v>
      </c>
      <c r="O57" s="82">
        <v>11</v>
      </c>
      <c r="P57" s="82">
        <v>5</v>
      </c>
      <c r="Q57" s="82">
        <v>4</v>
      </c>
      <c r="R57" s="82">
        <v>4.1107470699999995</v>
      </c>
      <c r="S57" s="82">
        <v>4.9970591400000002</v>
      </c>
      <c r="T57" s="82">
        <v>4.8753561500000009</v>
      </c>
      <c r="U57" s="82">
        <v>2.8561414100000002</v>
      </c>
      <c r="V57" s="82">
        <v>3.1144804900000005</v>
      </c>
      <c r="W57" s="82">
        <v>5.5418714800000002</v>
      </c>
      <c r="X57" s="82">
        <v>2.8525295599999998</v>
      </c>
      <c r="Y57" s="82">
        <v>4.2410412600000003</v>
      </c>
      <c r="Z57" s="82">
        <v>1.2803538799999998</v>
      </c>
    </row>
    <row r="58" spans="1:26" ht="18.75" thickTop="1" thickBot="1">
      <c r="A58" s="80">
        <v>10</v>
      </c>
      <c r="B58" s="94" t="s">
        <v>121</v>
      </c>
      <c r="C58" s="81" t="s">
        <v>53</v>
      </c>
      <c r="D58" s="82">
        <v>76</v>
      </c>
      <c r="E58" s="82">
        <v>74</v>
      </c>
      <c r="F58" s="82">
        <v>50</v>
      </c>
      <c r="G58" s="82">
        <v>35</v>
      </c>
      <c r="H58" s="82">
        <v>20</v>
      </c>
      <c r="I58" s="82">
        <v>64</v>
      </c>
      <c r="J58" s="82">
        <v>74</v>
      </c>
      <c r="K58" s="82">
        <v>71</v>
      </c>
      <c r="L58" s="82">
        <f>SUM(L59+L64+L65+L70)</f>
        <v>71</v>
      </c>
      <c r="M58" s="82">
        <f>SUM(M59+M64+M65+M70)</f>
        <v>92</v>
      </c>
      <c r="N58" s="82">
        <f>SUM(N59+N64+N65+N70)</f>
        <v>82</v>
      </c>
      <c r="O58" s="82">
        <f>SUM(O59+O64+O65+O70)</f>
        <v>81</v>
      </c>
      <c r="P58" s="82">
        <f>P59+P64+P65+P70</f>
        <v>65.753275720000005</v>
      </c>
      <c r="Q58" s="82">
        <f>+Q59+Q64+Q65+Q70</f>
        <v>67.324668000000017</v>
      </c>
      <c r="R58" s="82">
        <f>+R59+R64+R65+R70</f>
        <v>65.056174659999996</v>
      </c>
      <c r="S58" s="82">
        <f>+S59+S64+S65+S70</f>
        <v>58.248517559999996</v>
      </c>
      <c r="T58" s="82">
        <v>41.841514710000006</v>
      </c>
      <c r="U58" s="82">
        <f>U59+U64+U65+U70</f>
        <v>71.410928330000004</v>
      </c>
      <c r="V58" s="82">
        <f>V59+V64+V65+V70</f>
        <v>69.168816290000009</v>
      </c>
      <c r="W58" s="82">
        <f>W59+W64+W65+W70</f>
        <v>64.382936049999998</v>
      </c>
      <c r="X58" s="82">
        <f>X59+X64+X65+X70</f>
        <v>54.920808909999984</v>
      </c>
      <c r="Y58" s="82">
        <f t="shared" ref="Y58:Z58" si="17">Y59+Y64+Y65+Y70</f>
        <v>86.638390380000047</v>
      </c>
      <c r="Z58" s="82">
        <f t="shared" si="17"/>
        <v>67.831621929999997</v>
      </c>
    </row>
    <row r="59" spans="1:26" ht="18.75" thickTop="1" thickBot="1">
      <c r="A59" s="85">
        <v>10.1</v>
      </c>
      <c r="B59" s="95" t="s">
        <v>285</v>
      </c>
      <c r="C59" s="86" t="s">
        <v>53</v>
      </c>
      <c r="D59" s="87">
        <f t="shared" ref="D59:S59" si="18">SUM(D60:D63)</f>
        <v>37</v>
      </c>
      <c r="E59" s="87">
        <f t="shared" si="18"/>
        <v>37</v>
      </c>
      <c r="F59" s="87">
        <f t="shared" si="18"/>
        <v>23</v>
      </c>
      <c r="G59" s="87">
        <f t="shared" si="18"/>
        <v>21</v>
      </c>
      <c r="H59" s="87">
        <f t="shared" si="18"/>
        <v>9</v>
      </c>
      <c r="I59" s="87">
        <f t="shared" si="18"/>
        <v>32</v>
      </c>
      <c r="J59" s="87">
        <f t="shared" si="18"/>
        <v>44</v>
      </c>
      <c r="K59" s="87">
        <f t="shared" si="18"/>
        <v>32</v>
      </c>
      <c r="L59" s="87">
        <f t="shared" si="18"/>
        <v>33</v>
      </c>
      <c r="M59" s="87">
        <f t="shared" si="18"/>
        <v>32</v>
      </c>
      <c r="N59" s="87">
        <f t="shared" si="18"/>
        <v>35</v>
      </c>
      <c r="O59" s="87">
        <f t="shared" si="18"/>
        <v>39</v>
      </c>
      <c r="P59" s="87">
        <f t="shared" si="18"/>
        <v>31.128112000000002</v>
      </c>
      <c r="Q59" s="87">
        <f t="shared" si="18"/>
        <v>36.862018000000006</v>
      </c>
      <c r="R59" s="87">
        <f t="shared" si="18"/>
        <v>37.12652302</v>
      </c>
      <c r="S59" s="87">
        <f t="shared" si="18"/>
        <v>30.168250610000005</v>
      </c>
      <c r="T59" s="87">
        <v>20.548525670000004</v>
      </c>
      <c r="U59" s="87">
        <f t="shared" ref="U59:Z59" si="19">SUM(U60:U63)</f>
        <v>41.248349169999997</v>
      </c>
      <c r="V59" s="87">
        <f t="shared" si="19"/>
        <v>40.176851100000007</v>
      </c>
      <c r="W59" s="87">
        <f t="shared" si="19"/>
        <v>35.357105119999993</v>
      </c>
      <c r="X59" s="87">
        <f t="shared" si="19"/>
        <v>27.777009389999993</v>
      </c>
      <c r="Y59" s="87">
        <f t="shared" si="19"/>
        <v>53.401262480000057</v>
      </c>
      <c r="Z59" s="87">
        <f t="shared" si="19"/>
        <v>34.090630779999991</v>
      </c>
    </row>
    <row r="60" spans="1:26" ht="18.75" thickTop="1" thickBot="1">
      <c r="A60" s="70" t="s">
        <v>32</v>
      </c>
      <c r="B60" s="97" t="s">
        <v>241</v>
      </c>
      <c r="C60" s="71" t="s">
        <v>53</v>
      </c>
      <c r="D60" s="72">
        <v>13</v>
      </c>
      <c r="E60" s="72">
        <v>13</v>
      </c>
      <c r="F60" s="72">
        <v>8</v>
      </c>
      <c r="G60" s="72">
        <v>7</v>
      </c>
      <c r="H60" s="73">
        <v>8</v>
      </c>
      <c r="I60" s="73">
        <v>9</v>
      </c>
      <c r="J60" s="72">
        <v>9</v>
      </c>
      <c r="K60" s="73">
        <v>8</v>
      </c>
      <c r="L60" s="73">
        <v>10</v>
      </c>
      <c r="M60" s="73">
        <v>9</v>
      </c>
      <c r="N60" s="73">
        <v>9</v>
      </c>
      <c r="O60" s="73">
        <v>9</v>
      </c>
      <c r="P60" s="73">
        <v>8.4705770000000005</v>
      </c>
      <c r="Q60" s="73">
        <v>8.6364000000000001</v>
      </c>
      <c r="R60" s="73">
        <v>8.0673292399999994</v>
      </c>
      <c r="S60" s="73">
        <v>7.1292749999999998</v>
      </c>
      <c r="T60" s="73">
        <v>6.1487093800000006</v>
      </c>
      <c r="U60" s="73">
        <v>5.6385470900000003</v>
      </c>
      <c r="V60" s="73">
        <v>6.0514600600000001</v>
      </c>
      <c r="W60" s="73">
        <v>4.3263744299999995</v>
      </c>
      <c r="X60" s="73">
        <v>3.2825072599999996</v>
      </c>
      <c r="Y60" s="183">
        <v>2.9074079900000003</v>
      </c>
      <c r="Z60" s="183">
        <v>3.2294899800000003</v>
      </c>
    </row>
    <row r="61" spans="1:26" ht="18.75" thickTop="1" thickBot="1">
      <c r="A61" s="70" t="s">
        <v>33</v>
      </c>
      <c r="B61" s="97" t="s">
        <v>256</v>
      </c>
      <c r="C61" s="71" t="s">
        <v>53</v>
      </c>
      <c r="D61" s="72">
        <v>9</v>
      </c>
      <c r="E61" s="72">
        <v>9</v>
      </c>
      <c r="F61" s="72">
        <v>6</v>
      </c>
      <c r="G61" s="72">
        <v>3</v>
      </c>
      <c r="H61" s="73">
        <v>1</v>
      </c>
      <c r="I61" s="73">
        <v>8</v>
      </c>
      <c r="J61" s="72">
        <v>17</v>
      </c>
      <c r="K61" s="73">
        <v>7</v>
      </c>
      <c r="L61" s="73">
        <v>7</v>
      </c>
      <c r="M61" s="73">
        <v>7</v>
      </c>
      <c r="N61" s="73">
        <v>6</v>
      </c>
      <c r="O61" s="73">
        <v>6</v>
      </c>
      <c r="P61" s="73">
        <v>0</v>
      </c>
      <c r="Q61" s="73">
        <v>0</v>
      </c>
      <c r="R61" s="73">
        <v>1.6153289499999999</v>
      </c>
      <c r="S61" s="73">
        <v>1.6376336100000002</v>
      </c>
      <c r="T61" s="73">
        <v>0</v>
      </c>
      <c r="U61" s="73">
        <v>0</v>
      </c>
      <c r="V61" s="73">
        <v>0</v>
      </c>
      <c r="W61" s="73">
        <v>0</v>
      </c>
      <c r="X61" s="73">
        <v>0.30323975000000003</v>
      </c>
      <c r="Y61" s="183">
        <v>0.5980630600000002</v>
      </c>
      <c r="Z61" s="183">
        <v>0.17383202</v>
      </c>
    </row>
    <row r="62" spans="1:26" ht="18.75" thickTop="1" thickBot="1">
      <c r="A62" s="70" t="s">
        <v>34</v>
      </c>
      <c r="B62" s="97" t="s">
        <v>257</v>
      </c>
      <c r="C62" s="71" t="s">
        <v>53</v>
      </c>
      <c r="D62" s="72">
        <v>11</v>
      </c>
      <c r="E62" s="72">
        <v>11</v>
      </c>
      <c r="F62" s="72">
        <v>7</v>
      </c>
      <c r="G62" s="72">
        <v>6</v>
      </c>
      <c r="H62" s="73">
        <v>0</v>
      </c>
      <c r="I62" s="73">
        <v>8</v>
      </c>
      <c r="J62" s="74">
        <v>8</v>
      </c>
      <c r="K62" s="73">
        <v>8</v>
      </c>
      <c r="L62" s="73">
        <v>8</v>
      </c>
      <c r="M62" s="73">
        <v>8</v>
      </c>
      <c r="N62" s="73">
        <v>10</v>
      </c>
      <c r="O62" s="73">
        <v>8</v>
      </c>
      <c r="P62" s="73">
        <v>7.7547470000000001</v>
      </c>
      <c r="Q62" s="73">
        <v>8.75</v>
      </c>
      <c r="R62" s="73">
        <v>8.968264210000001</v>
      </c>
      <c r="S62" s="73">
        <v>7.4046769300000008</v>
      </c>
      <c r="T62" s="73">
        <v>8.3957908700000008</v>
      </c>
      <c r="U62" s="73">
        <v>19.270178480000009</v>
      </c>
      <c r="V62" s="73">
        <v>17.752534280000003</v>
      </c>
      <c r="W62" s="73">
        <v>17.32562587</v>
      </c>
      <c r="X62" s="73">
        <v>13.759969089999995</v>
      </c>
      <c r="Y62" s="183">
        <v>14.625523879999994</v>
      </c>
      <c r="Z62" s="183">
        <v>16.104774559999992</v>
      </c>
    </row>
    <row r="63" spans="1:26" ht="18.75" thickTop="1" thickBot="1">
      <c r="A63" s="70" t="s">
        <v>35</v>
      </c>
      <c r="B63" s="97" t="s">
        <v>258</v>
      </c>
      <c r="C63" s="71" t="s">
        <v>53</v>
      </c>
      <c r="D63" s="72">
        <v>4</v>
      </c>
      <c r="E63" s="72">
        <v>4</v>
      </c>
      <c r="F63" s="72">
        <v>2</v>
      </c>
      <c r="G63" s="72">
        <v>5</v>
      </c>
      <c r="H63" s="73">
        <v>0</v>
      </c>
      <c r="I63" s="73">
        <v>7</v>
      </c>
      <c r="J63" s="74">
        <v>10</v>
      </c>
      <c r="K63" s="73">
        <v>9</v>
      </c>
      <c r="L63" s="73">
        <v>8</v>
      </c>
      <c r="M63" s="73">
        <v>8</v>
      </c>
      <c r="N63" s="73">
        <v>10</v>
      </c>
      <c r="O63" s="73">
        <v>16</v>
      </c>
      <c r="P63" s="73">
        <f>0.659876+14.242912</f>
        <v>14.902788000000001</v>
      </c>
      <c r="Q63" s="73">
        <v>19.475618000000001</v>
      </c>
      <c r="R63" s="73">
        <v>18.475600620000002</v>
      </c>
      <c r="S63" s="73">
        <v>13.996665070000002</v>
      </c>
      <c r="T63" s="73">
        <v>6.0040254200000014</v>
      </c>
      <c r="U63" s="73">
        <v>16.339623599999989</v>
      </c>
      <c r="V63" s="73">
        <v>16.372856760000001</v>
      </c>
      <c r="W63" s="73">
        <v>13.705104819999994</v>
      </c>
      <c r="X63" s="73">
        <v>10.431293289999999</v>
      </c>
      <c r="Y63" s="183">
        <v>35.270267550000064</v>
      </c>
      <c r="Z63" s="183">
        <v>14.582534220000001</v>
      </c>
    </row>
    <row r="64" spans="1:26" ht="18.75" thickTop="1" thickBot="1">
      <c r="A64" s="85">
        <v>10.199999999999999</v>
      </c>
      <c r="B64" s="95" t="s">
        <v>135</v>
      </c>
      <c r="C64" s="86" t="s">
        <v>53</v>
      </c>
      <c r="D64" s="87">
        <v>0</v>
      </c>
      <c r="E64" s="87">
        <v>0</v>
      </c>
      <c r="F64" s="87">
        <v>0</v>
      </c>
      <c r="G64" s="87">
        <v>0</v>
      </c>
      <c r="H64" s="87">
        <v>1</v>
      </c>
      <c r="I64" s="87">
        <v>0</v>
      </c>
      <c r="J64" s="87">
        <v>0</v>
      </c>
      <c r="K64" s="87">
        <v>0</v>
      </c>
      <c r="L64" s="87">
        <v>5</v>
      </c>
      <c r="M64" s="87">
        <v>3</v>
      </c>
      <c r="N64" s="87">
        <v>2</v>
      </c>
      <c r="O64" s="87">
        <v>0</v>
      </c>
      <c r="P64" s="87">
        <v>0.31309225000000002</v>
      </c>
      <c r="Q64" s="87">
        <v>0.52775000000000005</v>
      </c>
      <c r="R64" s="87">
        <v>0.25815246999999997</v>
      </c>
      <c r="S64" s="87">
        <v>0.52</v>
      </c>
      <c r="T64" s="87">
        <v>0.32896302999999988</v>
      </c>
      <c r="U64" s="87">
        <v>0.50118375000000004</v>
      </c>
      <c r="V64" s="87">
        <v>0.72525191999999983</v>
      </c>
      <c r="W64" s="87">
        <v>0.8462917499999999</v>
      </c>
      <c r="X64" s="87">
        <v>1.44772952</v>
      </c>
      <c r="Y64" s="87">
        <v>2.00157242</v>
      </c>
      <c r="Z64" s="87">
        <v>3.0872709399999994</v>
      </c>
    </row>
    <row r="65" spans="1:26" ht="18.75" thickTop="1" thickBot="1">
      <c r="A65" s="85">
        <v>10.3</v>
      </c>
      <c r="B65" s="95" t="s">
        <v>136</v>
      </c>
      <c r="C65" s="86" t="s">
        <v>53</v>
      </c>
      <c r="D65" s="87">
        <f t="shared" ref="D65:S65" si="20">SUM(D66:D69)</f>
        <v>37</v>
      </c>
      <c r="E65" s="87">
        <f t="shared" si="20"/>
        <v>35</v>
      </c>
      <c r="F65" s="87">
        <f t="shared" si="20"/>
        <v>25</v>
      </c>
      <c r="G65" s="87">
        <f t="shared" si="20"/>
        <v>14</v>
      </c>
      <c r="H65" s="87">
        <f t="shared" si="20"/>
        <v>7</v>
      </c>
      <c r="I65" s="87">
        <f t="shared" si="20"/>
        <v>32</v>
      </c>
      <c r="J65" s="87">
        <f t="shared" si="20"/>
        <v>39</v>
      </c>
      <c r="K65" s="87">
        <f t="shared" si="20"/>
        <v>38</v>
      </c>
      <c r="L65" s="87">
        <f t="shared" si="20"/>
        <v>32</v>
      </c>
      <c r="M65" s="87">
        <f t="shared" si="20"/>
        <v>56</v>
      </c>
      <c r="N65" s="87">
        <f t="shared" si="20"/>
        <v>44</v>
      </c>
      <c r="O65" s="87">
        <f t="shared" si="20"/>
        <v>41</v>
      </c>
      <c r="P65" s="87">
        <f t="shared" si="20"/>
        <v>33.776110600000003</v>
      </c>
      <c r="Q65" s="87">
        <f t="shared" si="20"/>
        <v>29.385900000000003</v>
      </c>
      <c r="R65" s="87">
        <f t="shared" si="20"/>
        <v>27.070073359999999</v>
      </c>
      <c r="S65" s="87">
        <f t="shared" si="20"/>
        <v>27.099266949999997</v>
      </c>
      <c r="T65" s="87">
        <v>20.436114960000001</v>
      </c>
      <c r="U65" s="87">
        <f>SUM(U66:U69)</f>
        <v>29.181354360000007</v>
      </c>
      <c r="V65" s="87">
        <f>SUM(V66:V69)</f>
        <v>27.792732259999994</v>
      </c>
      <c r="W65" s="87">
        <f>SUM(W66:W69)</f>
        <v>27.77385571000001</v>
      </c>
      <c r="X65" s="87">
        <f>SUM(X66:X69)</f>
        <v>25.374846199999993</v>
      </c>
      <c r="Y65" s="87">
        <f t="shared" ref="Y65:Z65" si="21">SUM(Y66:Y69)</f>
        <v>30.914331679999993</v>
      </c>
      <c r="Z65" s="87">
        <f t="shared" si="21"/>
        <v>30.300007440000005</v>
      </c>
    </row>
    <row r="66" spans="1:26" ht="18.75" thickTop="1" thickBot="1">
      <c r="A66" s="70" t="s">
        <v>36</v>
      </c>
      <c r="B66" s="97" t="s">
        <v>300</v>
      </c>
      <c r="C66" s="71" t="s">
        <v>53</v>
      </c>
      <c r="D66" s="72">
        <v>30</v>
      </c>
      <c r="E66" s="72">
        <v>30</v>
      </c>
      <c r="F66" s="72">
        <v>20</v>
      </c>
      <c r="G66" s="72">
        <v>14</v>
      </c>
      <c r="H66" s="73">
        <v>7</v>
      </c>
      <c r="I66" s="73">
        <v>23</v>
      </c>
      <c r="J66" s="72">
        <v>29</v>
      </c>
      <c r="K66" s="73">
        <v>21</v>
      </c>
      <c r="L66" s="73">
        <v>26</v>
      </c>
      <c r="M66" s="73">
        <v>16</v>
      </c>
      <c r="N66" s="73">
        <v>31</v>
      </c>
      <c r="O66" s="73">
        <v>28</v>
      </c>
      <c r="P66" s="73">
        <v>24.784682</v>
      </c>
      <c r="Q66" s="73">
        <v>19.186900000000001</v>
      </c>
      <c r="R66" s="73">
        <v>17.175103649999997</v>
      </c>
      <c r="S66" s="73">
        <v>15.816266949999999</v>
      </c>
      <c r="T66" s="73">
        <v>9.3876222100000017</v>
      </c>
      <c r="U66" s="73">
        <v>18.180949590000004</v>
      </c>
      <c r="V66" s="73">
        <v>17.604766700000003</v>
      </c>
      <c r="W66" s="73">
        <v>17.713944920000007</v>
      </c>
      <c r="X66" s="73">
        <v>14.532024030000001</v>
      </c>
      <c r="Y66" s="183">
        <v>19.406645129999994</v>
      </c>
      <c r="Z66" s="183">
        <v>18.738525619999997</v>
      </c>
    </row>
    <row r="67" spans="1:26" ht="18.75" thickTop="1" thickBot="1">
      <c r="A67" s="70" t="s">
        <v>37</v>
      </c>
      <c r="B67" s="97" t="s">
        <v>262</v>
      </c>
      <c r="C67" s="71" t="s">
        <v>53</v>
      </c>
      <c r="D67" s="72">
        <v>0</v>
      </c>
      <c r="E67" s="72">
        <v>0</v>
      </c>
      <c r="F67" s="72">
        <v>0</v>
      </c>
      <c r="G67" s="72">
        <v>0</v>
      </c>
      <c r="H67" s="73">
        <v>0</v>
      </c>
      <c r="I67" s="73">
        <v>7</v>
      </c>
      <c r="J67" s="72">
        <v>8</v>
      </c>
      <c r="K67" s="73">
        <v>5</v>
      </c>
      <c r="L67" s="73">
        <v>0</v>
      </c>
      <c r="M67" s="73">
        <v>11</v>
      </c>
      <c r="N67" s="73">
        <v>10</v>
      </c>
      <c r="O67" s="73">
        <v>10</v>
      </c>
      <c r="P67" s="73">
        <v>6.5943800000000001</v>
      </c>
      <c r="Q67" s="73">
        <v>6.87</v>
      </c>
      <c r="R67" s="73">
        <v>5.6601495899999996</v>
      </c>
      <c r="S67" s="73">
        <v>6.34</v>
      </c>
      <c r="T67" s="73">
        <v>6.6541922399999995</v>
      </c>
      <c r="U67" s="73">
        <v>6.5309096900000032</v>
      </c>
      <c r="V67" s="73">
        <v>6.0150851099999922</v>
      </c>
      <c r="W67" s="73">
        <v>5.8789673300000027</v>
      </c>
      <c r="X67" s="73">
        <v>6.2337682899999924</v>
      </c>
      <c r="Y67" s="183">
        <v>5.4009467199999985</v>
      </c>
      <c r="Z67" s="183">
        <v>5.6737071400000056</v>
      </c>
    </row>
    <row r="68" spans="1:26" ht="18.75" thickTop="1" thickBot="1">
      <c r="A68" s="70" t="s">
        <v>38</v>
      </c>
      <c r="B68" s="97" t="s">
        <v>294</v>
      </c>
      <c r="C68" s="71" t="s">
        <v>53</v>
      </c>
      <c r="D68" s="72">
        <v>7</v>
      </c>
      <c r="E68" s="72">
        <v>5</v>
      </c>
      <c r="F68" s="72">
        <v>5</v>
      </c>
      <c r="G68" s="72">
        <v>0</v>
      </c>
      <c r="H68" s="73">
        <v>0</v>
      </c>
      <c r="I68" s="73">
        <v>2</v>
      </c>
      <c r="J68" s="72">
        <v>2</v>
      </c>
      <c r="K68" s="73">
        <v>11</v>
      </c>
      <c r="L68" s="73">
        <v>6</v>
      </c>
      <c r="M68" s="73">
        <v>29</v>
      </c>
      <c r="N68" s="73">
        <v>3</v>
      </c>
      <c r="O68" s="73">
        <v>3</v>
      </c>
      <c r="P68" s="73">
        <v>2.0708057599999998</v>
      </c>
      <c r="Q68" s="73">
        <v>2.9119999999999999</v>
      </c>
      <c r="R68" s="73">
        <v>3.8478674400000004</v>
      </c>
      <c r="S68" s="73">
        <v>4.6100000000000003</v>
      </c>
      <c r="T68" s="73">
        <v>4.0148681699999997</v>
      </c>
      <c r="U68" s="73">
        <v>4.0731340499999993</v>
      </c>
      <c r="V68" s="73">
        <v>3.9218950400000026</v>
      </c>
      <c r="W68" s="73">
        <v>3.9462777500000001</v>
      </c>
      <c r="X68" s="73">
        <v>4.5023140500000025</v>
      </c>
      <c r="Y68" s="183">
        <v>6</v>
      </c>
      <c r="Z68" s="183">
        <v>5.6878040000000034</v>
      </c>
    </row>
    <row r="69" spans="1:26" ht="33" thickTop="1" thickBot="1">
      <c r="A69" s="70" t="s">
        <v>39</v>
      </c>
      <c r="B69" s="98" t="s">
        <v>303</v>
      </c>
      <c r="C69" s="71" t="s">
        <v>53</v>
      </c>
      <c r="D69" s="72">
        <v>0</v>
      </c>
      <c r="E69" s="72">
        <v>0</v>
      </c>
      <c r="F69" s="72">
        <v>0</v>
      </c>
      <c r="G69" s="72">
        <v>0</v>
      </c>
      <c r="H69" s="72">
        <v>0</v>
      </c>
      <c r="I69" s="72">
        <v>0</v>
      </c>
      <c r="J69" s="72">
        <v>0</v>
      </c>
      <c r="K69" s="72">
        <v>1</v>
      </c>
      <c r="L69" s="72">
        <v>0</v>
      </c>
      <c r="M69" s="72">
        <v>0</v>
      </c>
      <c r="N69" s="72">
        <v>0</v>
      </c>
      <c r="O69" s="72">
        <v>0</v>
      </c>
      <c r="P69" s="72">
        <v>0.32624283999999998</v>
      </c>
      <c r="Q69" s="72">
        <v>0.41699999999999998</v>
      </c>
      <c r="R69" s="72">
        <v>0.38695267999999999</v>
      </c>
      <c r="S69" s="72">
        <v>0.33300000000000002</v>
      </c>
      <c r="T69" s="72">
        <v>0.37943234000000003</v>
      </c>
      <c r="U69" s="72">
        <v>0.39636102999999995</v>
      </c>
      <c r="V69" s="72">
        <v>0.25098541000000002</v>
      </c>
      <c r="W69" s="72">
        <v>0.23466571</v>
      </c>
      <c r="X69" s="72">
        <v>0.10673982999999999</v>
      </c>
      <c r="Y69" s="72">
        <v>0.10673982999999999</v>
      </c>
      <c r="Z69" s="72">
        <v>0.19997067999999998</v>
      </c>
    </row>
    <row r="70" spans="1:26" ht="33" thickTop="1" thickBot="1">
      <c r="A70" s="85">
        <v>10.4</v>
      </c>
      <c r="B70" s="95" t="s">
        <v>247</v>
      </c>
      <c r="C70" s="86" t="s">
        <v>53</v>
      </c>
      <c r="D70" s="87">
        <v>2</v>
      </c>
      <c r="E70" s="87">
        <v>2</v>
      </c>
      <c r="F70" s="87">
        <v>2</v>
      </c>
      <c r="G70" s="87">
        <v>0</v>
      </c>
      <c r="H70" s="87">
        <v>3</v>
      </c>
      <c r="I70" s="87">
        <v>0</v>
      </c>
      <c r="J70" s="87">
        <v>1</v>
      </c>
      <c r="K70" s="87">
        <v>1</v>
      </c>
      <c r="L70" s="87">
        <v>1</v>
      </c>
      <c r="M70" s="87">
        <v>1</v>
      </c>
      <c r="N70" s="87">
        <v>1</v>
      </c>
      <c r="O70" s="87">
        <v>1</v>
      </c>
      <c r="P70" s="87">
        <v>0.53596087000000003</v>
      </c>
      <c r="Q70" s="87">
        <v>0.54900000000000004</v>
      </c>
      <c r="R70" s="87">
        <v>0.60142581000000006</v>
      </c>
      <c r="S70" s="87">
        <v>0.46100000000000002</v>
      </c>
      <c r="T70" s="87">
        <v>0.52791104999999994</v>
      </c>
      <c r="U70" s="87">
        <v>0.48004104999999991</v>
      </c>
      <c r="V70" s="87">
        <v>0.47398101000000004</v>
      </c>
      <c r="W70" s="87">
        <v>0.40568346999999971</v>
      </c>
      <c r="X70" s="87">
        <v>0.32122379999999984</v>
      </c>
      <c r="Y70" s="87">
        <v>0.32122379999999984</v>
      </c>
      <c r="Z70" s="87">
        <v>0.35371277000000034</v>
      </c>
    </row>
    <row r="71" spans="1:26" ht="13.5" thickTop="1">
      <c r="N71" s="12"/>
    </row>
    <row r="72" spans="1:26" ht="15.75">
      <c r="B72" s="99" t="s">
        <v>181</v>
      </c>
    </row>
  </sheetData>
  <mergeCells count="2">
    <mergeCell ref="E10:J10"/>
    <mergeCell ref="A13:Z13"/>
  </mergeCells>
  <pageMargins left="0.6692913385826772" right="0.19685039370078741" top="1.1811023622047245" bottom="0.98425196850393704" header="0" footer="0"/>
  <pageSetup paperSize="9" scale="60" orientation="portrait" horizontalDpi="4294967294" verticalDpi="300" r:id="rId1"/>
  <headerFooter alignWithMargins="0"/>
  <ignoredErrors>
    <ignoredError sqref="Y15:Z15 Y30:Z31" unlockedFormula="1"/>
    <ignoredError sqref="X59:Z59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97"/>
  <sheetViews>
    <sheetView showGridLines="0" topLeftCell="A69" zoomScale="60" zoomScaleNormal="60" workbookViewId="0">
      <pane xSplit="2" topLeftCell="O1" activePane="topRight" state="frozen"/>
      <selection pane="topRight" activeCell="X80" sqref="X80"/>
    </sheetView>
  </sheetViews>
  <sheetFormatPr baseColWidth="10" defaultRowHeight="12.75"/>
  <cols>
    <col min="1" max="1" width="25.7109375" customWidth="1"/>
    <col min="2" max="2" width="144" customWidth="1"/>
    <col min="3" max="7" width="11.42578125" customWidth="1"/>
    <col min="8" max="8" width="14.140625" customWidth="1"/>
    <col min="9" max="10" width="13.7109375" customWidth="1"/>
    <col min="11" max="11" width="13" customWidth="1"/>
    <col min="12" max="12" width="13.7109375" customWidth="1"/>
    <col min="13" max="13" width="13.5703125" customWidth="1"/>
    <col min="14" max="14" width="13.7109375" customWidth="1"/>
    <col min="15" max="15" width="15.7109375" customWidth="1"/>
    <col min="16" max="16" width="13.140625" customWidth="1"/>
    <col min="17" max="17" width="14.7109375" customWidth="1"/>
    <col min="18" max="18" width="13.140625" customWidth="1"/>
    <col min="19" max="20" width="14.5703125" customWidth="1"/>
    <col min="21" max="21" width="13.140625" style="57" customWidth="1"/>
    <col min="27" max="27" width="83" bestFit="1" customWidth="1"/>
  </cols>
  <sheetData>
    <row r="1" spans="1:25" ht="15.75">
      <c r="B1" s="7"/>
    </row>
    <row r="2" spans="1:25">
      <c r="A2" s="4"/>
      <c r="B2" s="10"/>
      <c r="C2" s="2"/>
      <c r="D2" s="2"/>
      <c r="E2" s="2"/>
      <c r="F2" s="2"/>
      <c r="G2" s="2"/>
      <c r="H2" s="1"/>
      <c r="I2" s="1"/>
    </row>
    <row r="3" spans="1:25">
      <c r="A3" s="4"/>
      <c r="B3" s="10"/>
      <c r="C3" s="2"/>
      <c r="D3" s="2"/>
      <c r="E3" s="2"/>
      <c r="F3" s="2"/>
      <c r="G3" s="2"/>
      <c r="H3" s="1"/>
      <c r="I3" s="1"/>
    </row>
    <row r="4" spans="1:25">
      <c r="A4" s="4"/>
      <c r="B4" s="10"/>
      <c r="C4" s="2"/>
      <c r="D4" s="2"/>
      <c r="E4" s="2"/>
      <c r="F4" s="2"/>
      <c r="G4" s="2"/>
      <c r="H4" s="1"/>
      <c r="I4" s="1"/>
    </row>
    <row r="5" spans="1:25">
      <c r="A5" s="4"/>
      <c r="B5" s="10"/>
      <c r="C5" s="2"/>
      <c r="D5" s="2"/>
      <c r="E5" s="2"/>
      <c r="F5" s="2"/>
      <c r="G5" s="2"/>
      <c r="H5" s="1"/>
      <c r="I5" s="1"/>
    </row>
    <row r="6" spans="1:25" ht="36">
      <c r="A6" s="4"/>
      <c r="B6" s="10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8"/>
    </row>
    <row r="7" spans="1:25">
      <c r="A7" s="4"/>
      <c r="B7" s="10"/>
      <c r="C7" s="2"/>
      <c r="D7" s="2"/>
      <c r="E7" s="2"/>
      <c r="F7" s="2"/>
      <c r="G7" s="2"/>
      <c r="H7" s="1"/>
      <c r="I7" s="1"/>
    </row>
    <row r="8" spans="1:25" ht="23.25">
      <c r="A8" s="4"/>
      <c r="B8" s="10"/>
      <c r="C8" s="2"/>
      <c r="D8" s="2"/>
      <c r="F8" s="220"/>
      <c r="G8" s="220"/>
      <c r="H8" s="220"/>
      <c r="I8" s="220"/>
    </row>
    <row r="9" spans="1:25">
      <c r="A9" s="4"/>
      <c r="B9" s="10"/>
      <c r="C9" s="2"/>
      <c r="D9" s="2"/>
      <c r="E9" s="2"/>
      <c r="F9" s="2"/>
      <c r="G9" s="2"/>
      <c r="H9" s="1"/>
      <c r="I9" s="1"/>
    </row>
    <row r="10" spans="1:25">
      <c r="A10" s="4"/>
      <c r="B10" s="10"/>
      <c r="C10" s="2"/>
      <c r="D10" s="2"/>
      <c r="E10" s="2"/>
      <c r="F10" s="2"/>
      <c r="G10" s="2"/>
      <c r="H10" s="1"/>
      <c r="I10" s="1"/>
    </row>
    <row r="11" spans="1:25" ht="18" customHeight="1">
      <c r="A11" s="222" t="s">
        <v>156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</row>
    <row r="12" spans="1:25" ht="20.100000000000001" customHeight="1" thickBot="1">
      <c r="A12" s="78" t="s">
        <v>101</v>
      </c>
      <c r="B12" s="78" t="s">
        <v>102</v>
      </c>
      <c r="C12" s="78">
        <v>2000</v>
      </c>
      <c r="D12" s="78">
        <v>2001</v>
      </c>
      <c r="E12" s="78">
        <v>2002</v>
      </c>
      <c r="F12" s="78">
        <v>2003</v>
      </c>
      <c r="G12" s="78">
        <v>2004</v>
      </c>
      <c r="H12" s="78">
        <v>2005</v>
      </c>
      <c r="I12" s="78">
        <v>2006</v>
      </c>
      <c r="J12" s="78">
        <v>2007</v>
      </c>
      <c r="K12" s="78">
        <v>2008</v>
      </c>
      <c r="L12" s="78">
        <v>2009</v>
      </c>
      <c r="M12" s="78">
        <v>2010</v>
      </c>
      <c r="N12" s="78">
        <v>2011</v>
      </c>
      <c r="O12" s="78">
        <v>2012</v>
      </c>
      <c r="P12" s="78">
        <v>2013</v>
      </c>
      <c r="Q12" s="78">
        <v>2014</v>
      </c>
      <c r="R12" s="78">
        <v>2015</v>
      </c>
      <c r="S12" s="78">
        <v>2016</v>
      </c>
      <c r="T12" s="78">
        <v>2017</v>
      </c>
      <c r="U12" s="78">
        <v>2018</v>
      </c>
      <c r="V12" s="78">
        <v>2019</v>
      </c>
      <c r="W12" s="78">
        <v>2020</v>
      </c>
      <c r="X12" s="78">
        <v>2021</v>
      </c>
      <c r="Y12" s="78">
        <v>2022</v>
      </c>
    </row>
    <row r="13" spans="1:25" ht="18.75" thickTop="1" thickBot="1">
      <c r="A13" s="80">
        <v>1</v>
      </c>
      <c r="B13" s="94" t="s">
        <v>122</v>
      </c>
      <c r="C13" s="82">
        <v>226</v>
      </c>
      <c r="D13" s="82">
        <v>187</v>
      </c>
      <c r="E13" s="82">
        <v>51</v>
      </c>
      <c r="F13" s="83">
        <v>116</v>
      </c>
      <c r="G13" s="91">
        <v>281</v>
      </c>
      <c r="H13" s="92">
        <v>554</v>
      </c>
      <c r="I13" s="110">
        <v>663</v>
      </c>
      <c r="J13" s="82">
        <v>833</v>
      </c>
      <c r="K13" s="82">
        <v>952</v>
      </c>
      <c r="L13" s="82">
        <f>SUM(L14:L15)</f>
        <v>679</v>
      </c>
      <c r="M13" s="83">
        <v>832</v>
      </c>
      <c r="N13" s="91">
        <v>1976</v>
      </c>
      <c r="O13" s="93">
        <f>O14+O15</f>
        <v>1661.96271</v>
      </c>
      <c r="P13" s="83">
        <v>2003</v>
      </c>
      <c r="Q13" s="82">
        <f t="shared" ref="Q13:Y13" si="0">SUM(Q14:Q15)</f>
        <v>1339.6327900000001</v>
      </c>
      <c r="R13" s="82">
        <f t="shared" si="0"/>
        <v>1531.6086200000002</v>
      </c>
      <c r="S13" s="82">
        <f t="shared" si="0"/>
        <v>1443.90164</v>
      </c>
      <c r="T13" s="82">
        <f t="shared" si="0"/>
        <v>1427.4234700000002</v>
      </c>
      <c r="U13" s="82">
        <f t="shared" si="0"/>
        <v>1002.6670600000002</v>
      </c>
      <c r="V13" s="82">
        <f t="shared" si="0"/>
        <v>1254.1065400000002</v>
      </c>
      <c r="W13" s="82">
        <f t="shared" si="0"/>
        <v>1983.0783200000005</v>
      </c>
      <c r="X13" s="82">
        <f t="shared" si="0"/>
        <v>2144</v>
      </c>
      <c r="Y13" s="82">
        <f t="shared" si="0"/>
        <v>3074.3533899999993</v>
      </c>
    </row>
    <row r="14" spans="1:25" ht="41.25" customHeight="1" thickTop="1" thickBot="1">
      <c r="A14" s="85">
        <v>1.1000000000000001</v>
      </c>
      <c r="B14" s="95" t="s">
        <v>278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0</v>
      </c>
      <c r="K14" s="87">
        <v>0</v>
      </c>
      <c r="L14" s="87">
        <v>0</v>
      </c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0.23013999999999998</v>
      </c>
      <c r="S14" s="87">
        <v>0</v>
      </c>
      <c r="T14" s="87">
        <v>0</v>
      </c>
      <c r="U14" s="87">
        <v>0</v>
      </c>
      <c r="V14" s="87">
        <v>0</v>
      </c>
      <c r="W14" s="87">
        <v>0</v>
      </c>
      <c r="X14" s="87">
        <v>0</v>
      </c>
      <c r="Y14" s="87">
        <v>0</v>
      </c>
    </row>
    <row r="15" spans="1:25" ht="18.75" thickTop="1" thickBot="1">
      <c r="A15" s="85">
        <v>1.2</v>
      </c>
      <c r="B15" s="95" t="s">
        <v>124</v>
      </c>
      <c r="C15" s="87">
        <f t="shared" ref="C15:O15" si="1">SUM(C16:C17)</f>
        <v>226</v>
      </c>
      <c r="D15" s="87">
        <f t="shared" si="1"/>
        <v>187</v>
      </c>
      <c r="E15" s="87">
        <f t="shared" si="1"/>
        <v>51</v>
      </c>
      <c r="F15" s="87">
        <f t="shared" si="1"/>
        <v>116</v>
      </c>
      <c r="G15" s="87">
        <f t="shared" si="1"/>
        <v>281</v>
      </c>
      <c r="H15" s="87">
        <f t="shared" si="1"/>
        <v>554</v>
      </c>
      <c r="I15" s="87">
        <f t="shared" si="1"/>
        <v>663</v>
      </c>
      <c r="J15" s="87">
        <f t="shared" si="1"/>
        <v>833</v>
      </c>
      <c r="K15" s="87">
        <f t="shared" si="1"/>
        <v>952</v>
      </c>
      <c r="L15" s="87">
        <f t="shared" si="1"/>
        <v>679</v>
      </c>
      <c r="M15" s="87">
        <f t="shared" si="1"/>
        <v>832</v>
      </c>
      <c r="N15" s="87">
        <f t="shared" si="1"/>
        <v>1976</v>
      </c>
      <c r="O15" s="87">
        <f t="shared" si="1"/>
        <v>1661.96271</v>
      </c>
      <c r="P15" s="87">
        <f t="shared" ref="P15:Y15" si="2">SUM(P16:P17)</f>
        <v>2003.4469999999999</v>
      </c>
      <c r="Q15" s="87">
        <f t="shared" si="2"/>
        <v>1339.6327900000001</v>
      </c>
      <c r="R15" s="87">
        <f t="shared" si="2"/>
        <v>1531.3784800000003</v>
      </c>
      <c r="S15" s="87">
        <f t="shared" si="2"/>
        <v>1443.90164</v>
      </c>
      <c r="T15" s="87">
        <f t="shared" si="2"/>
        <v>1427.4234700000002</v>
      </c>
      <c r="U15" s="87">
        <f t="shared" si="2"/>
        <v>1002.6670600000002</v>
      </c>
      <c r="V15" s="87">
        <f t="shared" si="2"/>
        <v>1254.1065400000002</v>
      </c>
      <c r="W15" s="87">
        <f t="shared" si="2"/>
        <v>1983.0783200000005</v>
      </c>
      <c r="X15" s="87">
        <f t="shared" si="2"/>
        <v>2144</v>
      </c>
      <c r="Y15" s="87">
        <f t="shared" si="2"/>
        <v>3074.3533899999993</v>
      </c>
    </row>
    <row r="16" spans="1:25" ht="18.75" thickTop="1" thickBot="1">
      <c r="A16" s="70" t="s">
        <v>6</v>
      </c>
      <c r="B16" s="96" t="s">
        <v>125</v>
      </c>
      <c r="C16" s="72">
        <v>57</v>
      </c>
      <c r="D16" s="72">
        <v>0</v>
      </c>
      <c r="E16" s="72">
        <v>1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7.0451999999999995</v>
      </c>
      <c r="X16" s="72">
        <v>0</v>
      </c>
      <c r="Y16" s="72">
        <v>0</v>
      </c>
    </row>
    <row r="17" spans="1:25" ht="18.75" thickTop="1" thickBot="1">
      <c r="A17" s="70" t="s">
        <v>7</v>
      </c>
      <c r="B17" s="96" t="s">
        <v>126</v>
      </c>
      <c r="C17" s="72">
        <v>169</v>
      </c>
      <c r="D17" s="72">
        <v>187</v>
      </c>
      <c r="E17" s="72">
        <v>50</v>
      </c>
      <c r="F17" s="72">
        <v>116</v>
      </c>
      <c r="G17" s="72">
        <v>281</v>
      </c>
      <c r="H17" s="72">
        <v>554</v>
      </c>
      <c r="I17" s="72">
        <v>663</v>
      </c>
      <c r="J17" s="72">
        <v>833</v>
      </c>
      <c r="K17" s="72">
        <v>952</v>
      </c>
      <c r="L17" s="72">
        <v>679</v>
      </c>
      <c r="M17" s="72">
        <v>832</v>
      </c>
      <c r="N17" s="72">
        <v>1976</v>
      </c>
      <c r="O17" s="72">
        <v>1661.96271</v>
      </c>
      <c r="P17" s="72">
        <v>2003.4469999999999</v>
      </c>
      <c r="Q17" s="72">
        <v>1339.6327900000001</v>
      </c>
      <c r="R17" s="72">
        <v>1531.3784800000003</v>
      </c>
      <c r="S17" s="72">
        <v>1443.90164</v>
      </c>
      <c r="T17" s="72">
        <v>1427.4234700000002</v>
      </c>
      <c r="U17" s="72">
        <v>1002.6670600000002</v>
      </c>
      <c r="V17" s="72">
        <v>1254.1065400000002</v>
      </c>
      <c r="W17" s="72">
        <v>1976.0331200000005</v>
      </c>
      <c r="X17" s="72">
        <v>2144</v>
      </c>
      <c r="Y17" s="72">
        <v>3074.3533899999993</v>
      </c>
    </row>
    <row r="18" spans="1:25" ht="18.75" thickTop="1" thickBot="1">
      <c r="A18" s="70" t="s">
        <v>67</v>
      </c>
      <c r="B18" s="96" t="s">
        <v>155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833</v>
      </c>
      <c r="K18" s="72">
        <v>952</v>
      </c>
      <c r="L18" s="72">
        <v>679</v>
      </c>
      <c r="M18" s="72">
        <v>832</v>
      </c>
      <c r="N18" s="72">
        <v>1976</v>
      </c>
      <c r="O18" s="72">
        <v>1662</v>
      </c>
      <c r="P18" s="72">
        <v>2003</v>
      </c>
      <c r="Q18" s="72">
        <v>1339.6327900000001</v>
      </c>
      <c r="R18" s="72">
        <v>1524.2723600000004</v>
      </c>
      <c r="S18" s="72">
        <v>1443.90164</v>
      </c>
      <c r="T18" s="72">
        <v>1427.4234700000002</v>
      </c>
      <c r="U18" s="72">
        <v>1002.6670600000002</v>
      </c>
      <c r="V18" s="72">
        <v>1254.1065400000002</v>
      </c>
      <c r="W18" s="72">
        <v>1945.3610500000004</v>
      </c>
      <c r="X18" s="72">
        <v>2144</v>
      </c>
      <c r="Y18" s="72">
        <v>3074.3533899999993</v>
      </c>
    </row>
    <row r="19" spans="1:25" ht="18.75" thickTop="1" thickBot="1">
      <c r="A19" s="80">
        <v>2</v>
      </c>
      <c r="B19" s="94" t="s">
        <v>228</v>
      </c>
      <c r="C19" s="82">
        <v>151</v>
      </c>
      <c r="D19" s="82">
        <v>161</v>
      </c>
      <c r="E19" s="82">
        <v>135</v>
      </c>
      <c r="F19" s="82">
        <v>68</v>
      </c>
      <c r="G19" s="82">
        <v>107</v>
      </c>
      <c r="H19" s="82">
        <v>108</v>
      </c>
      <c r="I19" s="82">
        <v>116</v>
      </c>
      <c r="J19" s="82">
        <v>181</v>
      </c>
      <c r="K19" s="82">
        <v>287</v>
      </c>
      <c r="L19" s="82">
        <v>402</v>
      </c>
      <c r="M19" s="82">
        <v>449</v>
      </c>
      <c r="N19" s="82">
        <v>449</v>
      </c>
      <c r="O19" s="82">
        <v>672.99018999999998</v>
      </c>
      <c r="P19" s="82">
        <v>734.34</v>
      </c>
      <c r="Q19" s="82">
        <v>846.95767000000001</v>
      </c>
      <c r="R19" s="82">
        <v>805.89350000000002</v>
      </c>
      <c r="S19" s="82">
        <v>1142.3933500000003</v>
      </c>
      <c r="T19" s="82">
        <v>1136.3392200000001</v>
      </c>
      <c r="U19" s="82">
        <v>1128.5116600000001</v>
      </c>
      <c r="V19" s="82">
        <v>1259.62535</v>
      </c>
      <c r="W19" s="82">
        <v>1115.8244599999998</v>
      </c>
      <c r="X19" s="82">
        <v>1268</v>
      </c>
      <c r="Y19" s="82">
        <v>1521.9973000000009</v>
      </c>
    </row>
    <row r="20" spans="1:25" ht="18.75" thickTop="1" thickBot="1">
      <c r="A20" s="80" t="s">
        <v>96</v>
      </c>
      <c r="B20" s="94" t="s">
        <v>229</v>
      </c>
      <c r="C20" s="82">
        <f t="shared" ref="C20:Q20" si="3">SUM(C21:C22)</f>
        <v>0</v>
      </c>
      <c r="D20" s="82">
        <f t="shared" si="3"/>
        <v>93</v>
      </c>
      <c r="E20" s="82">
        <f t="shared" si="3"/>
        <v>0</v>
      </c>
      <c r="F20" s="82">
        <f t="shared" si="3"/>
        <v>41</v>
      </c>
      <c r="G20" s="82">
        <f t="shared" si="3"/>
        <v>136</v>
      </c>
      <c r="H20" s="82">
        <f t="shared" si="3"/>
        <v>95</v>
      </c>
      <c r="I20" s="82">
        <f t="shared" si="3"/>
        <v>234</v>
      </c>
      <c r="J20" s="82">
        <f t="shared" si="3"/>
        <v>946</v>
      </c>
      <c r="K20" s="82">
        <f t="shared" si="3"/>
        <v>0</v>
      </c>
      <c r="L20" s="82">
        <f t="shared" si="3"/>
        <v>251</v>
      </c>
      <c r="M20" s="82">
        <f t="shared" si="3"/>
        <v>196</v>
      </c>
      <c r="N20" s="82">
        <f t="shared" si="3"/>
        <v>329</v>
      </c>
      <c r="O20" s="82">
        <f t="shared" si="3"/>
        <v>816</v>
      </c>
      <c r="P20" s="82">
        <f t="shared" si="3"/>
        <v>339</v>
      </c>
      <c r="Q20" s="82">
        <f t="shared" si="3"/>
        <v>3872.9798099999998</v>
      </c>
      <c r="R20" s="82">
        <f t="shared" ref="R20:W20" si="4">SUM(R21:R22)</f>
        <v>1632.6008699999998</v>
      </c>
      <c r="S20" s="82">
        <f t="shared" si="4"/>
        <v>1803.2270700000001</v>
      </c>
      <c r="T20" s="82">
        <f t="shared" si="4"/>
        <v>194.98615000000001</v>
      </c>
      <c r="U20" s="82">
        <f t="shared" si="4"/>
        <v>175.87299999999999</v>
      </c>
      <c r="V20" s="82">
        <f t="shared" si="4"/>
        <v>66.801649999999995</v>
      </c>
      <c r="W20" s="82">
        <f t="shared" si="4"/>
        <v>1494.48858</v>
      </c>
      <c r="X20" s="82">
        <f>SUM(X21:X22)</f>
        <v>126.69074000000001</v>
      </c>
      <c r="Y20" s="82">
        <f>SUM(Y21:Y22)</f>
        <v>142.48686000000001</v>
      </c>
    </row>
    <row r="21" spans="1:25" ht="18.75" thickTop="1" thickBot="1">
      <c r="A21" s="85" t="s">
        <v>97</v>
      </c>
      <c r="B21" s="95" t="s">
        <v>230</v>
      </c>
      <c r="C21" s="87">
        <v>0</v>
      </c>
      <c r="D21" s="87">
        <v>0</v>
      </c>
      <c r="E21" s="87">
        <v>0</v>
      </c>
      <c r="F21" s="87">
        <v>0</v>
      </c>
      <c r="G21" s="87">
        <v>77</v>
      </c>
      <c r="H21" s="87">
        <v>24</v>
      </c>
      <c r="I21" s="87">
        <v>2</v>
      </c>
      <c r="J21" s="87">
        <v>3</v>
      </c>
      <c r="K21" s="87">
        <v>0</v>
      </c>
      <c r="L21" s="87">
        <v>11</v>
      </c>
      <c r="M21" s="87">
        <v>12</v>
      </c>
      <c r="N21" s="87">
        <v>171</v>
      </c>
      <c r="O21" s="87">
        <v>683</v>
      </c>
      <c r="P21" s="87">
        <v>231</v>
      </c>
      <c r="Q21" s="87">
        <v>611.13268999999991</v>
      </c>
      <c r="R21" s="87">
        <v>146.98995000000002</v>
      </c>
      <c r="S21" s="87">
        <v>83.500329999999991</v>
      </c>
      <c r="T21" s="87">
        <v>91.416600000000003</v>
      </c>
      <c r="U21" s="87">
        <v>120.32332</v>
      </c>
      <c r="V21" s="87">
        <v>42.051650000000002</v>
      </c>
      <c r="W21" s="87">
        <v>66.233079999999987</v>
      </c>
      <c r="X21" s="87">
        <v>81.496189999999999</v>
      </c>
      <c r="Y21" s="87">
        <v>83.61281000000001</v>
      </c>
    </row>
    <row r="22" spans="1:25" ht="18.75" thickTop="1" thickBot="1">
      <c r="A22" s="85" t="s">
        <v>98</v>
      </c>
      <c r="B22" s="95" t="s">
        <v>265</v>
      </c>
      <c r="C22" s="87">
        <v>0</v>
      </c>
      <c r="D22" s="87">
        <v>93</v>
      </c>
      <c r="E22" s="87">
        <v>0</v>
      </c>
      <c r="F22" s="87">
        <v>41</v>
      </c>
      <c r="G22" s="87">
        <v>59</v>
      </c>
      <c r="H22" s="87">
        <v>71</v>
      </c>
      <c r="I22" s="87">
        <v>232</v>
      </c>
      <c r="J22" s="87">
        <v>943</v>
      </c>
      <c r="K22" s="87">
        <v>0</v>
      </c>
      <c r="L22" s="87">
        <v>240</v>
      </c>
      <c r="M22" s="87">
        <v>184</v>
      </c>
      <c r="N22" s="87">
        <v>158</v>
      </c>
      <c r="O22" s="87">
        <v>133</v>
      </c>
      <c r="P22" s="87">
        <v>108</v>
      </c>
      <c r="Q22" s="87">
        <v>3261.8471199999999</v>
      </c>
      <c r="R22" s="87">
        <v>1485.6109199999999</v>
      </c>
      <c r="S22" s="87">
        <v>1719.7267400000001</v>
      </c>
      <c r="T22" s="87">
        <v>103.56954999999999</v>
      </c>
      <c r="U22" s="87">
        <v>55.549680000000002</v>
      </c>
      <c r="V22" s="87">
        <v>24.75</v>
      </c>
      <c r="W22" s="87">
        <v>1428.2555</v>
      </c>
      <c r="X22" s="87">
        <v>45.19455</v>
      </c>
      <c r="Y22" s="87">
        <v>58.874050000000004</v>
      </c>
    </row>
    <row r="23" spans="1:25" ht="18.75" thickTop="1" thickBot="1">
      <c r="A23" s="80" t="s">
        <v>99</v>
      </c>
      <c r="B23" s="94" t="s">
        <v>288</v>
      </c>
      <c r="C23" s="82" t="s">
        <v>55</v>
      </c>
      <c r="D23" s="82" t="s">
        <v>55</v>
      </c>
      <c r="E23" s="82" t="s">
        <v>55</v>
      </c>
      <c r="F23" s="82" t="s">
        <v>55</v>
      </c>
      <c r="G23" s="82" t="s">
        <v>55</v>
      </c>
      <c r="H23" s="82" t="s">
        <v>55</v>
      </c>
      <c r="I23" s="82" t="s">
        <v>55</v>
      </c>
      <c r="J23" s="82" t="s">
        <v>55</v>
      </c>
      <c r="K23" s="82" t="s">
        <v>55</v>
      </c>
      <c r="L23" s="82" t="s">
        <v>55</v>
      </c>
      <c r="M23" s="82" t="s">
        <v>55</v>
      </c>
      <c r="N23" s="82" t="s">
        <v>55</v>
      </c>
      <c r="O23" s="82">
        <v>64</v>
      </c>
      <c r="P23" s="82">
        <v>93</v>
      </c>
      <c r="Q23" s="82">
        <v>62</v>
      </c>
      <c r="R23" s="82">
        <v>37.523710000000008</v>
      </c>
      <c r="S23" s="82">
        <v>81.888789999999986</v>
      </c>
      <c r="T23" s="82">
        <v>140.6514</v>
      </c>
      <c r="U23" s="82">
        <v>413.37535999999989</v>
      </c>
      <c r="V23" s="82">
        <v>491.00108</v>
      </c>
      <c r="W23" s="82">
        <v>550.55028000000004</v>
      </c>
      <c r="X23" s="82">
        <v>834.28252999999916</v>
      </c>
      <c r="Y23" s="82">
        <v>862.30175999999949</v>
      </c>
    </row>
    <row r="24" spans="1:25" ht="18.75" thickTop="1" thickBot="1">
      <c r="A24" s="80">
        <v>5</v>
      </c>
      <c r="B24" s="94" t="s">
        <v>117</v>
      </c>
      <c r="C24" s="82">
        <f t="shared" ref="C24:P24" si="5">SUM(C25:C26)</f>
        <v>9300</v>
      </c>
      <c r="D24" s="82">
        <f t="shared" si="5"/>
        <v>8985</v>
      </c>
      <c r="E24" s="82">
        <f t="shared" si="5"/>
        <v>4200</v>
      </c>
      <c r="F24" s="82">
        <f t="shared" si="5"/>
        <v>3478</v>
      </c>
      <c r="G24" s="82">
        <f t="shared" si="5"/>
        <v>6589</v>
      </c>
      <c r="H24" s="82">
        <f t="shared" si="5"/>
        <v>8074</v>
      </c>
      <c r="I24" s="82">
        <f t="shared" si="5"/>
        <v>7931</v>
      </c>
      <c r="J24" s="82">
        <f t="shared" si="5"/>
        <v>9876</v>
      </c>
      <c r="K24" s="82">
        <f t="shared" si="5"/>
        <v>11754</v>
      </c>
      <c r="L24" s="82">
        <f t="shared" si="5"/>
        <v>10524</v>
      </c>
      <c r="M24" s="82">
        <f t="shared" si="5"/>
        <v>8737</v>
      </c>
      <c r="N24" s="82">
        <f t="shared" si="5"/>
        <v>9612</v>
      </c>
      <c r="O24" s="82">
        <f t="shared" si="5"/>
        <v>5266.8534899999995</v>
      </c>
      <c r="P24" s="82">
        <f t="shared" si="5"/>
        <v>5300.10923</v>
      </c>
      <c r="Q24" s="82">
        <f>SUM(Q25:Q26)</f>
        <v>7233.948809999999</v>
      </c>
      <c r="R24" s="82">
        <f>SUM(R25:R26)</f>
        <v>5137.8491799999974</v>
      </c>
      <c r="S24" s="82">
        <v>2730.5173500000005</v>
      </c>
      <c r="T24" s="82">
        <v>4801.8107399999999</v>
      </c>
      <c r="U24" s="82">
        <f>SUM(U25:U26)</f>
        <v>4937.3715999999986</v>
      </c>
      <c r="V24" s="82">
        <f>SUM(V25:V26)</f>
        <v>4357.9167499999985</v>
      </c>
      <c r="W24" s="82">
        <f>SUM(W25:W26)</f>
        <v>6125.2252799999987</v>
      </c>
      <c r="X24" s="82">
        <f>+X25+X26</f>
        <v>6888.2795199999982</v>
      </c>
      <c r="Y24" s="82">
        <f>+Y25+Y26</f>
        <v>8444.4372100000001</v>
      </c>
    </row>
    <row r="25" spans="1:25" ht="18.75" thickTop="1" thickBot="1">
      <c r="A25" s="70" t="s">
        <v>18</v>
      </c>
      <c r="B25" s="96" t="s">
        <v>125</v>
      </c>
      <c r="C25" s="72">
        <v>2464</v>
      </c>
      <c r="D25" s="72">
        <v>2295</v>
      </c>
      <c r="E25" s="72">
        <v>512</v>
      </c>
      <c r="F25" s="72">
        <v>500</v>
      </c>
      <c r="G25" s="73">
        <v>864</v>
      </c>
      <c r="H25" s="73">
        <v>732</v>
      </c>
      <c r="I25" s="74">
        <v>912</v>
      </c>
      <c r="J25" s="73">
        <v>972</v>
      </c>
      <c r="K25" s="73">
        <v>1278</v>
      </c>
      <c r="L25" s="73">
        <v>1249</v>
      </c>
      <c r="M25" s="73">
        <v>1284</v>
      </c>
      <c r="N25" s="73">
        <v>955</v>
      </c>
      <c r="O25" s="73">
        <v>964.94403</v>
      </c>
      <c r="P25" s="73">
        <v>950.29067999999995</v>
      </c>
      <c r="Q25" s="73">
        <v>1118.2796599999999</v>
      </c>
      <c r="R25" s="73">
        <v>946.43186999999989</v>
      </c>
      <c r="S25" s="73">
        <v>699.74432999999999</v>
      </c>
      <c r="T25" s="73">
        <v>902.3228899999998</v>
      </c>
      <c r="U25" s="73">
        <v>688.37793000000011</v>
      </c>
      <c r="V25" s="73">
        <v>813.97654999999986</v>
      </c>
      <c r="W25" s="73">
        <v>729.42526999999995</v>
      </c>
      <c r="X25" s="183">
        <v>824.82659999999987</v>
      </c>
      <c r="Y25" s="183">
        <v>1019.3104999999999</v>
      </c>
    </row>
    <row r="26" spans="1:25" ht="18.75" thickTop="1" thickBot="1">
      <c r="A26" s="70" t="s">
        <v>19</v>
      </c>
      <c r="B26" s="96" t="s">
        <v>126</v>
      </c>
      <c r="C26" s="72">
        <v>6836</v>
      </c>
      <c r="D26" s="72">
        <v>6690</v>
      </c>
      <c r="E26" s="72">
        <v>3688</v>
      </c>
      <c r="F26" s="72">
        <v>2978</v>
      </c>
      <c r="G26" s="73">
        <v>5725</v>
      </c>
      <c r="H26" s="73">
        <v>7342</v>
      </c>
      <c r="I26" s="74">
        <v>7019</v>
      </c>
      <c r="J26" s="73">
        <v>8904</v>
      </c>
      <c r="K26" s="73">
        <v>10476</v>
      </c>
      <c r="L26" s="73">
        <v>9275</v>
      </c>
      <c r="M26" s="73">
        <v>7453</v>
      </c>
      <c r="N26" s="73">
        <v>8657</v>
      </c>
      <c r="O26" s="73">
        <v>4301.9094599999999</v>
      </c>
      <c r="P26" s="73">
        <v>4349.81855</v>
      </c>
      <c r="Q26" s="73">
        <v>6115.6691499999988</v>
      </c>
      <c r="R26" s="73">
        <f>R27+109.01722</f>
        <v>4191.4173099999971</v>
      </c>
      <c r="S26" s="73">
        <v>2030.7730200000005</v>
      </c>
      <c r="T26" s="73">
        <v>3899.48785</v>
      </c>
      <c r="U26" s="73">
        <v>4248.9936699999989</v>
      </c>
      <c r="V26" s="73">
        <v>3543.9401999999986</v>
      </c>
      <c r="W26" s="73">
        <v>5395.800009999999</v>
      </c>
      <c r="X26" s="183">
        <v>6063.4529199999979</v>
      </c>
      <c r="Y26" s="183">
        <v>7425.1267100000005</v>
      </c>
    </row>
    <row r="27" spans="1:25" ht="18.75" thickTop="1" thickBot="1">
      <c r="A27" s="70" t="s">
        <v>68</v>
      </c>
      <c r="B27" s="96" t="s">
        <v>155</v>
      </c>
      <c r="C27" s="72">
        <v>0</v>
      </c>
      <c r="D27" s="72">
        <v>0</v>
      </c>
      <c r="E27" s="72">
        <v>0</v>
      </c>
      <c r="F27" s="72">
        <v>0</v>
      </c>
      <c r="G27" s="73">
        <v>2436</v>
      </c>
      <c r="H27" s="73"/>
      <c r="I27" s="74">
        <v>4304</v>
      </c>
      <c r="J27" s="73">
        <v>8904</v>
      </c>
      <c r="K27" s="73">
        <v>10476</v>
      </c>
      <c r="L27" s="73">
        <v>9275</v>
      </c>
      <c r="M27" s="73">
        <v>7453</v>
      </c>
      <c r="N27" s="73">
        <v>8657</v>
      </c>
      <c r="O27" s="73">
        <v>4290.7539999999999</v>
      </c>
      <c r="P27" s="73">
        <v>3680.9016499999998</v>
      </c>
      <c r="Q27" s="73">
        <v>6010.183829999999</v>
      </c>
      <c r="R27" s="73">
        <v>4082.4000899999974</v>
      </c>
      <c r="S27" s="73">
        <v>2030.7730200000005</v>
      </c>
      <c r="T27" s="73">
        <v>3889.5601900000001</v>
      </c>
      <c r="U27" s="73">
        <v>4224.4788799999988</v>
      </c>
      <c r="V27" s="73">
        <v>3437.9697199999987</v>
      </c>
      <c r="W27" s="73">
        <v>5299.5212199999987</v>
      </c>
      <c r="X27" s="183">
        <v>5763.7447199999979</v>
      </c>
      <c r="Y27" s="183">
        <v>3905.1840799999986</v>
      </c>
    </row>
    <row r="28" spans="1:25" ht="18.75" thickTop="1" thickBot="1">
      <c r="A28" s="80">
        <v>6</v>
      </c>
      <c r="B28" s="94" t="s">
        <v>281</v>
      </c>
      <c r="C28" s="82">
        <f t="shared" ref="C28:P28" si="6">+C29+C33+C37+C39</f>
        <v>1784</v>
      </c>
      <c r="D28" s="82">
        <f t="shared" si="6"/>
        <v>6504</v>
      </c>
      <c r="E28" s="82">
        <f t="shared" si="6"/>
        <v>3728</v>
      </c>
      <c r="F28" s="82">
        <f t="shared" si="6"/>
        <v>3982</v>
      </c>
      <c r="G28" s="82">
        <f t="shared" si="6"/>
        <v>5654</v>
      </c>
      <c r="H28" s="82">
        <f t="shared" si="6"/>
        <v>7899</v>
      </c>
      <c r="I28" s="82">
        <f t="shared" si="6"/>
        <v>10636</v>
      </c>
      <c r="J28" s="82">
        <f t="shared" si="6"/>
        <v>11850</v>
      </c>
      <c r="K28" s="82">
        <f t="shared" si="6"/>
        <v>18182</v>
      </c>
      <c r="L28" s="82">
        <f t="shared" si="6"/>
        <v>15405</v>
      </c>
      <c r="M28" s="82">
        <f t="shared" si="6"/>
        <v>19204</v>
      </c>
      <c r="N28" s="82">
        <f t="shared" si="6"/>
        <v>25239</v>
      </c>
      <c r="O28" s="82">
        <f t="shared" si="6"/>
        <v>21327.494709999999</v>
      </c>
      <c r="P28" s="82">
        <f t="shared" si="6"/>
        <v>24118.904990000003</v>
      </c>
      <c r="Q28" s="82">
        <f>+Q29+Q33+Q37+Q39</f>
        <v>23257.74091</v>
      </c>
      <c r="R28" s="82">
        <f>+R29+R33+R37+R39</f>
        <v>22036.273890000004</v>
      </c>
      <c r="S28" s="82">
        <v>20484.86159</v>
      </c>
      <c r="T28" s="82">
        <f>T29+T33+T37+T39</f>
        <v>20227.240220000011</v>
      </c>
      <c r="U28" s="82">
        <f>U29+U33+U37+U39</f>
        <v>21363.666430000005</v>
      </c>
      <c r="V28" s="82">
        <f>V29+V33+V37+V39</f>
        <v>19197.989449999972</v>
      </c>
      <c r="W28" s="82">
        <f>W29+W33+W37+W39</f>
        <v>20129.559100000006</v>
      </c>
      <c r="X28" s="82">
        <f t="shared" ref="X28:Y28" si="7">+X29+X33+X37+X39</f>
        <v>27939.708710000006</v>
      </c>
      <c r="Y28" s="82">
        <f t="shared" si="7"/>
        <v>30671.300400000007</v>
      </c>
    </row>
    <row r="29" spans="1:25" ht="18.75" thickTop="1" thickBot="1">
      <c r="A29" s="85">
        <v>6.1</v>
      </c>
      <c r="B29" s="95" t="s">
        <v>217</v>
      </c>
      <c r="C29" s="87">
        <f t="shared" ref="C29:P29" si="8">SUM(C30:C31)</f>
        <v>0</v>
      </c>
      <c r="D29" s="87">
        <f t="shared" si="8"/>
        <v>104</v>
      </c>
      <c r="E29" s="87">
        <f t="shared" si="8"/>
        <v>26</v>
      </c>
      <c r="F29" s="87">
        <f t="shared" si="8"/>
        <v>41</v>
      </c>
      <c r="G29" s="87">
        <f t="shared" si="8"/>
        <v>49</v>
      </c>
      <c r="H29" s="87">
        <f t="shared" si="8"/>
        <v>126</v>
      </c>
      <c r="I29" s="87">
        <f t="shared" si="8"/>
        <v>140</v>
      </c>
      <c r="J29" s="87">
        <f t="shared" si="8"/>
        <v>125</v>
      </c>
      <c r="K29" s="87">
        <f t="shared" si="8"/>
        <v>193</v>
      </c>
      <c r="L29" s="87">
        <f t="shared" si="8"/>
        <v>143</v>
      </c>
      <c r="M29" s="87">
        <f t="shared" si="8"/>
        <v>348</v>
      </c>
      <c r="N29" s="87">
        <f t="shared" si="8"/>
        <v>420</v>
      </c>
      <c r="O29" s="87">
        <f t="shared" si="8"/>
        <v>127.33024</v>
      </c>
      <c r="P29" s="87">
        <f t="shared" si="8"/>
        <v>86.445439999999991</v>
      </c>
      <c r="Q29" s="87">
        <f>SUM(Q30:Q31)</f>
        <v>88.779759999999996</v>
      </c>
      <c r="R29" s="87">
        <f>SUM(R30:R31)</f>
        <v>80.515830000000008</v>
      </c>
      <c r="S29" s="87">
        <v>63.488589999999988</v>
      </c>
      <c r="T29" s="87">
        <f>T30+T31</f>
        <v>56.666419999999988</v>
      </c>
      <c r="U29" s="87">
        <f>U30+U31</f>
        <v>109.64478999999996</v>
      </c>
      <c r="V29" s="87">
        <f>V30+V31</f>
        <v>50.064539999999994</v>
      </c>
      <c r="W29" s="87">
        <f>W30+W31</f>
        <v>67.768740000000008</v>
      </c>
      <c r="X29" s="87">
        <f t="shared" ref="X29" si="9">SUM(X30:X31)</f>
        <v>50.922099999999986</v>
      </c>
      <c r="Y29" s="87">
        <f t="shared" ref="Y29" si="10">SUM(Y30:Y31)</f>
        <v>118.37654999999999</v>
      </c>
    </row>
    <row r="30" spans="1:25" ht="18.75" thickTop="1" thickBot="1">
      <c r="A30" s="70" t="s">
        <v>20</v>
      </c>
      <c r="B30" s="96" t="s">
        <v>125</v>
      </c>
      <c r="C30" s="72"/>
      <c r="D30" s="72">
        <v>12</v>
      </c>
      <c r="E30" s="72">
        <v>3</v>
      </c>
      <c r="F30" s="72">
        <v>3</v>
      </c>
      <c r="G30" s="73">
        <v>3</v>
      </c>
      <c r="H30" s="73">
        <v>7</v>
      </c>
      <c r="I30" s="72">
        <v>8</v>
      </c>
      <c r="J30" s="73">
        <v>3</v>
      </c>
      <c r="K30" s="73">
        <v>61</v>
      </c>
      <c r="L30" s="73">
        <v>21</v>
      </c>
      <c r="M30" s="73">
        <v>221</v>
      </c>
      <c r="N30" s="73">
        <v>261</v>
      </c>
      <c r="O30" s="73">
        <v>5.3330900000000003</v>
      </c>
      <c r="P30" s="73">
        <v>4.0206200000000001</v>
      </c>
      <c r="Q30" s="73">
        <v>3.17117</v>
      </c>
      <c r="R30" s="73">
        <v>0.99012000000000011</v>
      </c>
      <c r="S30" s="73">
        <v>2.2236199999999999</v>
      </c>
      <c r="T30" s="73">
        <v>2.2015400000000001</v>
      </c>
      <c r="U30" s="73">
        <v>1.0787899999999999</v>
      </c>
      <c r="V30" s="73">
        <v>0.79173000000000004</v>
      </c>
      <c r="W30" s="73">
        <v>2.39005</v>
      </c>
      <c r="X30" s="183">
        <v>3.43093</v>
      </c>
      <c r="Y30" s="183">
        <v>1.5175399999999999</v>
      </c>
    </row>
    <row r="31" spans="1:25" ht="18.75" thickTop="1" thickBot="1">
      <c r="A31" s="70" t="s">
        <v>21</v>
      </c>
      <c r="B31" s="96" t="s">
        <v>126</v>
      </c>
      <c r="C31" s="72">
        <v>0</v>
      </c>
      <c r="D31" s="72">
        <v>92</v>
      </c>
      <c r="E31" s="72">
        <v>23</v>
      </c>
      <c r="F31" s="72">
        <v>38</v>
      </c>
      <c r="G31" s="73">
        <v>46</v>
      </c>
      <c r="H31" s="73">
        <v>119</v>
      </c>
      <c r="I31" s="72">
        <v>132</v>
      </c>
      <c r="J31" s="73">
        <v>122</v>
      </c>
      <c r="K31" s="73">
        <v>132</v>
      </c>
      <c r="L31" s="73">
        <v>122</v>
      </c>
      <c r="M31" s="73">
        <v>127</v>
      </c>
      <c r="N31" s="73">
        <v>159</v>
      </c>
      <c r="O31" s="73">
        <v>121.99715</v>
      </c>
      <c r="P31" s="73">
        <v>82.424819999999997</v>
      </c>
      <c r="Q31" s="73">
        <f>43.71776+Q32</f>
        <v>85.608589999999992</v>
      </c>
      <c r="R31" s="73">
        <f>25.15+R32</f>
        <v>79.525710000000004</v>
      </c>
      <c r="S31" s="73">
        <v>61.264969999999991</v>
      </c>
      <c r="T31" s="73">
        <v>54.464879999999987</v>
      </c>
      <c r="U31" s="73">
        <v>108.56599999999996</v>
      </c>
      <c r="V31" s="73">
        <v>49.272809999999993</v>
      </c>
      <c r="W31" s="73">
        <v>65.378690000000006</v>
      </c>
      <c r="X31" s="183">
        <v>47.49116999999999</v>
      </c>
      <c r="Y31" s="183">
        <v>116.85901</v>
      </c>
    </row>
    <row r="32" spans="1:25" ht="18.75" thickTop="1" thickBot="1">
      <c r="A32" s="70" t="s">
        <v>69</v>
      </c>
      <c r="B32" s="96" t="s">
        <v>155</v>
      </c>
      <c r="C32" s="72">
        <v>0</v>
      </c>
      <c r="D32" s="72">
        <v>0</v>
      </c>
      <c r="E32" s="72">
        <v>0</v>
      </c>
      <c r="F32" s="72">
        <v>0</v>
      </c>
      <c r="G32" s="73">
        <v>0</v>
      </c>
      <c r="H32" s="73">
        <v>0</v>
      </c>
      <c r="I32" s="72">
        <v>132</v>
      </c>
      <c r="J32" s="73">
        <v>122</v>
      </c>
      <c r="K32" s="73">
        <v>132</v>
      </c>
      <c r="L32" s="73">
        <v>122</v>
      </c>
      <c r="M32" s="73">
        <v>127</v>
      </c>
      <c r="N32" s="73">
        <v>159</v>
      </c>
      <c r="O32" s="73">
        <v>21.239719999999998</v>
      </c>
      <c r="P32" s="73">
        <v>20.412310000000002</v>
      </c>
      <c r="Q32" s="73">
        <v>41.890829999999987</v>
      </c>
      <c r="R32" s="73">
        <v>54.375710000000005</v>
      </c>
      <c r="S32" s="73">
        <v>61.264969999999991</v>
      </c>
      <c r="T32" s="73">
        <v>54.464879999999987</v>
      </c>
      <c r="U32" s="73">
        <v>108.56599999999996</v>
      </c>
      <c r="V32" s="73">
        <v>49.272809999999993</v>
      </c>
      <c r="W32" s="73">
        <v>51.373760000000004</v>
      </c>
      <c r="X32" s="183">
        <v>9.1183999999999994</v>
      </c>
      <c r="Y32" s="183">
        <v>10.673019999999999</v>
      </c>
    </row>
    <row r="33" spans="1:25" ht="18.75" thickTop="1" thickBot="1">
      <c r="A33" s="85">
        <v>6.2</v>
      </c>
      <c r="B33" s="95" t="s">
        <v>128</v>
      </c>
      <c r="C33" s="87">
        <f t="shared" ref="C33:P33" si="11">SUM(C34:C35)</f>
        <v>0</v>
      </c>
      <c r="D33" s="87">
        <f t="shared" si="11"/>
        <v>2152</v>
      </c>
      <c r="E33" s="87">
        <f t="shared" si="11"/>
        <v>1243</v>
      </c>
      <c r="F33" s="87">
        <f t="shared" si="11"/>
        <v>1240</v>
      </c>
      <c r="G33" s="87">
        <f t="shared" si="11"/>
        <v>2034</v>
      </c>
      <c r="H33" s="87">
        <f t="shared" si="11"/>
        <v>2619</v>
      </c>
      <c r="I33" s="87">
        <f t="shared" si="11"/>
        <v>3191</v>
      </c>
      <c r="J33" s="87">
        <f t="shared" si="11"/>
        <v>2846</v>
      </c>
      <c r="K33" s="87">
        <f t="shared" si="11"/>
        <v>4554</v>
      </c>
      <c r="L33" s="87">
        <f t="shared" si="11"/>
        <v>3255</v>
      </c>
      <c r="M33" s="87">
        <f t="shared" si="11"/>
        <v>3982</v>
      </c>
      <c r="N33" s="87">
        <f t="shared" si="11"/>
        <v>5525</v>
      </c>
      <c r="O33" s="87">
        <f t="shared" si="11"/>
        <v>2857.9074700000001</v>
      </c>
      <c r="P33" s="87">
        <f t="shared" si="11"/>
        <v>4952.2808499999992</v>
      </c>
      <c r="Q33" s="87">
        <f>SUM(Q34:Q35)</f>
        <v>5273.7150899999997</v>
      </c>
      <c r="R33" s="87">
        <f>SUM(R34:R35)</f>
        <v>5583.7713800000001</v>
      </c>
      <c r="S33" s="87">
        <v>5242.6179799999973</v>
      </c>
      <c r="T33" s="87">
        <f>T34+T35</f>
        <v>2863.6868100000006</v>
      </c>
      <c r="U33" s="87">
        <f>U34+U35</f>
        <v>4607.5446400000019</v>
      </c>
      <c r="V33" s="87">
        <f>V34+V35</f>
        <v>3649.0087799999997</v>
      </c>
      <c r="W33" s="87">
        <f>W34+W35</f>
        <v>5544.7002599999996</v>
      </c>
      <c r="X33" s="87">
        <f t="shared" ref="X33" si="12">SUM(X34:X35)</f>
        <v>9524.0770400000001</v>
      </c>
      <c r="Y33" s="87">
        <f>SUM(Y34:Y35)</f>
        <v>10992.655000000006</v>
      </c>
    </row>
    <row r="34" spans="1:25" ht="18.75" thickTop="1" thickBot="1">
      <c r="A34" s="70" t="s">
        <v>22</v>
      </c>
      <c r="B34" s="96" t="s">
        <v>125</v>
      </c>
      <c r="C34" s="72">
        <v>0</v>
      </c>
      <c r="D34" s="72">
        <v>513</v>
      </c>
      <c r="E34" s="72">
        <v>176</v>
      </c>
      <c r="F34" s="72">
        <v>312</v>
      </c>
      <c r="G34" s="72">
        <v>380</v>
      </c>
      <c r="H34" s="72">
        <v>846</v>
      </c>
      <c r="I34" s="72">
        <v>719</v>
      </c>
      <c r="J34" s="72">
        <v>0</v>
      </c>
      <c r="K34" s="72">
        <v>2279</v>
      </c>
      <c r="L34" s="72">
        <v>1134</v>
      </c>
      <c r="M34" s="72">
        <v>1963</v>
      </c>
      <c r="N34" s="72">
        <v>2956</v>
      </c>
      <c r="O34" s="72">
        <v>664.43447000000003</v>
      </c>
      <c r="P34" s="72">
        <v>2765.5790499999998</v>
      </c>
      <c r="Q34" s="72">
        <v>3457.34</v>
      </c>
      <c r="R34" s="72">
        <v>2104.9936000000002</v>
      </c>
      <c r="S34" s="72">
        <v>2451.232129999999</v>
      </c>
      <c r="T34" s="72">
        <v>1971.4275400000006</v>
      </c>
      <c r="U34" s="72">
        <v>3140.6834200000012</v>
      </c>
      <c r="V34" s="72">
        <v>2365.6700599999999</v>
      </c>
      <c r="W34" s="72">
        <v>2494.2463400000001</v>
      </c>
      <c r="X34" s="72">
        <v>4211.0247099999997</v>
      </c>
      <c r="Y34" s="72">
        <v>6578.5516900000048</v>
      </c>
    </row>
    <row r="35" spans="1:25" ht="18.75" thickTop="1" thickBot="1">
      <c r="A35" s="70" t="s">
        <v>23</v>
      </c>
      <c r="B35" s="96" t="s">
        <v>126</v>
      </c>
      <c r="C35" s="72">
        <v>0</v>
      </c>
      <c r="D35" s="72">
        <v>1639</v>
      </c>
      <c r="E35" s="72">
        <v>1067</v>
      </c>
      <c r="F35" s="72">
        <v>928</v>
      </c>
      <c r="G35" s="72">
        <v>1654</v>
      </c>
      <c r="H35" s="72">
        <v>1773</v>
      </c>
      <c r="I35" s="72">
        <v>2472</v>
      </c>
      <c r="J35" s="72">
        <v>2846</v>
      </c>
      <c r="K35" s="72">
        <v>2275</v>
      </c>
      <c r="L35" s="72">
        <v>2121</v>
      </c>
      <c r="M35" s="72">
        <v>2019</v>
      </c>
      <c r="N35" s="72">
        <v>2569</v>
      </c>
      <c r="O35" s="72">
        <v>2193.473</v>
      </c>
      <c r="P35" s="72">
        <v>2186.7017999999998</v>
      </c>
      <c r="Q35" s="72">
        <f>546.55559+Q36</f>
        <v>1816.3750899999995</v>
      </c>
      <c r="R35" s="72">
        <v>3478.7777799999994</v>
      </c>
      <c r="S35" s="72">
        <v>2791.3858499999983</v>
      </c>
      <c r="T35" s="72">
        <v>892.25927000000001</v>
      </c>
      <c r="U35" s="72">
        <v>1466.8612200000002</v>
      </c>
      <c r="V35" s="72">
        <v>1283.3387199999997</v>
      </c>
      <c r="W35" s="72">
        <v>3050.453919999999</v>
      </c>
      <c r="X35" s="72">
        <v>5313.0523300000004</v>
      </c>
      <c r="Y35" s="72">
        <v>4414.1033100000004</v>
      </c>
    </row>
    <row r="36" spans="1:25" ht="18.75" thickTop="1" thickBot="1">
      <c r="A36" s="75" t="s">
        <v>70</v>
      </c>
      <c r="B36" s="96" t="s">
        <v>155</v>
      </c>
      <c r="C36" s="72">
        <v>0</v>
      </c>
      <c r="D36" s="72">
        <v>0</v>
      </c>
      <c r="E36" s="72">
        <v>508</v>
      </c>
      <c r="F36" s="72">
        <v>343</v>
      </c>
      <c r="G36" s="72">
        <v>1129</v>
      </c>
      <c r="H36" s="72">
        <v>0</v>
      </c>
      <c r="I36" s="72">
        <v>2472</v>
      </c>
      <c r="J36" s="72">
        <v>2846</v>
      </c>
      <c r="K36" s="72">
        <v>2275</v>
      </c>
      <c r="L36" s="72">
        <v>2121</v>
      </c>
      <c r="M36" s="72">
        <v>2019</v>
      </c>
      <c r="N36" s="72">
        <v>2569</v>
      </c>
      <c r="O36" s="72">
        <v>375.83765</v>
      </c>
      <c r="P36" s="72">
        <v>187.02983</v>
      </c>
      <c r="Q36" s="72">
        <v>1269.8194999999996</v>
      </c>
      <c r="R36" s="72">
        <f>127.2922+226.99223+63.62235</f>
        <v>417.90677999999997</v>
      </c>
      <c r="S36" s="72">
        <v>1687.5156099999999</v>
      </c>
      <c r="T36" s="72">
        <v>470.99791999999997</v>
      </c>
      <c r="U36" s="72">
        <v>540.96622000000013</v>
      </c>
      <c r="V36" s="72">
        <v>664.87616999999966</v>
      </c>
      <c r="W36" s="72">
        <v>1553.4756300000004</v>
      </c>
      <c r="X36" s="72">
        <v>2437.2406700000001</v>
      </c>
      <c r="Y36" s="72">
        <v>2179.25533</v>
      </c>
    </row>
    <row r="37" spans="1:25" ht="33" customHeight="1" thickTop="1" thickBot="1">
      <c r="A37" s="85">
        <v>6.3</v>
      </c>
      <c r="B37" s="95" t="s">
        <v>301</v>
      </c>
      <c r="C37" s="87">
        <v>1784</v>
      </c>
      <c r="D37" s="87">
        <v>1448</v>
      </c>
      <c r="E37" s="87">
        <v>863</v>
      </c>
      <c r="F37" s="87">
        <v>1051</v>
      </c>
      <c r="G37" s="87">
        <v>1121</v>
      </c>
      <c r="H37" s="87">
        <v>1919</v>
      </c>
      <c r="I37" s="87">
        <v>2975</v>
      </c>
      <c r="J37" s="87">
        <v>3255</v>
      </c>
      <c r="K37" s="87">
        <v>4780</v>
      </c>
      <c r="L37" s="87">
        <v>3910</v>
      </c>
      <c r="M37" s="87">
        <v>4012</v>
      </c>
      <c r="N37" s="87">
        <v>4913</v>
      </c>
      <c r="O37" s="87">
        <f>SUM(O38)</f>
        <v>2776.674</v>
      </c>
      <c r="P37" s="87">
        <v>3207.1024699999998</v>
      </c>
      <c r="Q37" s="87">
        <v>3045.2638700000002</v>
      </c>
      <c r="R37" s="87">
        <f>R38</f>
        <v>1952.654229999999</v>
      </c>
      <c r="S37" s="87">
        <v>2223.5734899999993</v>
      </c>
      <c r="T37" s="87">
        <f>T38</f>
        <v>2992.5044099999982</v>
      </c>
      <c r="U37" s="87">
        <f>U38</f>
        <v>2707.1669400000033</v>
      </c>
      <c r="V37" s="87">
        <f>V38</f>
        <v>2087.3002800000004</v>
      </c>
      <c r="W37" s="87">
        <f>W38</f>
        <v>1903.5144000000009</v>
      </c>
      <c r="X37" s="87">
        <f t="shared" ref="X37" si="13">X38</f>
        <v>3043.5280400000001</v>
      </c>
      <c r="Y37" s="87">
        <v>2043.5376500000007</v>
      </c>
    </row>
    <row r="38" spans="1:25" ht="18.75" thickTop="1" thickBot="1">
      <c r="A38" s="70" t="s">
        <v>24</v>
      </c>
      <c r="B38" s="96" t="s">
        <v>290</v>
      </c>
      <c r="C38" s="72">
        <v>0</v>
      </c>
      <c r="D38" s="72">
        <v>37</v>
      </c>
      <c r="E38" s="72">
        <v>0</v>
      </c>
      <c r="F38" s="72">
        <v>0</v>
      </c>
      <c r="G38" s="72">
        <v>0</v>
      </c>
      <c r="H38" s="72">
        <v>414</v>
      </c>
      <c r="I38" s="72"/>
      <c r="J38" s="72">
        <v>2180</v>
      </c>
      <c r="K38" s="72">
        <v>1231</v>
      </c>
      <c r="L38" s="72">
        <v>1483</v>
      </c>
      <c r="M38" s="72">
        <v>1753</v>
      </c>
      <c r="N38" s="72">
        <v>2651</v>
      </c>
      <c r="O38" s="72">
        <v>2776.674</v>
      </c>
      <c r="P38" s="72">
        <v>3207.1024699999998</v>
      </c>
      <c r="Q38" s="72">
        <v>3045.2638700000002</v>
      </c>
      <c r="R38" s="72">
        <v>1952.654229999999</v>
      </c>
      <c r="S38" s="72">
        <v>2223.5734899999993</v>
      </c>
      <c r="T38" s="72">
        <v>2992.5044099999982</v>
      </c>
      <c r="U38" s="72">
        <v>2707.1669400000033</v>
      </c>
      <c r="V38" s="72">
        <v>2087.3002800000004</v>
      </c>
      <c r="W38" s="72">
        <v>1903.5144000000009</v>
      </c>
      <c r="X38" s="72">
        <v>3043.5280400000001</v>
      </c>
      <c r="Y38" s="72">
        <v>2043.5376500000007</v>
      </c>
    </row>
    <row r="39" spans="1:25" ht="18.75" thickTop="1" thickBot="1">
      <c r="A39" s="85">
        <v>6.4</v>
      </c>
      <c r="B39" s="95" t="s">
        <v>129</v>
      </c>
      <c r="C39" s="87">
        <f t="shared" ref="C39:P39" si="14">SUM(C40:C42)</f>
        <v>0</v>
      </c>
      <c r="D39" s="87">
        <f t="shared" si="14"/>
        <v>2800</v>
      </c>
      <c r="E39" s="87">
        <f t="shared" si="14"/>
        <v>1596</v>
      </c>
      <c r="F39" s="87">
        <f t="shared" si="14"/>
        <v>1650</v>
      </c>
      <c r="G39" s="87">
        <f t="shared" si="14"/>
        <v>2450</v>
      </c>
      <c r="H39" s="87">
        <f t="shared" si="14"/>
        <v>3235</v>
      </c>
      <c r="I39" s="87">
        <f t="shared" si="14"/>
        <v>4330</v>
      </c>
      <c r="J39" s="87">
        <f t="shared" si="14"/>
        <v>5624</v>
      </c>
      <c r="K39" s="87">
        <f t="shared" si="14"/>
        <v>8655</v>
      </c>
      <c r="L39" s="87">
        <f t="shared" si="14"/>
        <v>8097</v>
      </c>
      <c r="M39" s="87">
        <f t="shared" si="14"/>
        <v>10862</v>
      </c>
      <c r="N39" s="87">
        <f t="shared" si="14"/>
        <v>14381</v>
      </c>
      <c r="O39" s="87">
        <f t="shared" si="14"/>
        <v>15565.583000000001</v>
      </c>
      <c r="P39" s="87">
        <f t="shared" si="14"/>
        <v>15873.076230000001</v>
      </c>
      <c r="Q39" s="87">
        <f>SUM(Q40:Q42)</f>
        <v>14849.982189999999</v>
      </c>
      <c r="R39" s="87">
        <f>R40+R41+R42</f>
        <v>14419.332450000004</v>
      </c>
      <c r="S39" s="87">
        <v>12955.181530000005</v>
      </c>
      <c r="T39" s="87">
        <f>T40+T41+T42</f>
        <v>14314.382580000012</v>
      </c>
      <c r="U39" s="87">
        <f>U40+U41+U42</f>
        <v>13939.310059999998</v>
      </c>
      <c r="V39" s="87">
        <f>V40+V41+V42</f>
        <v>13411.615849999971</v>
      </c>
      <c r="W39" s="87">
        <f>W40+W41+W42</f>
        <v>12613.575700000007</v>
      </c>
      <c r="X39" s="87">
        <f t="shared" ref="X39:Y39" si="15">X40+X41+X42</f>
        <v>15321.181530000003</v>
      </c>
      <c r="Y39" s="87">
        <f t="shared" si="15"/>
        <v>17516.731200000002</v>
      </c>
    </row>
    <row r="40" spans="1:25" ht="18.75" thickTop="1" thickBot="1">
      <c r="A40" s="70" t="s">
        <v>25</v>
      </c>
      <c r="B40" s="96" t="s">
        <v>232</v>
      </c>
      <c r="C40" s="72">
        <v>0</v>
      </c>
      <c r="D40" s="72">
        <v>929</v>
      </c>
      <c r="E40" s="72">
        <v>475</v>
      </c>
      <c r="F40" s="72">
        <v>762</v>
      </c>
      <c r="G40" s="73">
        <v>1062</v>
      </c>
      <c r="H40" s="73">
        <v>1419</v>
      </c>
      <c r="I40" s="72">
        <v>1694</v>
      </c>
      <c r="J40" s="73">
        <v>4050</v>
      </c>
      <c r="K40" s="73">
        <v>2091</v>
      </c>
      <c r="L40" s="73">
        <v>1816</v>
      </c>
      <c r="M40" s="73">
        <v>2369</v>
      </c>
      <c r="N40" s="73">
        <v>3599</v>
      </c>
      <c r="O40" s="73">
        <v>3427.0369999999998</v>
      </c>
      <c r="P40" s="73">
        <v>4317.6952300000003</v>
      </c>
      <c r="Q40" s="73">
        <v>3640.47759</v>
      </c>
      <c r="R40" s="73">
        <v>1665.1687000000002</v>
      </c>
      <c r="S40" s="73">
        <v>1117.0480300000004</v>
      </c>
      <c r="T40" s="73">
        <v>1049.4751799999999</v>
      </c>
      <c r="U40" s="73">
        <v>910.49095999999975</v>
      </c>
      <c r="V40" s="73">
        <v>800.7533199999998</v>
      </c>
      <c r="W40" s="73">
        <v>651.30531999999982</v>
      </c>
      <c r="X40" s="183">
        <v>716.32874000000004</v>
      </c>
      <c r="Y40" s="183">
        <v>602.39491999999984</v>
      </c>
    </row>
    <row r="41" spans="1:25" ht="18.75" thickTop="1" thickBot="1">
      <c r="A41" s="70" t="s">
        <v>26</v>
      </c>
      <c r="B41" s="96" t="s">
        <v>130</v>
      </c>
      <c r="C41" s="72">
        <v>0</v>
      </c>
      <c r="D41" s="72">
        <v>1782</v>
      </c>
      <c r="E41" s="72">
        <v>0</v>
      </c>
      <c r="F41" s="72">
        <v>882</v>
      </c>
      <c r="G41" s="73">
        <v>1388</v>
      </c>
      <c r="H41" s="73">
        <v>1804</v>
      </c>
      <c r="I41" s="72">
        <v>2612</v>
      </c>
      <c r="J41" s="73">
        <v>0</v>
      </c>
      <c r="K41" s="73">
        <v>6454</v>
      </c>
      <c r="L41" s="73">
        <v>6229</v>
      </c>
      <c r="M41" s="73">
        <v>8434</v>
      </c>
      <c r="N41" s="73">
        <v>10633</v>
      </c>
      <c r="O41" s="73">
        <v>11964.947</v>
      </c>
      <c r="P41" s="73">
        <v>11452.41</v>
      </c>
      <c r="Q41" s="73">
        <v>11144.386859999999</v>
      </c>
      <c r="R41" s="73">
        <v>12545.574890000004</v>
      </c>
      <c r="S41" s="73">
        <v>11600.873390000006</v>
      </c>
      <c r="T41" s="73">
        <v>12997.284390000013</v>
      </c>
      <c r="U41" s="73">
        <v>12759.38135</v>
      </c>
      <c r="V41" s="73">
        <v>12440.71624999997</v>
      </c>
      <c r="W41" s="73">
        <v>11878.993770000006</v>
      </c>
      <c r="X41" s="183">
        <v>14432.414850000003</v>
      </c>
      <c r="Y41" s="183">
        <v>16628.790110000002</v>
      </c>
    </row>
    <row r="42" spans="1:25" ht="18.75" thickTop="1" thickBot="1">
      <c r="A42" s="70" t="s">
        <v>27</v>
      </c>
      <c r="B42" s="96" t="s">
        <v>160</v>
      </c>
      <c r="C42" s="72">
        <v>0</v>
      </c>
      <c r="D42" s="72">
        <v>89</v>
      </c>
      <c r="E42" s="72">
        <v>1121</v>
      </c>
      <c r="F42" s="72">
        <v>6</v>
      </c>
      <c r="G42" s="73">
        <v>0</v>
      </c>
      <c r="H42" s="73">
        <v>12</v>
      </c>
      <c r="I42" s="72">
        <v>24</v>
      </c>
      <c r="J42" s="73">
        <v>1574</v>
      </c>
      <c r="K42" s="73">
        <v>110</v>
      </c>
      <c r="L42" s="73">
        <v>52</v>
      </c>
      <c r="M42" s="73">
        <v>59</v>
      </c>
      <c r="N42" s="73">
        <v>149</v>
      </c>
      <c r="O42" s="73">
        <v>173.59899999999999</v>
      </c>
      <c r="P42" s="73">
        <v>102.971</v>
      </c>
      <c r="Q42" s="73">
        <v>65.117739999999998</v>
      </c>
      <c r="R42" s="73">
        <v>208.58886000000001</v>
      </c>
      <c r="S42" s="73">
        <v>237.26011000000003</v>
      </c>
      <c r="T42" s="73">
        <v>267.62300999999997</v>
      </c>
      <c r="U42" s="73">
        <v>269.43774999999999</v>
      </c>
      <c r="V42" s="73">
        <v>170.14627999999999</v>
      </c>
      <c r="W42" s="73">
        <v>83.276610000000005</v>
      </c>
      <c r="X42" s="183">
        <v>172.43794</v>
      </c>
      <c r="Y42" s="183">
        <v>285.54616999999996</v>
      </c>
    </row>
    <row r="43" spans="1:25" ht="18.75" thickTop="1" thickBot="1">
      <c r="A43" s="80">
        <v>7</v>
      </c>
      <c r="B43" s="94" t="s">
        <v>118</v>
      </c>
      <c r="C43" s="82">
        <v>11647</v>
      </c>
      <c r="D43" s="82">
        <v>7863</v>
      </c>
      <c r="E43" s="82">
        <v>6147</v>
      </c>
      <c r="F43" s="82">
        <v>6541</v>
      </c>
      <c r="G43" s="82">
        <v>9166</v>
      </c>
      <c r="H43" s="82">
        <v>8295</v>
      </c>
      <c r="I43" s="82">
        <v>8402</v>
      </c>
      <c r="J43" s="82">
        <v>7304</v>
      </c>
      <c r="K43" s="82">
        <v>6991</v>
      </c>
      <c r="L43" s="82">
        <f>SUM(L44+L45+L46+L51)</f>
        <v>12875</v>
      </c>
      <c r="M43" s="82">
        <v>13041</v>
      </c>
      <c r="N43" s="82">
        <f>+(N44+N45+N46+N51)</f>
        <v>16273</v>
      </c>
      <c r="O43" s="82">
        <f>O44+O45+O46</f>
        <v>14761.288</v>
      </c>
      <c r="P43" s="82">
        <f>+P44+P45+P46+P51</f>
        <v>12943.230809999999</v>
      </c>
      <c r="Q43" s="82">
        <f>+Q44+Q45+Q46+Q51</f>
        <v>16007.760020000002</v>
      </c>
      <c r="R43" s="82">
        <f>+R44+R45+R46+R50</f>
        <v>17630.03096</v>
      </c>
      <c r="S43" s="82">
        <f>SUM(S44:S46)</f>
        <v>13956.153549999997</v>
      </c>
      <c r="T43" s="82">
        <f t="shared" ref="T43:X43" si="16">SUM(T44:T46)+T51</f>
        <v>10809.429180000006</v>
      </c>
      <c r="U43" s="82">
        <f t="shared" si="16"/>
        <v>11347.004080000001</v>
      </c>
      <c r="V43" s="82">
        <f t="shared" si="16"/>
        <v>4413.0510000000013</v>
      </c>
      <c r="W43" s="82">
        <f t="shared" si="16"/>
        <v>7305.5234199999977</v>
      </c>
      <c r="X43" s="82">
        <f t="shared" si="16"/>
        <v>9722.8975099999971</v>
      </c>
      <c r="Y43" s="82">
        <f>SUM(Y44:Y46)+Y51</f>
        <v>4638.8524799999996</v>
      </c>
    </row>
    <row r="44" spans="1:25" ht="18.75" thickTop="1" thickBot="1">
      <c r="A44" s="85">
        <v>7.1</v>
      </c>
      <c r="B44" s="95" t="s">
        <v>233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6.79</v>
      </c>
      <c r="P44" s="87">
        <v>0</v>
      </c>
      <c r="Q44" s="87">
        <v>9.8689699999999991</v>
      </c>
      <c r="R44" s="87">
        <v>15.73813</v>
      </c>
      <c r="S44" s="87">
        <v>26.518799999999999</v>
      </c>
      <c r="T44" s="87">
        <v>33.52129</v>
      </c>
      <c r="U44" s="87">
        <v>34.127330000000001</v>
      </c>
      <c r="V44" s="87">
        <v>24.50337</v>
      </c>
      <c r="W44" s="87">
        <v>15.893469999999999</v>
      </c>
      <c r="X44" s="87">
        <v>65.54728999999999</v>
      </c>
      <c r="Y44" s="87">
        <v>20.890700000000002</v>
      </c>
    </row>
    <row r="45" spans="1:25" ht="18.75" thickTop="1" thickBot="1">
      <c r="A45" s="85">
        <v>7.2</v>
      </c>
      <c r="B45" s="95" t="s">
        <v>234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  <c r="I45" s="87">
        <v>39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</row>
    <row r="46" spans="1:25" ht="18.75" thickTop="1" thickBot="1">
      <c r="A46" s="85">
        <v>7.3</v>
      </c>
      <c r="B46" s="95" t="s">
        <v>251</v>
      </c>
      <c r="C46" s="87">
        <v>0</v>
      </c>
      <c r="D46" s="87">
        <v>7873</v>
      </c>
      <c r="E46" s="87">
        <v>6147</v>
      </c>
      <c r="F46" s="87">
        <v>6541</v>
      </c>
      <c r="G46" s="87">
        <v>9166</v>
      </c>
      <c r="H46" s="87">
        <v>8295</v>
      </c>
      <c r="I46" s="87">
        <v>8363</v>
      </c>
      <c r="J46" s="87">
        <v>7304</v>
      </c>
      <c r="K46" s="87">
        <v>6991</v>
      </c>
      <c r="L46" s="87">
        <f t="shared" ref="L46:Q46" si="17">SUM(L47:L50)</f>
        <v>12875</v>
      </c>
      <c r="M46" s="87">
        <f t="shared" si="17"/>
        <v>13041</v>
      </c>
      <c r="N46" s="87">
        <f t="shared" si="17"/>
        <v>16273</v>
      </c>
      <c r="O46" s="87">
        <f t="shared" si="17"/>
        <v>14754.498</v>
      </c>
      <c r="P46" s="87">
        <f t="shared" si="17"/>
        <v>12887.027529999999</v>
      </c>
      <c r="Q46" s="87">
        <f t="shared" si="17"/>
        <v>15941.893230000001</v>
      </c>
      <c r="R46" s="87">
        <f t="shared" ref="R46:Y46" si="18">SUM(R47:R50)</f>
        <v>17591.385589999998</v>
      </c>
      <c r="S46" s="87">
        <f t="shared" si="18"/>
        <v>13929.634749999997</v>
      </c>
      <c r="T46" s="87">
        <f t="shared" si="18"/>
        <v>10727.396460000005</v>
      </c>
      <c r="U46" s="87">
        <f t="shared" si="18"/>
        <v>11312.876750000001</v>
      </c>
      <c r="V46" s="87">
        <f t="shared" si="18"/>
        <v>4388.5476300000009</v>
      </c>
      <c r="W46" s="87">
        <f t="shared" si="18"/>
        <v>7204.5475499999975</v>
      </c>
      <c r="X46" s="87">
        <f t="shared" si="18"/>
        <v>9363.2705399999959</v>
      </c>
      <c r="Y46" s="87">
        <f t="shared" si="18"/>
        <v>4473.1952899999997</v>
      </c>
    </row>
    <row r="47" spans="1:25" ht="18.75" thickTop="1" thickBot="1">
      <c r="A47" s="70" t="s">
        <v>28</v>
      </c>
      <c r="B47" s="96" t="s">
        <v>291</v>
      </c>
      <c r="C47" s="72">
        <v>0</v>
      </c>
      <c r="D47" s="72">
        <v>57</v>
      </c>
      <c r="E47" s="72">
        <v>27</v>
      </c>
      <c r="F47" s="72">
        <v>3</v>
      </c>
      <c r="G47" s="73">
        <v>6</v>
      </c>
      <c r="H47" s="73">
        <v>10</v>
      </c>
      <c r="I47" s="72">
        <v>7</v>
      </c>
      <c r="J47" s="73">
        <v>10</v>
      </c>
      <c r="K47" s="73">
        <v>25</v>
      </c>
      <c r="L47" s="73">
        <v>5</v>
      </c>
      <c r="M47" s="77">
        <v>39</v>
      </c>
      <c r="N47" s="73">
        <v>3</v>
      </c>
      <c r="O47" s="73">
        <v>16.504999999999999</v>
      </c>
      <c r="P47" s="73">
        <v>0</v>
      </c>
      <c r="Q47" s="73">
        <v>7.936700000000001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183">
        <v>0</v>
      </c>
      <c r="Y47" s="183">
        <v>0</v>
      </c>
    </row>
    <row r="48" spans="1:25" ht="18.75" thickTop="1" thickBot="1">
      <c r="A48" s="70" t="s">
        <v>29</v>
      </c>
      <c r="B48" s="96" t="s">
        <v>236</v>
      </c>
      <c r="C48" s="72">
        <v>0</v>
      </c>
      <c r="D48" s="72">
        <v>7816</v>
      </c>
      <c r="E48" s="72">
        <v>6120</v>
      </c>
      <c r="F48" s="72">
        <v>6538</v>
      </c>
      <c r="G48" s="73">
        <v>9160</v>
      </c>
      <c r="H48" s="73">
        <v>8273</v>
      </c>
      <c r="I48" s="72">
        <v>8356</v>
      </c>
      <c r="J48" s="73">
        <v>7159</v>
      </c>
      <c r="K48" s="73">
        <v>6948</v>
      </c>
      <c r="L48" s="73">
        <v>12870</v>
      </c>
      <c r="M48" s="77">
        <v>12998</v>
      </c>
      <c r="N48" s="73">
        <v>16269</v>
      </c>
      <c r="O48" s="73">
        <v>14732.169</v>
      </c>
      <c r="P48" s="73">
        <v>12873.80162</v>
      </c>
      <c r="Q48" s="73">
        <v>15912.567590000001</v>
      </c>
      <c r="R48" s="73">
        <v>17568.478349999998</v>
      </c>
      <c r="S48" s="73">
        <v>13921.807449999997</v>
      </c>
      <c r="T48" s="73">
        <v>10701.184530000006</v>
      </c>
      <c r="U48" s="73">
        <f>4653.61051+6652.03549</f>
        <v>11305.646000000001</v>
      </c>
      <c r="V48" s="73">
        <v>4372.2232500000009</v>
      </c>
      <c r="W48" s="73">
        <v>7204.5475499999975</v>
      </c>
      <c r="X48" s="183">
        <v>9363.2705399999959</v>
      </c>
      <c r="Y48" s="183">
        <v>4473.1952899999997</v>
      </c>
    </row>
    <row r="49" spans="1:27" ht="18.75" thickTop="1" thickBot="1">
      <c r="A49" s="70" t="s">
        <v>30</v>
      </c>
      <c r="B49" s="96" t="s">
        <v>292</v>
      </c>
      <c r="C49" s="72">
        <v>0</v>
      </c>
      <c r="D49" s="72">
        <v>0</v>
      </c>
      <c r="E49" s="72">
        <v>0</v>
      </c>
      <c r="F49" s="72">
        <v>0</v>
      </c>
      <c r="G49" s="73">
        <v>0</v>
      </c>
      <c r="H49" s="73">
        <v>0</v>
      </c>
      <c r="I49" s="72">
        <v>0</v>
      </c>
      <c r="J49" s="73">
        <v>0</v>
      </c>
      <c r="K49" s="73">
        <v>0</v>
      </c>
      <c r="L49" s="73">
        <v>0</v>
      </c>
      <c r="M49" s="77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183">
        <v>0</v>
      </c>
      <c r="Y49" s="183">
        <v>0</v>
      </c>
    </row>
    <row r="50" spans="1:27" ht="18.75" thickTop="1" thickBot="1">
      <c r="A50" s="70" t="s">
        <v>31</v>
      </c>
      <c r="B50" s="96" t="s">
        <v>254</v>
      </c>
      <c r="C50" s="72">
        <v>0</v>
      </c>
      <c r="D50" s="72">
        <v>0</v>
      </c>
      <c r="E50" s="72">
        <v>0</v>
      </c>
      <c r="F50" s="72">
        <v>0</v>
      </c>
      <c r="G50" s="73">
        <v>0</v>
      </c>
      <c r="H50" s="73">
        <v>12</v>
      </c>
      <c r="I50" s="72">
        <v>0</v>
      </c>
      <c r="J50" s="73">
        <v>135</v>
      </c>
      <c r="K50" s="73">
        <v>18</v>
      </c>
      <c r="L50" s="73">
        <v>0</v>
      </c>
      <c r="M50" s="77">
        <v>4</v>
      </c>
      <c r="N50" s="73">
        <v>1</v>
      </c>
      <c r="O50" s="73">
        <v>5.8239999999999998</v>
      </c>
      <c r="P50" s="73">
        <v>13.225910000000001</v>
      </c>
      <c r="Q50" s="73">
        <v>21.388939999999998</v>
      </c>
      <c r="R50" s="73">
        <v>22.907240000000002</v>
      </c>
      <c r="S50" s="73">
        <v>7.8273000000000001</v>
      </c>
      <c r="T50" s="73">
        <v>26.211929999999995</v>
      </c>
      <c r="U50" s="73">
        <v>7.2307499999999996</v>
      </c>
      <c r="V50" s="73">
        <v>16.324380000000001</v>
      </c>
      <c r="W50" s="174">
        <v>0</v>
      </c>
      <c r="X50" s="174">
        <v>0</v>
      </c>
      <c r="Y50" s="174">
        <v>0</v>
      </c>
    </row>
    <row r="51" spans="1:27" ht="18.75" thickTop="1" thickBot="1">
      <c r="A51" s="85">
        <v>7.4</v>
      </c>
      <c r="B51" s="95" t="s">
        <v>203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56.203279999999999</v>
      </c>
      <c r="Q51" s="87">
        <v>55.997819999999997</v>
      </c>
      <c r="R51" s="87">
        <v>0</v>
      </c>
      <c r="S51" s="87">
        <v>0</v>
      </c>
      <c r="T51" s="87">
        <v>48.511429999999997</v>
      </c>
      <c r="U51" s="87">
        <v>0</v>
      </c>
      <c r="V51" s="87">
        <v>0</v>
      </c>
      <c r="W51" s="87">
        <v>85.082399999999993</v>
      </c>
      <c r="X51" s="87">
        <v>294.07968</v>
      </c>
      <c r="Y51" s="87">
        <v>144.76649</v>
      </c>
    </row>
    <row r="52" spans="1:27" ht="18.75" thickTop="1" thickBot="1">
      <c r="A52" s="80">
        <v>8</v>
      </c>
      <c r="B52" s="94" t="s">
        <v>239</v>
      </c>
      <c r="C52" s="82">
        <v>0</v>
      </c>
      <c r="D52" s="82">
        <v>28</v>
      </c>
      <c r="E52" s="82">
        <v>3</v>
      </c>
      <c r="F52" s="82">
        <v>6</v>
      </c>
      <c r="G52" s="82">
        <v>11</v>
      </c>
      <c r="H52" s="82">
        <v>12</v>
      </c>
      <c r="I52" s="82">
        <v>13</v>
      </c>
      <c r="J52" s="82">
        <v>25</v>
      </c>
      <c r="K52" s="82">
        <v>81</v>
      </c>
      <c r="L52" s="82">
        <f t="shared" ref="L52:Q52" si="19">SUM(L53:L54)</f>
        <v>54</v>
      </c>
      <c r="M52" s="82">
        <f t="shared" si="19"/>
        <v>90</v>
      </c>
      <c r="N52" s="82">
        <f t="shared" si="19"/>
        <v>171</v>
      </c>
      <c r="O52" s="82">
        <f t="shared" si="19"/>
        <v>0.76214000000000004</v>
      </c>
      <c r="P52" s="82">
        <f t="shared" si="19"/>
        <v>244.00730999999999</v>
      </c>
      <c r="Q52" s="82">
        <f t="shared" si="19"/>
        <v>255.79599999999999</v>
      </c>
      <c r="R52" s="82">
        <f>SUM(R53:R54)</f>
        <v>196.36882999999997</v>
      </c>
      <c r="S52" s="82">
        <v>176.39071000000001</v>
      </c>
      <c r="T52" s="82">
        <v>115.93693000000002</v>
      </c>
      <c r="U52" s="82">
        <v>112.78080999999999</v>
      </c>
      <c r="V52" s="82">
        <v>124.85071000000001</v>
      </c>
      <c r="W52" s="82">
        <f>W53+W54</f>
        <v>148.20917</v>
      </c>
      <c r="X52" s="82">
        <f t="shared" ref="X52:Y52" si="20">X53+X54</f>
        <v>160.07518999999999</v>
      </c>
      <c r="Y52" s="82">
        <f t="shared" si="20"/>
        <v>193.72221000000002</v>
      </c>
    </row>
    <row r="53" spans="1:27" ht="18.75" thickTop="1" thickBot="1">
      <c r="A53" s="85">
        <v>8.1</v>
      </c>
      <c r="B53" s="95" t="s">
        <v>224</v>
      </c>
      <c r="C53" s="87">
        <v>0</v>
      </c>
      <c r="D53" s="87">
        <v>0</v>
      </c>
      <c r="E53" s="87">
        <v>0</v>
      </c>
      <c r="F53" s="87">
        <v>5</v>
      </c>
      <c r="G53" s="87">
        <v>1</v>
      </c>
      <c r="H53" s="87">
        <v>12</v>
      </c>
      <c r="I53" s="87">
        <v>13</v>
      </c>
      <c r="J53" s="87">
        <v>23</v>
      </c>
      <c r="K53" s="87">
        <v>61</v>
      </c>
      <c r="L53" s="87">
        <v>31</v>
      </c>
      <c r="M53" s="87">
        <v>69</v>
      </c>
      <c r="N53" s="87">
        <v>119</v>
      </c>
      <c r="O53" s="87">
        <v>0.59389999999999998</v>
      </c>
      <c r="P53" s="87">
        <v>195.08099999999999</v>
      </c>
      <c r="Q53" s="87">
        <v>225.30942999999999</v>
      </c>
      <c r="R53" s="87">
        <v>170.23454999999998</v>
      </c>
      <c r="S53" s="87">
        <v>148.53038000000001</v>
      </c>
      <c r="T53" s="87">
        <v>85.395800000000008</v>
      </c>
      <c r="U53" s="87">
        <v>96.13463999999999</v>
      </c>
      <c r="V53" s="87">
        <v>110.5946</v>
      </c>
      <c r="W53" s="87">
        <v>130.05445</v>
      </c>
      <c r="X53" s="87">
        <v>142.27956</v>
      </c>
      <c r="Y53" s="87">
        <v>172.7663</v>
      </c>
    </row>
    <row r="54" spans="1:27" ht="18.75" thickTop="1" thickBot="1">
      <c r="A54" s="85">
        <v>8.1999999999999993</v>
      </c>
      <c r="B54" s="95" t="s">
        <v>132</v>
      </c>
      <c r="C54" s="87">
        <v>0</v>
      </c>
      <c r="D54" s="87">
        <v>28</v>
      </c>
      <c r="E54" s="87">
        <v>3</v>
      </c>
      <c r="F54" s="87">
        <v>1</v>
      </c>
      <c r="G54" s="87">
        <v>10</v>
      </c>
      <c r="H54" s="87">
        <v>0</v>
      </c>
      <c r="I54" s="87">
        <v>0</v>
      </c>
      <c r="J54" s="87">
        <v>2</v>
      </c>
      <c r="K54" s="87">
        <v>20</v>
      </c>
      <c r="L54" s="87">
        <v>23</v>
      </c>
      <c r="M54" s="87">
        <v>21</v>
      </c>
      <c r="N54" s="87">
        <v>52</v>
      </c>
      <c r="O54" s="87">
        <v>0.16824</v>
      </c>
      <c r="P54" s="87">
        <v>48.926310000000001</v>
      </c>
      <c r="Q54" s="87">
        <v>30.48657</v>
      </c>
      <c r="R54" s="87">
        <v>26.13428</v>
      </c>
      <c r="S54" s="87">
        <v>27.860329999999998</v>
      </c>
      <c r="T54" s="87">
        <v>30.541130000000003</v>
      </c>
      <c r="U54" s="87">
        <v>16.646169999999998</v>
      </c>
      <c r="V54" s="87">
        <v>14.256110000000001</v>
      </c>
      <c r="W54" s="87">
        <v>18.154720000000001</v>
      </c>
      <c r="X54" s="87">
        <v>17.795629999999996</v>
      </c>
      <c r="Y54" s="87">
        <v>20.955910000000003</v>
      </c>
    </row>
    <row r="55" spans="1:27" ht="18.75" thickTop="1" thickBot="1">
      <c r="A55" s="80">
        <v>9</v>
      </c>
      <c r="B55" s="94" t="s">
        <v>120</v>
      </c>
      <c r="C55" s="82">
        <v>1092</v>
      </c>
      <c r="D55" s="82">
        <v>995</v>
      </c>
      <c r="E55" s="82">
        <v>693</v>
      </c>
      <c r="F55" s="82">
        <v>546</v>
      </c>
      <c r="G55" s="82">
        <v>441</v>
      </c>
      <c r="H55" s="82">
        <v>359</v>
      </c>
      <c r="I55" s="82">
        <v>808</v>
      </c>
      <c r="J55" s="82">
        <v>2373</v>
      </c>
      <c r="K55" s="82">
        <v>3715</v>
      </c>
      <c r="L55" s="82">
        <v>1233</v>
      </c>
      <c r="M55" s="82">
        <v>5097</v>
      </c>
      <c r="N55" s="82">
        <v>3865</v>
      </c>
      <c r="O55" s="82">
        <v>1815.31654</v>
      </c>
      <c r="P55" s="82">
        <v>1097.2969499999999</v>
      </c>
      <c r="Q55" s="82">
        <v>1200.6583600000001</v>
      </c>
      <c r="R55" s="82">
        <v>1383.6513399999994</v>
      </c>
      <c r="S55" s="82">
        <v>1204.0883300000003</v>
      </c>
      <c r="T55" s="82">
        <v>772.74483000000021</v>
      </c>
      <c r="U55" s="82">
        <v>893.97776999999996</v>
      </c>
      <c r="V55" s="82">
        <v>1559.5964699999995</v>
      </c>
      <c r="W55" s="82">
        <v>565.93730999999991</v>
      </c>
      <c r="X55" s="82">
        <v>1256.7618300000001</v>
      </c>
      <c r="Y55" s="82">
        <v>458.98906000000005</v>
      </c>
    </row>
    <row r="56" spans="1:27" ht="18.75" thickTop="1" thickBot="1">
      <c r="A56" s="80">
        <v>10</v>
      </c>
      <c r="B56" s="94" t="s">
        <v>121</v>
      </c>
      <c r="C56" s="82">
        <f t="shared" ref="C56:P56" si="21">+C57+C62+C63+C68</f>
        <v>0</v>
      </c>
      <c r="D56" s="82">
        <f t="shared" si="21"/>
        <v>28051</v>
      </c>
      <c r="E56" s="82">
        <f t="shared" si="21"/>
        <v>30904</v>
      </c>
      <c r="F56" s="82">
        <f t="shared" si="21"/>
        <v>20845</v>
      </c>
      <c r="G56" s="82">
        <f t="shared" si="21"/>
        <v>13437</v>
      </c>
      <c r="H56" s="82">
        <f t="shared" si="21"/>
        <v>45465</v>
      </c>
      <c r="I56" s="82">
        <f t="shared" si="21"/>
        <v>57793</v>
      </c>
      <c r="J56" s="82">
        <f t="shared" si="21"/>
        <v>69482</v>
      </c>
      <c r="K56" s="82">
        <f t="shared" si="21"/>
        <v>65196</v>
      </c>
      <c r="L56" s="82">
        <f t="shared" si="21"/>
        <v>68215</v>
      </c>
      <c r="M56" s="82">
        <f t="shared" si="21"/>
        <v>74865</v>
      </c>
      <c r="N56" s="82">
        <f t="shared" si="21"/>
        <v>90773</v>
      </c>
      <c r="O56" s="82">
        <f t="shared" si="21"/>
        <v>73577.786189999999</v>
      </c>
      <c r="P56" s="82">
        <f t="shared" si="21"/>
        <v>75496.403579999998</v>
      </c>
      <c r="Q56" s="82">
        <f>+Q57+Q62+Q63+Q68</f>
        <v>75362.926380000004</v>
      </c>
      <c r="R56" s="82">
        <f t="shared" ref="R56" si="22">+R57+R62+R63+R68</f>
        <v>64357.033620000009</v>
      </c>
      <c r="S56" s="82">
        <v>49144.707979999985</v>
      </c>
      <c r="T56" s="82">
        <f t="shared" ref="T56:X56" si="23">T57+T62+T63+T68</f>
        <v>74795.808779999934</v>
      </c>
      <c r="U56" s="82">
        <f t="shared" si="23"/>
        <v>75732.411769999962</v>
      </c>
      <c r="V56" s="82">
        <f t="shared" si="23"/>
        <v>70159.109830000001</v>
      </c>
      <c r="W56" s="82">
        <f t="shared" si="23"/>
        <v>59845.153650000007</v>
      </c>
      <c r="X56" s="82">
        <f t="shared" si="23"/>
        <v>110675.6949300001</v>
      </c>
      <c r="Y56" s="82">
        <f>Y57+Y62+Y63+Y68</f>
        <v>87603.932260000016</v>
      </c>
    </row>
    <row r="57" spans="1:27" ht="18.75" thickTop="1" thickBot="1">
      <c r="A57" s="85">
        <v>10.1</v>
      </c>
      <c r="B57" s="95" t="s">
        <v>285</v>
      </c>
      <c r="C57" s="87">
        <f t="shared" ref="C57:P57" si="24">SUM(C58:C61)</f>
        <v>0</v>
      </c>
      <c r="D57" s="87">
        <f t="shared" si="24"/>
        <v>28051</v>
      </c>
      <c r="E57" s="87">
        <f t="shared" si="24"/>
        <v>14631</v>
      </c>
      <c r="F57" s="87">
        <f t="shared" si="24"/>
        <v>14273</v>
      </c>
      <c r="G57" s="87">
        <f t="shared" si="24"/>
        <v>5514</v>
      </c>
      <c r="H57" s="87">
        <f t="shared" si="24"/>
        <v>25360</v>
      </c>
      <c r="I57" s="87">
        <f t="shared" si="24"/>
        <v>28829</v>
      </c>
      <c r="J57" s="87">
        <f t="shared" si="24"/>
        <v>28035</v>
      </c>
      <c r="K57" s="87">
        <f t="shared" si="24"/>
        <v>32197</v>
      </c>
      <c r="L57" s="87">
        <f t="shared" si="24"/>
        <v>23565</v>
      </c>
      <c r="M57" s="87">
        <f t="shared" si="24"/>
        <v>33394</v>
      </c>
      <c r="N57" s="87">
        <f t="shared" si="24"/>
        <v>41229</v>
      </c>
      <c r="O57" s="87">
        <f t="shared" si="24"/>
        <v>33129.989799999996</v>
      </c>
      <c r="P57" s="87">
        <f t="shared" si="24"/>
        <v>36748.708579999999</v>
      </c>
      <c r="Q57" s="87">
        <f>SUM(Q58:Q61)</f>
        <v>37108.119550000003</v>
      </c>
      <c r="R57" s="87">
        <f>SUM(R58:R61)</f>
        <v>28635.824090000006</v>
      </c>
      <c r="S57" s="87">
        <v>18127.657379999997</v>
      </c>
      <c r="T57" s="87">
        <f t="shared" ref="T57:Y57" si="25">SUM(T58:T61)</f>
        <v>37655.473749999954</v>
      </c>
      <c r="U57" s="87">
        <f t="shared" si="25"/>
        <v>38523.936569999976</v>
      </c>
      <c r="V57" s="87">
        <f t="shared" si="25"/>
        <v>34261.16534</v>
      </c>
      <c r="W57" s="87">
        <f t="shared" si="25"/>
        <v>25872.472639999985</v>
      </c>
      <c r="X57" s="87">
        <f t="shared" si="25"/>
        <v>69321.68980000008</v>
      </c>
      <c r="Y57" s="87">
        <f t="shared" si="25"/>
        <v>41363.424900000027</v>
      </c>
    </row>
    <row r="58" spans="1:27" ht="21.75" thickTop="1" thickBot="1">
      <c r="A58" s="70" t="s">
        <v>32</v>
      </c>
      <c r="B58" s="97" t="s">
        <v>241</v>
      </c>
      <c r="C58" s="72">
        <v>0</v>
      </c>
      <c r="D58" s="72">
        <v>6941</v>
      </c>
      <c r="E58" s="72">
        <v>4077</v>
      </c>
      <c r="F58" s="72">
        <v>3529</v>
      </c>
      <c r="G58" s="73">
        <v>4727</v>
      </c>
      <c r="H58" s="73">
        <v>5823</v>
      </c>
      <c r="I58" s="72">
        <v>6259</v>
      </c>
      <c r="J58" s="73">
        <v>5588</v>
      </c>
      <c r="K58" s="73">
        <v>7985</v>
      </c>
      <c r="L58" s="73">
        <v>6113</v>
      </c>
      <c r="M58" s="73">
        <v>6045</v>
      </c>
      <c r="N58" s="73">
        <v>7132</v>
      </c>
      <c r="O58" s="73">
        <v>6256.6530000000002</v>
      </c>
      <c r="P58" s="73">
        <v>6153.0825800000002</v>
      </c>
      <c r="Q58" s="73">
        <v>5622.9032100000004</v>
      </c>
      <c r="R58" s="73">
        <v>4516.3936500000009</v>
      </c>
      <c r="S58" s="73">
        <v>3609.9161500000009</v>
      </c>
      <c r="T58" s="73">
        <v>3249.9469599999993</v>
      </c>
      <c r="U58" s="73">
        <v>3906.6604700000003</v>
      </c>
      <c r="V58" s="73">
        <v>2632.7325700000006</v>
      </c>
      <c r="W58" s="73">
        <v>1547.0102199999997</v>
      </c>
      <c r="X58" s="183">
        <v>1750.8690000000004</v>
      </c>
      <c r="Y58" s="183">
        <v>2793.1771699999999</v>
      </c>
      <c r="AA58" s="194"/>
    </row>
    <row r="59" spans="1:27" ht="21.75" thickTop="1" thickBot="1">
      <c r="A59" s="70" t="s">
        <v>33</v>
      </c>
      <c r="B59" s="97" t="s">
        <v>256</v>
      </c>
      <c r="C59" s="72">
        <v>0</v>
      </c>
      <c r="D59" s="72">
        <v>8529</v>
      </c>
      <c r="E59" s="72">
        <v>3247</v>
      </c>
      <c r="F59" s="72">
        <v>1856</v>
      </c>
      <c r="G59" s="73">
        <v>760</v>
      </c>
      <c r="H59" s="73">
        <v>5683</v>
      </c>
      <c r="I59" s="72">
        <v>5795</v>
      </c>
      <c r="J59" s="73">
        <v>5077</v>
      </c>
      <c r="K59" s="73">
        <v>5958</v>
      </c>
      <c r="L59" s="73">
        <v>5128</v>
      </c>
      <c r="M59" s="73">
        <v>4490</v>
      </c>
      <c r="N59" s="73">
        <v>5457</v>
      </c>
      <c r="O59" s="73">
        <v>0</v>
      </c>
      <c r="P59" s="73">
        <v>0</v>
      </c>
      <c r="Q59" s="73">
        <v>1364.902</v>
      </c>
      <c r="R59" s="73">
        <v>1352.57212</v>
      </c>
      <c r="S59" s="73">
        <v>0</v>
      </c>
      <c r="T59" s="73">
        <v>0</v>
      </c>
      <c r="U59" s="73">
        <v>0</v>
      </c>
      <c r="V59" s="73">
        <v>0</v>
      </c>
      <c r="W59" s="73">
        <v>231.44704999999988</v>
      </c>
      <c r="X59" s="183">
        <v>419.83964999999989</v>
      </c>
      <c r="Y59" s="183">
        <v>192.10382999999996</v>
      </c>
      <c r="AA59" s="194"/>
    </row>
    <row r="60" spans="1:27" ht="21.75" thickTop="1" thickBot="1">
      <c r="A60" s="70" t="s">
        <v>34</v>
      </c>
      <c r="B60" s="97" t="s">
        <v>257</v>
      </c>
      <c r="C60" s="72">
        <v>0</v>
      </c>
      <c r="D60" s="72">
        <v>6679</v>
      </c>
      <c r="E60" s="72">
        <v>5684</v>
      </c>
      <c r="F60" s="72">
        <v>4766</v>
      </c>
      <c r="G60" s="73">
        <v>15</v>
      </c>
      <c r="H60" s="73">
        <v>6964</v>
      </c>
      <c r="I60" s="74">
        <v>7412</v>
      </c>
      <c r="J60" s="73">
        <v>8055</v>
      </c>
      <c r="K60" s="73">
        <v>9813</v>
      </c>
      <c r="L60" s="73">
        <v>8460</v>
      </c>
      <c r="M60" s="73">
        <v>11718</v>
      </c>
      <c r="N60" s="73">
        <v>10244</v>
      </c>
      <c r="O60" s="73">
        <v>10317.0098</v>
      </c>
      <c r="P60" s="73">
        <v>10163.567999999999</v>
      </c>
      <c r="Q60" s="73">
        <v>10833.98993</v>
      </c>
      <c r="R60" s="73">
        <v>8572.9903299999987</v>
      </c>
      <c r="S60" s="73">
        <v>9091.6255799999999</v>
      </c>
      <c r="T60" s="73">
        <v>19082.294959999977</v>
      </c>
      <c r="U60" s="73">
        <v>18332.636199999986</v>
      </c>
      <c r="V60" s="73">
        <v>18151.580230000003</v>
      </c>
      <c r="W60" s="73">
        <v>13752.508869999985</v>
      </c>
      <c r="X60" s="183">
        <v>14854.620460000002</v>
      </c>
      <c r="Y60" s="183">
        <v>17603.573380000013</v>
      </c>
      <c r="AA60" s="194"/>
    </row>
    <row r="61" spans="1:27" ht="21.75" thickTop="1" thickBot="1">
      <c r="A61" s="70" t="s">
        <v>35</v>
      </c>
      <c r="B61" s="97" t="s">
        <v>258</v>
      </c>
      <c r="C61" s="72">
        <v>0</v>
      </c>
      <c r="D61" s="72">
        <v>5902</v>
      </c>
      <c r="E61" s="72">
        <v>1623</v>
      </c>
      <c r="F61" s="72">
        <v>4122</v>
      </c>
      <c r="G61" s="73">
        <v>12</v>
      </c>
      <c r="H61" s="73">
        <v>6890</v>
      </c>
      <c r="I61" s="74">
        <v>9363</v>
      </c>
      <c r="J61" s="73">
        <v>9315</v>
      </c>
      <c r="K61" s="73">
        <v>8441</v>
      </c>
      <c r="L61" s="73">
        <v>3864</v>
      </c>
      <c r="M61" s="73">
        <v>11141</v>
      </c>
      <c r="N61" s="73">
        <v>18396</v>
      </c>
      <c r="O61" s="73">
        <f>1268.88693+15287.44007</f>
        <v>16556.327000000001</v>
      </c>
      <c r="P61" s="73">
        <v>20432.058000000001</v>
      </c>
      <c r="Q61" s="73">
        <v>19286.324410000001</v>
      </c>
      <c r="R61" s="73">
        <v>14193.867990000006</v>
      </c>
      <c r="S61" s="73">
        <v>5426.1156499999979</v>
      </c>
      <c r="T61" s="73">
        <v>15323.231829999975</v>
      </c>
      <c r="U61" s="73">
        <v>16284.639899999995</v>
      </c>
      <c r="V61" s="73">
        <v>13476.852539999994</v>
      </c>
      <c r="W61" s="73">
        <v>10341.506500000001</v>
      </c>
      <c r="X61" s="183">
        <v>52296.360690000074</v>
      </c>
      <c r="Y61" s="183">
        <v>20774.570520000016</v>
      </c>
      <c r="AA61" s="194"/>
    </row>
    <row r="62" spans="1:27" ht="21.75" thickTop="1" thickBot="1">
      <c r="A62" s="85">
        <v>10.199999999999999</v>
      </c>
      <c r="B62" s="95" t="s">
        <v>135</v>
      </c>
      <c r="C62" s="87">
        <v>0</v>
      </c>
      <c r="D62" s="87">
        <v>0</v>
      </c>
      <c r="E62" s="87">
        <v>7</v>
      </c>
      <c r="F62" s="87">
        <v>48</v>
      </c>
      <c r="G62" s="87">
        <v>905</v>
      </c>
      <c r="H62" s="87">
        <v>101</v>
      </c>
      <c r="I62" s="87">
        <v>100</v>
      </c>
      <c r="J62" s="87">
        <v>133</v>
      </c>
      <c r="K62" s="87">
        <v>6895</v>
      </c>
      <c r="L62" s="87">
        <v>4115</v>
      </c>
      <c r="M62" s="87">
        <v>3738</v>
      </c>
      <c r="N62" s="87">
        <v>120</v>
      </c>
      <c r="O62" s="87">
        <v>633.64011000000005</v>
      </c>
      <c r="P62" s="87">
        <v>988.18799999999999</v>
      </c>
      <c r="Q62" s="87">
        <v>441.21802000000002</v>
      </c>
      <c r="R62" s="87">
        <v>732</v>
      </c>
      <c r="S62" s="87">
        <v>358</v>
      </c>
      <c r="T62" s="87">
        <v>622.98713999999973</v>
      </c>
      <c r="U62" s="87">
        <v>898.26450000000057</v>
      </c>
      <c r="V62" s="87">
        <v>791.82438999999965</v>
      </c>
      <c r="W62" s="87">
        <v>1277.3445300000005</v>
      </c>
      <c r="X62" s="87">
        <v>1973.8817400000012</v>
      </c>
      <c r="Y62" s="87">
        <v>3373.1799299999993</v>
      </c>
      <c r="AA62" s="194"/>
    </row>
    <row r="63" spans="1:27" ht="21.75" thickTop="1" thickBot="1">
      <c r="A63" s="85">
        <v>10.3</v>
      </c>
      <c r="B63" s="95" t="s">
        <v>136</v>
      </c>
      <c r="C63" s="87">
        <f t="shared" ref="C63:P63" si="26">SUM(C64:C67)</f>
        <v>0</v>
      </c>
      <c r="D63" s="87">
        <f t="shared" si="26"/>
        <v>0</v>
      </c>
      <c r="E63" s="87">
        <f t="shared" si="26"/>
        <v>12165</v>
      </c>
      <c r="F63" s="87">
        <f t="shared" si="26"/>
        <v>6358</v>
      </c>
      <c r="G63" s="87">
        <f t="shared" si="26"/>
        <v>3673</v>
      </c>
      <c r="H63" s="87">
        <f t="shared" si="26"/>
        <v>17193</v>
      </c>
      <c r="I63" s="87">
        <f t="shared" si="26"/>
        <v>26431</v>
      </c>
      <c r="J63" s="87">
        <f t="shared" si="26"/>
        <v>39029</v>
      </c>
      <c r="K63" s="87">
        <f t="shared" si="26"/>
        <v>23298</v>
      </c>
      <c r="L63" s="87">
        <f t="shared" si="26"/>
        <v>38183</v>
      </c>
      <c r="M63" s="87">
        <f t="shared" si="26"/>
        <v>34923</v>
      </c>
      <c r="N63" s="87">
        <f t="shared" si="26"/>
        <v>46407</v>
      </c>
      <c r="O63" s="87">
        <f t="shared" si="26"/>
        <v>36928.929710000004</v>
      </c>
      <c r="P63" s="87">
        <f t="shared" si="26"/>
        <v>34728.716999999997</v>
      </c>
      <c r="Q63" s="87">
        <f>SUM(Q64:Q67)</f>
        <v>34149.098729999998</v>
      </c>
      <c r="R63" s="87">
        <f>SUM(R64:R67)</f>
        <v>32137.209530000004</v>
      </c>
      <c r="S63" s="87">
        <v>27393.050599999988</v>
      </c>
      <c r="T63" s="87">
        <f t="shared" ref="T63:Y63" si="27">SUM(T64:T67)</f>
        <v>33605.32641999999</v>
      </c>
      <c r="U63" s="87">
        <f t="shared" si="27"/>
        <v>33125.897829999994</v>
      </c>
      <c r="V63" s="87">
        <f t="shared" si="27"/>
        <v>32396.968850000005</v>
      </c>
      <c r="W63" s="87">
        <f t="shared" si="27"/>
        <v>29814.236370000024</v>
      </c>
      <c r="X63" s="87">
        <f t="shared" si="27"/>
        <v>36552.747370000026</v>
      </c>
      <c r="Y63" s="87">
        <f t="shared" si="27"/>
        <v>39884.912629999992</v>
      </c>
      <c r="AA63" s="194"/>
    </row>
    <row r="64" spans="1:27" ht="21.75" thickTop="1" thickBot="1">
      <c r="A64" s="70" t="s">
        <v>36</v>
      </c>
      <c r="B64" s="97" t="s">
        <v>243</v>
      </c>
      <c r="C64" s="72">
        <v>0</v>
      </c>
      <c r="D64" s="72">
        <v>0</v>
      </c>
      <c r="E64" s="72">
        <v>7833</v>
      </c>
      <c r="F64" s="72">
        <v>5949</v>
      </c>
      <c r="G64" s="73">
        <v>3386</v>
      </c>
      <c r="H64" s="73">
        <v>11735</v>
      </c>
      <c r="I64" s="72">
        <v>13494</v>
      </c>
      <c r="J64" s="73">
        <v>12142</v>
      </c>
      <c r="K64" s="73">
        <v>17301</v>
      </c>
      <c r="L64" s="73">
        <v>9686</v>
      </c>
      <c r="M64" s="73">
        <v>21073</v>
      </c>
      <c r="N64" s="73">
        <v>20935</v>
      </c>
      <c r="O64" s="73">
        <v>18468.202270000002</v>
      </c>
      <c r="P64" s="73">
        <v>14827.82</v>
      </c>
      <c r="Q64" s="73">
        <v>13297.627500000001</v>
      </c>
      <c r="R64" s="73">
        <v>11467.226020000007</v>
      </c>
      <c r="S64" s="73">
        <v>6583.459789999999</v>
      </c>
      <c r="T64" s="73">
        <v>12616.031289999986</v>
      </c>
      <c r="U64" s="73">
        <v>13003.33149</v>
      </c>
      <c r="V64" s="73">
        <v>12388.14457</v>
      </c>
      <c r="W64" s="73">
        <v>9133.1646500000061</v>
      </c>
      <c r="X64" s="183">
        <v>14893.301490000013</v>
      </c>
      <c r="Y64" s="183">
        <v>17417.825679999991</v>
      </c>
      <c r="AA64" s="194"/>
    </row>
    <row r="65" spans="1:27" ht="21.75" thickTop="1" thickBot="1">
      <c r="A65" s="70" t="s">
        <v>37</v>
      </c>
      <c r="B65" s="97" t="s">
        <v>262</v>
      </c>
      <c r="C65" s="72">
        <v>0</v>
      </c>
      <c r="D65" s="72">
        <v>0</v>
      </c>
      <c r="E65" s="72">
        <v>235</v>
      </c>
      <c r="F65" s="72">
        <v>7</v>
      </c>
      <c r="G65" s="73">
        <v>23</v>
      </c>
      <c r="H65" s="73">
        <v>4089</v>
      </c>
      <c r="I65" s="72">
        <v>10505</v>
      </c>
      <c r="J65" s="73">
        <v>16705</v>
      </c>
      <c r="K65" s="73">
        <v>139</v>
      </c>
      <c r="L65" s="73">
        <v>8017</v>
      </c>
      <c r="M65" s="73">
        <v>10057</v>
      </c>
      <c r="N65" s="73">
        <v>21610</v>
      </c>
      <c r="O65" s="73">
        <v>15775.556</v>
      </c>
      <c r="P65" s="73">
        <v>16344.668</v>
      </c>
      <c r="Q65" s="73">
        <v>16468.298569999999</v>
      </c>
      <c r="R65" s="73">
        <v>15738.513509999995</v>
      </c>
      <c r="S65" s="73">
        <v>16586.881459999982</v>
      </c>
      <c r="T65" s="73">
        <v>16591.549330000005</v>
      </c>
      <c r="U65" s="73">
        <v>15375.141309999997</v>
      </c>
      <c r="V65" s="73">
        <v>15409.020620000005</v>
      </c>
      <c r="W65" s="73">
        <v>16319.722690000019</v>
      </c>
      <c r="X65" s="183">
        <v>15892.271840000014</v>
      </c>
      <c r="Y65" s="183">
        <v>16012.224740000001</v>
      </c>
      <c r="AA65" s="194"/>
    </row>
    <row r="66" spans="1:27" ht="21.75" thickTop="1" thickBot="1">
      <c r="A66" s="70" t="s">
        <v>38</v>
      </c>
      <c r="B66" s="97" t="s">
        <v>294</v>
      </c>
      <c r="C66" s="72">
        <v>0</v>
      </c>
      <c r="D66" s="72">
        <v>0</v>
      </c>
      <c r="E66" s="72">
        <v>4097</v>
      </c>
      <c r="F66" s="72">
        <v>402</v>
      </c>
      <c r="G66" s="73">
        <v>264</v>
      </c>
      <c r="H66" s="73">
        <v>1208</v>
      </c>
      <c r="I66" s="72">
        <v>2307</v>
      </c>
      <c r="J66" s="73">
        <v>9281</v>
      </c>
      <c r="K66" s="73">
        <v>5595</v>
      </c>
      <c r="L66" s="73">
        <v>20332</v>
      </c>
      <c r="M66" s="73">
        <v>3411</v>
      </c>
      <c r="N66" s="73">
        <v>3484</v>
      </c>
      <c r="O66" s="73">
        <v>2408.0230000000001</v>
      </c>
      <c r="P66" s="73">
        <v>3231.4380000000001</v>
      </c>
      <c r="Q66" s="73">
        <v>4088.6777600000014</v>
      </c>
      <c r="R66" s="73">
        <v>4709</v>
      </c>
      <c r="S66" s="73">
        <v>3942.6818800000028</v>
      </c>
      <c r="T66" s="73">
        <v>4114.0531699999983</v>
      </c>
      <c r="U66" s="73">
        <v>4567.0455400000001</v>
      </c>
      <c r="V66" s="73">
        <v>4441.5710799999979</v>
      </c>
      <c r="W66" s="73">
        <v>4273.8447400000014</v>
      </c>
      <c r="X66" s="183">
        <v>5681.210939999999</v>
      </c>
      <c r="Y66" s="183">
        <v>6271.0339299999996</v>
      </c>
      <c r="AA66" s="194"/>
    </row>
    <row r="67" spans="1:27" ht="35.25" customHeight="1" thickTop="1" thickBot="1">
      <c r="A67" s="70" t="s">
        <v>39</v>
      </c>
      <c r="B67" s="98" t="s">
        <v>310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161</v>
      </c>
      <c r="I67" s="72">
        <v>125</v>
      </c>
      <c r="J67" s="72">
        <v>901</v>
      </c>
      <c r="K67" s="72">
        <v>263</v>
      </c>
      <c r="L67" s="72">
        <v>148</v>
      </c>
      <c r="M67" s="72">
        <v>382</v>
      </c>
      <c r="N67" s="72">
        <v>378</v>
      </c>
      <c r="O67" s="72">
        <v>277.14843999999999</v>
      </c>
      <c r="P67" s="72">
        <v>324.791</v>
      </c>
      <c r="Q67" s="72">
        <v>294.49490000000003</v>
      </c>
      <c r="R67" s="72">
        <v>222.47</v>
      </c>
      <c r="S67" s="72">
        <v>280.02746999999999</v>
      </c>
      <c r="T67" s="72">
        <v>283.69263000000007</v>
      </c>
      <c r="U67" s="72">
        <v>180.37949000000006</v>
      </c>
      <c r="V67" s="72">
        <v>158.23258000000001</v>
      </c>
      <c r="W67" s="72">
        <v>87.504289999999997</v>
      </c>
      <c r="X67" s="72">
        <v>85.963100000000011</v>
      </c>
      <c r="Y67" s="72">
        <v>183.82827999999998</v>
      </c>
      <c r="AA67" s="194"/>
    </row>
    <row r="68" spans="1:27" ht="39" customHeight="1" thickTop="1" thickBot="1">
      <c r="A68" s="85">
        <v>10.4</v>
      </c>
      <c r="B68" s="95" t="s">
        <v>247</v>
      </c>
      <c r="C68" s="87">
        <v>0</v>
      </c>
      <c r="D68" s="87">
        <v>0</v>
      </c>
      <c r="E68" s="87">
        <v>4101</v>
      </c>
      <c r="F68" s="87">
        <v>166</v>
      </c>
      <c r="G68" s="87">
        <v>3345</v>
      </c>
      <c r="H68" s="87">
        <v>2811</v>
      </c>
      <c r="I68" s="87">
        <v>2433</v>
      </c>
      <c r="J68" s="87">
        <v>2285</v>
      </c>
      <c r="K68" s="87">
        <v>2806</v>
      </c>
      <c r="L68" s="87">
        <v>2352</v>
      </c>
      <c r="M68" s="87">
        <v>2810</v>
      </c>
      <c r="N68" s="87">
        <v>3017</v>
      </c>
      <c r="O68" s="87">
        <v>2885.2265699999998</v>
      </c>
      <c r="P68" s="87">
        <v>3030.79</v>
      </c>
      <c r="Q68" s="87">
        <v>3664.49008</v>
      </c>
      <c r="R68" s="87">
        <v>2852</v>
      </c>
      <c r="S68" s="87">
        <v>3266</v>
      </c>
      <c r="T68" s="87">
        <v>2912.0214699999992</v>
      </c>
      <c r="U68" s="87">
        <v>3184.3128699999988</v>
      </c>
      <c r="V68" s="87">
        <v>2709.1512499999999</v>
      </c>
      <c r="W68" s="87">
        <v>2881.1001100000012</v>
      </c>
      <c r="X68" s="87">
        <v>2827.3760200000011</v>
      </c>
      <c r="Y68" s="87">
        <v>2982.4148000000009</v>
      </c>
      <c r="AA68" s="194"/>
    </row>
    <row r="69" spans="1:27" ht="21.75" thickTop="1" thickBot="1">
      <c r="A69" s="106"/>
      <c r="B69" s="107" t="s">
        <v>52</v>
      </c>
      <c r="C69" s="108">
        <f t="shared" ref="C69:M69" si="28">+C56+C55+C52+C43+C28+C24+C20+C19+C13</f>
        <v>24200</v>
      </c>
      <c r="D69" s="108">
        <f t="shared" si="28"/>
        <v>52867</v>
      </c>
      <c r="E69" s="108">
        <f t="shared" si="28"/>
        <v>45861</v>
      </c>
      <c r="F69" s="108">
        <f t="shared" si="28"/>
        <v>35623</v>
      </c>
      <c r="G69" s="108">
        <f t="shared" si="28"/>
        <v>35822</v>
      </c>
      <c r="H69" s="106">
        <f t="shared" si="28"/>
        <v>70861</v>
      </c>
      <c r="I69" s="107">
        <f t="shared" si="28"/>
        <v>86596</v>
      </c>
      <c r="J69" s="108">
        <f t="shared" si="28"/>
        <v>102870</v>
      </c>
      <c r="K69" s="108">
        <f t="shared" si="28"/>
        <v>107158</v>
      </c>
      <c r="L69" s="108">
        <f t="shared" si="28"/>
        <v>109638</v>
      </c>
      <c r="M69" s="108">
        <f t="shared" si="28"/>
        <v>122511</v>
      </c>
      <c r="N69" s="108">
        <f>+N56+N55+N52+N43+N28+N24+N20+N19+N13</f>
        <v>148687</v>
      </c>
      <c r="O69" s="108">
        <f t="shared" ref="O69:R69" si="29">+O56+O55+O52+O43+O28+O24+O23+O20+O19+O13</f>
        <v>119964.45397</v>
      </c>
      <c r="P69" s="108">
        <f t="shared" si="29"/>
        <v>122369.29287</v>
      </c>
      <c r="Q69" s="108">
        <f t="shared" si="29"/>
        <v>129440.40075000002</v>
      </c>
      <c r="R69" s="108">
        <f t="shared" si="29"/>
        <v>114748.83452</v>
      </c>
      <c r="S69" s="108">
        <f t="shared" ref="S69:W69" si="30">+S56+S55+S52+S43+S28+S24+S23+S20+S19+S13</f>
        <v>92168.130359999966</v>
      </c>
      <c r="T69" s="108">
        <f t="shared" si="30"/>
        <v>114422.37091999993</v>
      </c>
      <c r="U69" s="108">
        <f t="shared" si="30"/>
        <v>117107.63953999999</v>
      </c>
      <c r="V69" s="108">
        <f t="shared" si="30"/>
        <v>102884.04882999999</v>
      </c>
      <c r="W69" s="108">
        <f t="shared" si="30"/>
        <v>99263.549570000017</v>
      </c>
      <c r="X69" s="108">
        <f>+X56+X55+X52+X43+X28+X24+X23+X20+X19+X13</f>
        <v>161016.39096000011</v>
      </c>
      <c r="Y69" s="108">
        <f>+Y56+Y55+Y52+Y43+Y28+Y24+Y23+Y20+Y19+Y13</f>
        <v>137612.37293000004</v>
      </c>
      <c r="AA69" s="194"/>
    </row>
    <row r="70" spans="1:27" ht="15.75" thickTop="1">
      <c r="U70" s="206"/>
      <c r="V70" s="207"/>
      <c r="W70" s="207"/>
      <c r="X70" s="207"/>
      <c r="Y70" s="14"/>
    </row>
    <row r="71" spans="1:27" ht="15.75">
      <c r="B71" s="99" t="s">
        <v>181</v>
      </c>
    </row>
    <row r="73" spans="1:27" ht="18" customHeight="1">
      <c r="A73" s="222" t="s">
        <v>165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</row>
    <row r="74" spans="1:27" ht="21.75" customHeight="1" thickBot="1">
      <c r="A74" s="78" t="s">
        <v>101</v>
      </c>
      <c r="B74" s="78" t="s">
        <v>102</v>
      </c>
      <c r="C74" s="78">
        <v>2000</v>
      </c>
      <c r="D74" s="78">
        <v>2001</v>
      </c>
      <c r="E74" s="78">
        <v>2002</v>
      </c>
      <c r="F74" s="78">
        <v>2003</v>
      </c>
      <c r="G74" s="78">
        <v>2004</v>
      </c>
      <c r="H74" s="78">
        <v>2005</v>
      </c>
      <c r="I74" s="78">
        <v>2006</v>
      </c>
      <c r="J74" s="78">
        <v>2007</v>
      </c>
      <c r="K74" s="78">
        <v>2008</v>
      </c>
      <c r="L74" s="78">
        <v>2009</v>
      </c>
      <c r="M74" s="78">
        <v>2010</v>
      </c>
      <c r="N74" s="78">
        <v>2011</v>
      </c>
      <c r="O74" s="78">
        <v>2012</v>
      </c>
      <c r="P74" s="78">
        <v>2013</v>
      </c>
      <c r="Q74" s="78">
        <v>2014</v>
      </c>
      <c r="R74" s="78">
        <v>2015</v>
      </c>
      <c r="S74" s="78">
        <v>2016</v>
      </c>
      <c r="T74" s="78">
        <v>2017</v>
      </c>
      <c r="U74" s="78">
        <v>2018</v>
      </c>
      <c r="V74" s="78">
        <v>2019</v>
      </c>
      <c r="W74" s="78">
        <v>2020</v>
      </c>
      <c r="X74" s="78">
        <v>2021</v>
      </c>
      <c r="Y74" s="78">
        <v>2022</v>
      </c>
    </row>
    <row r="75" spans="1:27" ht="18.75" thickTop="1" thickBot="1">
      <c r="A75" s="80">
        <v>11</v>
      </c>
      <c r="B75" s="94" t="s">
        <v>167</v>
      </c>
      <c r="C75" s="83">
        <f t="shared" ref="C75:O75" si="31">+C76+C80+C81+C82+C83</f>
        <v>0</v>
      </c>
      <c r="D75" s="101">
        <f t="shared" si="31"/>
        <v>0</v>
      </c>
      <c r="E75" s="83">
        <f t="shared" si="31"/>
        <v>2517</v>
      </c>
      <c r="F75" s="101">
        <f t="shared" si="31"/>
        <v>932</v>
      </c>
      <c r="G75" s="83">
        <f t="shared" si="31"/>
        <v>5750</v>
      </c>
      <c r="H75" s="101">
        <f t="shared" si="31"/>
        <v>18489</v>
      </c>
      <c r="I75" s="83">
        <f t="shared" si="31"/>
        <v>21618</v>
      </c>
      <c r="J75" s="101">
        <f t="shared" si="31"/>
        <v>22761</v>
      </c>
      <c r="K75" s="83">
        <f t="shared" si="31"/>
        <v>38710</v>
      </c>
      <c r="L75" s="101">
        <f t="shared" si="31"/>
        <v>32733</v>
      </c>
      <c r="M75" s="83">
        <f t="shared" si="31"/>
        <v>49718</v>
      </c>
      <c r="N75" s="101">
        <f t="shared" si="31"/>
        <v>71030</v>
      </c>
      <c r="O75" s="83">
        <f t="shared" si="31"/>
        <v>63491.096089999999</v>
      </c>
      <c r="P75" s="101">
        <f t="shared" ref="P75:W75" si="32">+P76+P80+P81+P82+P83</f>
        <v>47158.389410000003</v>
      </c>
      <c r="Q75" s="83">
        <f t="shared" si="32"/>
        <v>84649.339110000175</v>
      </c>
      <c r="R75" s="101">
        <f t="shared" si="32"/>
        <v>83717.106490000006</v>
      </c>
      <c r="S75" s="83">
        <f t="shared" si="32"/>
        <v>76923.158810000066</v>
      </c>
      <c r="T75" s="83">
        <f t="shared" si="32"/>
        <v>80837.431509999878</v>
      </c>
      <c r="U75" s="83">
        <f t="shared" si="32"/>
        <v>82163.52174000004</v>
      </c>
      <c r="V75" s="83">
        <f t="shared" si="32"/>
        <v>74298.076299999899</v>
      </c>
      <c r="W75" s="83">
        <f t="shared" si="32"/>
        <v>93303.783980000037</v>
      </c>
      <c r="X75" s="101">
        <f>+X76+X80+X81+X82+X83</f>
        <v>57994.074419999997</v>
      </c>
      <c r="Y75" s="83">
        <f t="shared" ref="Y75" si="33">+Y76+Y80+Y81+Y82+Y83</f>
        <v>78880.120840000003</v>
      </c>
    </row>
    <row r="76" spans="1:27" ht="18.75" thickTop="1" thickBot="1">
      <c r="A76" s="85" t="s">
        <v>42</v>
      </c>
      <c r="B76" s="95" t="s">
        <v>260</v>
      </c>
      <c r="C76" s="104">
        <f t="shared" ref="C76:P76" si="34">SUM(C77:C78)</f>
        <v>0</v>
      </c>
      <c r="D76" s="102">
        <f t="shared" si="34"/>
        <v>0</v>
      </c>
      <c r="E76" s="104">
        <f t="shared" si="34"/>
        <v>721</v>
      </c>
      <c r="F76" s="102">
        <f t="shared" si="34"/>
        <v>311</v>
      </c>
      <c r="G76" s="104">
        <f t="shared" si="34"/>
        <v>820</v>
      </c>
      <c r="H76" s="102">
        <f t="shared" si="34"/>
        <v>1355</v>
      </c>
      <c r="I76" s="104">
        <f t="shared" si="34"/>
        <v>1379</v>
      </c>
      <c r="J76" s="102">
        <f t="shared" si="34"/>
        <v>1810</v>
      </c>
      <c r="K76" s="104">
        <f t="shared" si="34"/>
        <v>2947</v>
      </c>
      <c r="L76" s="102">
        <f t="shared" si="34"/>
        <v>2147</v>
      </c>
      <c r="M76" s="104">
        <f t="shared" si="34"/>
        <v>2257</v>
      </c>
      <c r="N76" s="102">
        <f t="shared" si="34"/>
        <v>2949</v>
      </c>
      <c r="O76" s="104">
        <f t="shared" si="34"/>
        <v>2737.8387000000002</v>
      </c>
      <c r="P76" s="102">
        <f t="shared" si="34"/>
        <v>2937.9389600000004</v>
      </c>
      <c r="Q76" s="104">
        <f>SUM(Q77:Q78)</f>
        <v>1798.76874</v>
      </c>
      <c r="R76" s="102">
        <f t="shared" ref="R76:X76" si="35">R77+R78</f>
        <v>2345.41165</v>
      </c>
      <c r="S76" s="104">
        <f t="shared" si="35"/>
        <v>1339.9241299999999</v>
      </c>
      <c r="T76" s="104">
        <f t="shared" si="35"/>
        <v>1339.9241299999999</v>
      </c>
      <c r="U76" s="104">
        <f t="shared" si="35"/>
        <v>1603.2941300000005</v>
      </c>
      <c r="V76" s="104">
        <f t="shared" si="35"/>
        <v>1554.32268</v>
      </c>
      <c r="W76" s="104">
        <f t="shared" si="35"/>
        <v>1750.2128399999999</v>
      </c>
      <c r="X76" s="102">
        <f t="shared" si="35"/>
        <v>2305.1752099999999</v>
      </c>
      <c r="Y76" s="102">
        <f>Y77+Y78</f>
        <v>3457.9360299999998</v>
      </c>
    </row>
    <row r="77" spans="1:27" ht="18.75" thickTop="1" thickBot="1">
      <c r="A77" s="70" t="s">
        <v>43</v>
      </c>
      <c r="B77" s="96" t="s">
        <v>125</v>
      </c>
      <c r="C77" s="76">
        <v>0</v>
      </c>
      <c r="D77" s="105">
        <v>0</v>
      </c>
      <c r="E77" s="76">
        <v>182</v>
      </c>
      <c r="F77" s="105">
        <v>14</v>
      </c>
      <c r="G77" s="76">
        <v>124</v>
      </c>
      <c r="H77" s="105">
        <v>186</v>
      </c>
      <c r="I77" s="76">
        <v>93</v>
      </c>
      <c r="J77" s="105">
        <v>123</v>
      </c>
      <c r="K77" s="76">
        <v>119</v>
      </c>
      <c r="L77" s="105">
        <v>80</v>
      </c>
      <c r="M77" s="76">
        <v>230</v>
      </c>
      <c r="N77" s="105">
        <v>406</v>
      </c>
      <c r="O77" s="76">
        <v>711.48855000000003</v>
      </c>
      <c r="P77" s="105">
        <v>765.32590000000005</v>
      </c>
      <c r="Q77" s="76">
        <v>647.64553000000012</v>
      </c>
      <c r="R77" s="105">
        <v>897.34719999999993</v>
      </c>
      <c r="S77" s="76">
        <v>585.37822999999992</v>
      </c>
      <c r="T77" s="76">
        <v>599.66662999999994</v>
      </c>
      <c r="U77" s="76">
        <v>472.1742200000001</v>
      </c>
      <c r="V77" s="105">
        <v>351.55268000000007</v>
      </c>
      <c r="W77" s="105">
        <v>410.18047000000007</v>
      </c>
      <c r="X77" s="105">
        <v>438.17520999999982</v>
      </c>
      <c r="Y77" s="105">
        <v>727.6108200000001</v>
      </c>
    </row>
    <row r="78" spans="1:27" ht="18.75" thickTop="1" thickBot="1">
      <c r="A78" s="70" t="s">
        <v>44</v>
      </c>
      <c r="B78" s="96" t="s">
        <v>126</v>
      </c>
      <c r="C78" s="76">
        <v>0</v>
      </c>
      <c r="D78" s="105">
        <v>0</v>
      </c>
      <c r="E78" s="76">
        <v>539</v>
      </c>
      <c r="F78" s="105">
        <v>297</v>
      </c>
      <c r="G78" s="76">
        <v>696</v>
      </c>
      <c r="H78" s="105">
        <v>1169</v>
      </c>
      <c r="I78" s="76">
        <v>1286</v>
      </c>
      <c r="J78" s="105">
        <v>1687</v>
      </c>
      <c r="K78" s="76">
        <v>2828</v>
      </c>
      <c r="L78" s="105">
        <v>2067</v>
      </c>
      <c r="M78" s="76">
        <v>2027</v>
      </c>
      <c r="N78" s="105">
        <v>2543</v>
      </c>
      <c r="O78" s="76">
        <v>2026.35015</v>
      </c>
      <c r="P78" s="105">
        <v>2172.6130600000001</v>
      </c>
      <c r="Q78" s="76">
        <v>1151.1232099999997</v>
      </c>
      <c r="R78" s="105">
        <f>R79+88.35</f>
        <v>1448.0644499999999</v>
      </c>
      <c r="S78" s="76">
        <v>754.54590000000007</v>
      </c>
      <c r="T78" s="76">
        <v>740.25750000000005</v>
      </c>
      <c r="U78" s="76">
        <v>1131.1199100000003</v>
      </c>
      <c r="V78" s="105">
        <v>1202.77</v>
      </c>
      <c r="W78" s="105">
        <v>1340.0323699999999</v>
      </c>
      <c r="X78" s="105">
        <v>1867</v>
      </c>
      <c r="Y78" s="105">
        <v>2730.32521</v>
      </c>
    </row>
    <row r="79" spans="1:27" ht="18.75" thickTop="1" thickBot="1">
      <c r="A79" s="70" t="s">
        <v>45</v>
      </c>
      <c r="B79" s="96" t="s">
        <v>155</v>
      </c>
      <c r="C79" s="76">
        <v>0</v>
      </c>
      <c r="D79" s="105">
        <v>0</v>
      </c>
      <c r="E79" s="76">
        <v>539</v>
      </c>
      <c r="F79" s="105">
        <v>297</v>
      </c>
      <c r="G79" s="76">
        <v>696</v>
      </c>
      <c r="H79" s="105">
        <v>1169</v>
      </c>
      <c r="I79" s="76">
        <v>1286</v>
      </c>
      <c r="J79" s="105">
        <v>1687</v>
      </c>
      <c r="K79" s="76">
        <v>2828</v>
      </c>
      <c r="L79" s="105">
        <v>2067</v>
      </c>
      <c r="M79" s="76">
        <v>2027</v>
      </c>
      <c r="N79" s="105">
        <v>2543</v>
      </c>
      <c r="O79" s="76">
        <v>2026</v>
      </c>
      <c r="P79" s="105">
        <v>2173</v>
      </c>
      <c r="Q79" s="76">
        <v>1103.1232099999997</v>
      </c>
      <c r="R79" s="105">
        <v>1359.7144499999999</v>
      </c>
      <c r="S79" s="76">
        <v>723.27229999999997</v>
      </c>
      <c r="T79" s="76">
        <v>740.0277000000001</v>
      </c>
      <c r="U79" s="76">
        <v>1129.3713200000004</v>
      </c>
      <c r="V79" s="105">
        <v>1097.3800000000001</v>
      </c>
      <c r="W79" s="105">
        <v>1261.86799</v>
      </c>
      <c r="X79" s="105">
        <v>712.86963000000003</v>
      </c>
      <c r="Y79" s="105">
        <v>928.65969999999993</v>
      </c>
    </row>
    <row r="80" spans="1:27" ht="18.75" thickTop="1" thickBot="1">
      <c r="A80" s="85" t="s">
        <v>46</v>
      </c>
      <c r="B80" s="95" t="s">
        <v>261</v>
      </c>
      <c r="C80" s="104">
        <v>0</v>
      </c>
      <c r="D80" s="102">
        <v>0</v>
      </c>
      <c r="E80" s="104">
        <v>250</v>
      </c>
      <c r="F80" s="102">
        <v>316</v>
      </c>
      <c r="G80" s="104">
        <v>483</v>
      </c>
      <c r="H80" s="102">
        <v>688</v>
      </c>
      <c r="I80" s="104">
        <v>560</v>
      </c>
      <c r="J80" s="102">
        <v>339</v>
      </c>
      <c r="K80" s="104">
        <v>898</v>
      </c>
      <c r="L80" s="102">
        <v>691</v>
      </c>
      <c r="M80" s="104">
        <v>1357</v>
      </c>
      <c r="N80" s="102">
        <v>1420</v>
      </c>
      <c r="O80" s="104">
        <v>1098.39564</v>
      </c>
      <c r="P80" s="102">
        <v>1114.0236</v>
      </c>
      <c r="Q80" s="104">
        <v>1098.8564500000002</v>
      </c>
      <c r="R80" s="102">
        <v>1485.1968399999996</v>
      </c>
      <c r="S80" s="104">
        <v>883.98356000000024</v>
      </c>
      <c r="T80" s="104">
        <v>935.45964999999933</v>
      </c>
      <c r="U80" s="104">
        <v>904.01139999999998</v>
      </c>
      <c r="V80" s="118">
        <v>1231.4393300000006</v>
      </c>
      <c r="W80" s="118">
        <v>963.57460000000015</v>
      </c>
      <c r="X80" s="118">
        <v>1009.0020100000005</v>
      </c>
      <c r="Y80" s="102">
        <v>2006.7538399999987</v>
      </c>
    </row>
    <row r="81" spans="1:26" ht="18.75" thickTop="1" thickBot="1">
      <c r="A81" s="85" t="s">
        <v>47</v>
      </c>
      <c r="B81" s="95" t="s">
        <v>272</v>
      </c>
      <c r="C81" s="104">
        <v>0</v>
      </c>
      <c r="D81" s="102">
        <v>0</v>
      </c>
      <c r="E81" s="104">
        <v>1546</v>
      </c>
      <c r="F81" s="102">
        <v>305</v>
      </c>
      <c r="G81" s="104">
        <v>1922</v>
      </c>
      <c r="H81" s="102">
        <v>2736</v>
      </c>
      <c r="I81" s="104">
        <v>1694</v>
      </c>
      <c r="J81" s="102">
        <v>1917</v>
      </c>
      <c r="K81" s="104">
        <v>2582</v>
      </c>
      <c r="L81" s="102">
        <v>2218</v>
      </c>
      <c r="M81" s="104">
        <v>3415</v>
      </c>
      <c r="N81" s="102">
        <v>4707</v>
      </c>
      <c r="O81" s="104">
        <v>4816.7279900000003</v>
      </c>
      <c r="P81" s="102">
        <v>5567.5439699999997</v>
      </c>
      <c r="Q81" s="104">
        <v>3340.9239399999997</v>
      </c>
      <c r="R81" s="102">
        <v>3994.4978000000001</v>
      </c>
      <c r="S81" s="104">
        <v>3309.8801499999972</v>
      </c>
      <c r="T81" s="104">
        <v>3787.8908800000013</v>
      </c>
      <c r="U81" s="104">
        <v>4758.3135699999975</v>
      </c>
      <c r="V81" s="118">
        <v>4678.84</v>
      </c>
      <c r="W81" s="118">
        <v>7251.2263800000046</v>
      </c>
      <c r="X81" s="118">
        <v>7769.1661700000031</v>
      </c>
      <c r="Y81" s="118">
        <v>2122.1974499999997</v>
      </c>
    </row>
    <row r="82" spans="1:26" ht="18.75" thickTop="1" thickBot="1">
      <c r="A82" s="85" t="s">
        <v>48</v>
      </c>
      <c r="B82" s="95" t="s">
        <v>168</v>
      </c>
      <c r="C82" s="104">
        <v>0</v>
      </c>
      <c r="D82" s="102">
        <v>0</v>
      </c>
      <c r="E82" s="104">
        <v>0</v>
      </c>
      <c r="F82" s="102">
        <v>0</v>
      </c>
      <c r="G82" s="104">
        <v>2490</v>
      </c>
      <c r="H82" s="102">
        <v>11409</v>
      </c>
      <c r="I82" s="104">
        <v>15734</v>
      </c>
      <c r="J82" s="102">
        <v>16272</v>
      </c>
      <c r="K82" s="104">
        <v>26706</v>
      </c>
      <c r="L82" s="102">
        <v>25928</v>
      </c>
      <c r="M82" s="104">
        <v>39260</v>
      </c>
      <c r="N82" s="102">
        <v>48733</v>
      </c>
      <c r="O82" s="104">
        <v>43952.117789999997</v>
      </c>
      <c r="P82" s="102">
        <v>20384.59534</v>
      </c>
      <c r="Q82" s="104">
        <v>51549.856930000155</v>
      </c>
      <c r="R82" s="102">
        <v>61721.14087000001</v>
      </c>
      <c r="S82" s="104">
        <v>51879.500290000055</v>
      </c>
      <c r="T82" s="104">
        <v>59383.826439999888</v>
      </c>
      <c r="U82" s="104">
        <v>63082.938870000042</v>
      </c>
      <c r="V82" s="118">
        <v>52149.592949999889</v>
      </c>
      <c r="W82" s="118">
        <v>55950.491480000012</v>
      </c>
      <c r="X82" s="102">
        <v>46527.866529999992</v>
      </c>
      <c r="Y82" s="102">
        <f>23993.17896+46808</f>
        <v>70801.178960000005</v>
      </c>
    </row>
    <row r="83" spans="1:26" ht="18.75" thickTop="1" thickBot="1">
      <c r="A83" s="95" t="s">
        <v>49</v>
      </c>
      <c r="B83" s="95" t="s">
        <v>169</v>
      </c>
      <c r="C83" s="104">
        <v>0</v>
      </c>
      <c r="D83" s="102">
        <v>0</v>
      </c>
      <c r="E83" s="104">
        <v>0</v>
      </c>
      <c r="F83" s="102">
        <v>0</v>
      </c>
      <c r="G83" s="104">
        <v>35</v>
      </c>
      <c r="H83" s="102">
        <v>2301</v>
      </c>
      <c r="I83" s="104">
        <v>2251</v>
      </c>
      <c r="J83" s="102">
        <v>2423</v>
      </c>
      <c r="K83" s="104">
        <v>5577</v>
      </c>
      <c r="L83" s="102">
        <v>1749</v>
      </c>
      <c r="M83" s="104">
        <v>3429</v>
      </c>
      <c r="N83" s="102">
        <v>13221</v>
      </c>
      <c r="O83" s="104">
        <v>10886.01597</v>
      </c>
      <c r="P83" s="102">
        <v>17154.287540000001</v>
      </c>
      <c r="Q83" s="104">
        <v>26860.933050000025</v>
      </c>
      <c r="R83" s="102">
        <v>14170.859329999994</v>
      </c>
      <c r="S83" s="104">
        <v>19509.870680000018</v>
      </c>
      <c r="T83" s="104">
        <v>15390.330409999993</v>
      </c>
      <c r="U83" s="104">
        <v>11814.963770000008</v>
      </c>
      <c r="V83" s="118">
        <v>14683.881340000002</v>
      </c>
      <c r="W83" s="118">
        <v>27388.27868000001</v>
      </c>
      <c r="X83" s="102">
        <v>382.86450000000002</v>
      </c>
      <c r="Y83" s="102">
        <v>492.05455999999998</v>
      </c>
    </row>
    <row r="84" spans="1:26" ht="18.75" thickTop="1" thickBot="1">
      <c r="A84" s="80">
        <v>12</v>
      </c>
      <c r="B84" s="94" t="s">
        <v>170</v>
      </c>
      <c r="C84" s="83">
        <f t="shared" ref="C84:W84" si="36">+C85+C86+C87+C88+C89+C90+C91</f>
        <v>0</v>
      </c>
      <c r="D84" s="101">
        <f t="shared" si="36"/>
        <v>0</v>
      </c>
      <c r="E84" s="83">
        <f t="shared" si="36"/>
        <v>29181</v>
      </c>
      <c r="F84" s="101">
        <f t="shared" si="36"/>
        <v>29454</v>
      </c>
      <c r="G84" s="83">
        <f t="shared" si="36"/>
        <v>34505</v>
      </c>
      <c r="H84" s="101">
        <f t="shared" si="36"/>
        <v>48207</v>
      </c>
      <c r="I84" s="83">
        <f t="shared" si="36"/>
        <v>45368</v>
      </c>
      <c r="J84" s="101">
        <f t="shared" si="36"/>
        <v>51954</v>
      </c>
      <c r="K84" s="83">
        <f t="shared" si="36"/>
        <v>63498</v>
      </c>
      <c r="L84" s="101">
        <f t="shared" si="36"/>
        <v>60110</v>
      </c>
      <c r="M84" s="83">
        <f t="shared" si="36"/>
        <v>73662</v>
      </c>
      <c r="N84" s="101">
        <f t="shared" si="36"/>
        <v>98278</v>
      </c>
      <c r="O84" s="83">
        <f t="shared" si="36"/>
        <v>68047.328470000008</v>
      </c>
      <c r="P84" s="101">
        <f t="shared" si="36"/>
        <v>75365.000039999999</v>
      </c>
      <c r="Q84" s="83">
        <f t="shared" si="36"/>
        <v>81067.629189999978</v>
      </c>
      <c r="R84" s="101">
        <f t="shared" si="36"/>
        <v>80997.716879999978</v>
      </c>
      <c r="S84" s="83">
        <f>+S85+S86+S87+S88+S89+S90+S91</f>
        <v>84092.647549999689</v>
      </c>
      <c r="T84" s="83">
        <f t="shared" si="36"/>
        <v>88339.025339999964</v>
      </c>
      <c r="U84" s="83">
        <f t="shared" si="36"/>
        <v>93248.461489999987</v>
      </c>
      <c r="V84" s="83">
        <f t="shared" si="36"/>
        <v>86944.878429999982</v>
      </c>
      <c r="W84" s="83">
        <f t="shared" si="36"/>
        <v>82135.986199999898</v>
      </c>
      <c r="X84" s="101">
        <f>+X85+X86+X87+X88+X89+X90+X91</f>
        <v>90558.309799999959</v>
      </c>
      <c r="Y84" s="101">
        <f>+Y85+Y86+Y87+Y88+Y89+Y90+Y91</f>
        <v>103089.62529000001</v>
      </c>
    </row>
    <row r="85" spans="1:26" ht="18.75" thickTop="1" thickBot="1">
      <c r="A85" s="85">
        <v>12.1</v>
      </c>
      <c r="B85" s="95" t="s">
        <v>171</v>
      </c>
      <c r="C85" s="104">
        <v>0</v>
      </c>
      <c r="D85" s="102">
        <v>0</v>
      </c>
      <c r="E85" s="104">
        <v>16</v>
      </c>
      <c r="F85" s="102">
        <v>15</v>
      </c>
      <c r="G85" s="104">
        <v>35</v>
      </c>
      <c r="H85" s="102">
        <v>66</v>
      </c>
      <c r="I85" s="104">
        <v>123</v>
      </c>
      <c r="J85" s="102">
        <v>197</v>
      </c>
      <c r="K85" s="104">
        <v>285</v>
      </c>
      <c r="L85" s="102">
        <v>182</v>
      </c>
      <c r="M85" s="104">
        <v>107</v>
      </c>
      <c r="N85" s="102">
        <v>181</v>
      </c>
      <c r="O85" s="104">
        <v>279.29019</v>
      </c>
      <c r="P85" s="102">
        <v>141.53385</v>
      </c>
      <c r="Q85" s="104">
        <v>232.37313999999998</v>
      </c>
      <c r="R85" s="102">
        <v>243.81432999999996</v>
      </c>
      <c r="S85" s="104">
        <v>212.08767000000003</v>
      </c>
      <c r="T85" s="104">
        <v>140.86669000000001</v>
      </c>
      <c r="U85" s="104">
        <v>158.42117000000002</v>
      </c>
      <c r="V85" s="118">
        <v>293.84398999999996</v>
      </c>
      <c r="W85" s="118">
        <v>171.17800999999997</v>
      </c>
      <c r="X85" s="102">
        <v>229.44753999999998</v>
      </c>
      <c r="Y85" s="102">
        <v>226.67483000000001</v>
      </c>
    </row>
    <row r="86" spans="1:26" ht="35.25" customHeight="1" thickTop="1" thickBot="1">
      <c r="A86" s="85">
        <v>12.2</v>
      </c>
      <c r="B86" s="95" t="s">
        <v>304</v>
      </c>
      <c r="C86" s="104">
        <v>0</v>
      </c>
      <c r="D86" s="102">
        <v>0</v>
      </c>
      <c r="E86" s="104">
        <v>1646</v>
      </c>
      <c r="F86" s="102">
        <v>2386</v>
      </c>
      <c r="G86" s="104">
        <v>1197</v>
      </c>
      <c r="H86" s="102">
        <v>12026</v>
      </c>
      <c r="I86" s="104">
        <v>3961</v>
      </c>
      <c r="J86" s="102">
        <v>4109</v>
      </c>
      <c r="K86" s="104">
        <v>5008</v>
      </c>
      <c r="L86" s="102">
        <v>4984</v>
      </c>
      <c r="M86" s="104">
        <v>6085</v>
      </c>
      <c r="N86" s="102">
        <v>6683</v>
      </c>
      <c r="O86" s="104">
        <v>6845.5850700000001</v>
      </c>
      <c r="P86" s="102">
        <v>7259.5187400000004</v>
      </c>
      <c r="Q86" s="104">
        <v>3627.9493199999979</v>
      </c>
      <c r="R86" s="102">
        <v>7585.038929999997</v>
      </c>
      <c r="S86" s="104">
        <v>3037.1780899999999</v>
      </c>
      <c r="T86" s="104">
        <v>4029.9044199999962</v>
      </c>
      <c r="U86" s="104">
        <v>5208.8471200000022</v>
      </c>
      <c r="V86" s="118">
        <v>4774.3156599999984</v>
      </c>
      <c r="W86" s="118">
        <v>7154.5941700000021</v>
      </c>
      <c r="X86" s="102">
        <v>8288.2153199999884</v>
      </c>
      <c r="Y86" s="102">
        <v>11018.490839999997</v>
      </c>
    </row>
    <row r="87" spans="1:26" ht="18.75" thickTop="1" thickBot="1">
      <c r="A87" s="85">
        <v>12.3</v>
      </c>
      <c r="B87" s="95" t="s">
        <v>305</v>
      </c>
      <c r="C87" s="104">
        <v>0</v>
      </c>
      <c r="D87" s="102">
        <v>0</v>
      </c>
      <c r="E87" s="104">
        <v>383</v>
      </c>
      <c r="F87" s="102">
        <v>395</v>
      </c>
      <c r="G87" s="104">
        <v>505</v>
      </c>
      <c r="H87" s="102">
        <v>257</v>
      </c>
      <c r="I87" s="104">
        <v>420</v>
      </c>
      <c r="J87" s="102">
        <v>411</v>
      </c>
      <c r="K87" s="104">
        <v>521</v>
      </c>
      <c r="L87" s="102">
        <v>578</v>
      </c>
      <c r="M87" s="104">
        <v>743</v>
      </c>
      <c r="N87" s="102">
        <v>769</v>
      </c>
      <c r="O87" s="104">
        <v>456.40958999999998</v>
      </c>
      <c r="P87" s="102">
        <v>389.86259999999999</v>
      </c>
      <c r="Q87" s="104">
        <v>302.93279999999993</v>
      </c>
      <c r="R87" s="102">
        <v>219.15244999999999</v>
      </c>
      <c r="S87" s="104">
        <v>132.98805999999999</v>
      </c>
      <c r="T87" s="104">
        <v>194.76184000000001</v>
      </c>
      <c r="U87" s="104">
        <v>149.99241999999998</v>
      </c>
      <c r="V87" s="118">
        <v>183.69755999999998</v>
      </c>
      <c r="W87" s="118">
        <v>107.18692999999999</v>
      </c>
      <c r="X87" s="102">
        <v>194.81579000000013</v>
      </c>
      <c r="Y87" s="102">
        <v>220.51503000000002</v>
      </c>
    </row>
    <row r="88" spans="1:26" ht="18.75" thickTop="1" thickBot="1">
      <c r="A88" s="85">
        <v>12.4</v>
      </c>
      <c r="B88" s="95" t="s">
        <v>172</v>
      </c>
      <c r="C88" s="104">
        <v>0</v>
      </c>
      <c r="D88" s="102">
        <v>0</v>
      </c>
      <c r="E88" s="104">
        <v>14237</v>
      </c>
      <c r="F88" s="102">
        <v>10355</v>
      </c>
      <c r="G88" s="104">
        <v>10684</v>
      </c>
      <c r="H88" s="102">
        <v>11730</v>
      </c>
      <c r="I88" s="104">
        <v>13277</v>
      </c>
      <c r="J88" s="102">
        <v>14041</v>
      </c>
      <c r="K88" s="104">
        <v>19066</v>
      </c>
      <c r="L88" s="102">
        <v>18719</v>
      </c>
      <c r="M88" s="104">
        <v>22916</v>
      </c>
      <c r="N88" s="102">
        <v>30960</v>
      </c>
      <c r="O88" s="104">
        <v>8936.6555200000003</v>
      </c>
      <c r="P88" s="102">
        <v>11644.756380000001</v>
      </c>
      <c r="Q88" s="104">
        <v>12560.058739999991</v>
      </c>
      <c r="R88" s="102">
        <v>9997.0366399999893</v>
      </c>
      <c r="S88" s="104">
        <v>10980.553640000004</v>
      </c>
      <c r="T88" s="104">
        <v>13778.314430000008</v>
      </c>
      <c r="U88" s="104">
        <v>14687.828300000023</v>
      </c>
      <c r="V88" s="118">
        <v>14950.747679999969</v>
      </c>
      <c r="W88" s="118">
        <v>13592.394309999992</v>
      </c>
      <c r="X88" s="102">
        <v>16572.511090000029</v>
      </c>
      <c r="Y88" s="102">
        <v>23725.679530000012</v>
      </c>
    </row>
    <row r="89" spans="1:26" ht="18.75" thickTop="1" thickBot="1">
      <c r="A89" s="85">
        <v>12.5</v>
      </c>
      <c r="B89" s="95" t="s">
        <v>306</v>
      </c>
      <c r="C89" s="104">
        <v>0</v>
      </c>
      <c r="D89" s="102">
        <v>0</v>
      </c>
      <c r="E89" s="104">
        <v>6273</v>
      </c>
      <c r="F89" s="102">
        <v>10536</v>
      </c>
      <c r="G89" s="104">
        <v>12132</v>
      </c>
      <c r="H89" s="102">
        <v>12955</v>
      </c>
      <c r="I89" s="104">
        <v>15621</v>
      </c>
      <c r="J89" s="102">
        <v>18165</v>
      </c>
      <c r="K89" s="104">
        <v>20924</v>
      </c>
      <c r="L89" s="102">
        <v>19537</v>
      </c>
      <c r="M89" s="104">
        <v>27928</v>
      </c>
      <c r="N89" s="102">
        <v>36309</v>
      </c>
      <c r="O89" s="104">
        <v>28606.000469999999</v>
      </c>
      <c r="P89" s="102">
        <v>31454.577280000001</v>
      </c>
      <c r="Q89" s="104">
        <v>35799.225439999995</v>
      </c>
      <c r="R89" s="102">
        <v>33506.37743</v>
      </c>
      <c r="S89" s="104">
        <v>30467.020869999928</v>
      </c>
      <c r="T89" s="104">
        <v>33132.788989999957</v>
      </c>
      <c r="U89" s="104">
        <v>33722.617439999958</v>
      </c>
      <c r="V89" s="118">
        <v>29712.81354000001</v>
      </c>
      <c r="W89" s="118">
        <v>30466.105620000002</v>
      </c>
      <c r="X89" s="102">
        <v>41809.522839999932</v>
      </c>
      <c r="Y89" s="102">
        <v>36666.978500000092</v>
      </c>
    </row>
    <row r="90" spans="1:26" ht="18.75" thickTop="1" thickBot="1">
      <c r="A90" s="85">
        <v>12.6</v>
      </c>
      <c r="B90" s="95" t="s">
        <v>276</v>
      </c>
      <c r="C90" s="104">
        <v>0</v>
      </c>
      <c r="D90" s="102">
        <v>0</v>
      </c>
      <c r="E90" s="104">
        <v>6626</v>
      </c>
      <c r="F90" s="102">
        <v>5767</v>
      </c>
      <c r="G90" s="104">
        <v>6839</v>
      </c>
      <c r="H90" s="102">
        <v>6789</v>
      </c>
      <c r="I90" s="104">
        <v>6822</v>
      </c>
      <c r="J90" s="102">
        <v>7676</v>
      </c>
      <c r="K90" s="104">
        <v>8893</v>
      </c>
      <c r="L90" s="102">
        <v>8028</v>
      </c>
      <c r="M90" s="104">
        <v>4149</v>
      </c>
      <c r="N90" s="102">
        <v>10889</v>
      </c>
      <c r="O90" s="104">
        <v>11337.79321</v>
      </c>
      <c r="P90" s="102">
        <v>11231.453310000001</v>
      </c>
      <c r="Q90" s="104">
        <v>15077.659439999999</v>
      </c>
      <c r="R90" s="102">
        <v>14994.117850000001</v>
      </c>
      <c r="S90" s="102">
        <v>12055.542900000017</v>
      </c>
      <c r="T90" s="102">
        <v>14791</v>
      </c>
      <c r="U90" s="102">
        <v>14292</v>
      </c>
      <c r="V90" s="102">
        <v>14568</v>
      </c>
      <c r="W90" s="118">
        <v>13862.235309999967</v>
      </c>
      <c r="X90" s="102">
        <v>3849.13384</v>
      </c>
      <c r="Y90" s="102">
        <v>3591.5250500000029</v>
      </c>
    </row>
    <row r="91" spans="1:26" ht="18.75" thickTop="1" thickBot="1">
      <c r="A91" s="85">
        <v>12.7</v>
      </c>
      <c r="B91" s="95" t="s">
        <v>174</v>
      </c>
      <c r="C91" s="104">
        <v>0</v>
      </c>
      <c r="D91" s="102">
        <v>0</v>
      </c>
      <c r="E91" s="104">
        <v>0</v>
      </c>
      <c r="F91" s="102">
        <v>0</v>
      </c>
      <c r="G91" s="104">
        <v>3113</v>
      </c>
      <c r="H91" s="102">
        <v>4384</v>
      </c>
      <c r="I91" s="104">
        <v>5144</v>
      </c>
      <c r="J91" s="102">
        <v>7355</v>
      </c>
      <c r="K91" s="104">
        <v>8801</v>
      </c>
      <c r="L91" s="102">
        <v>8082</v>
      </c>
      <c r="M91" s="104">
        <v>11734</v>
      </c>
      <c r="N91" s="102">
        <v>12487</v>
      </c>
      <c r="O91" s="104">
        <v>11585.594420000001</v>
      </c>
      <c r="P91" s="102">
        <v>13243.29788</v>
      </c>
      <c r="Q91" s="104">
        <v>13467.43031</v>
      </c>
      <c r="R91" s="102">
        <v>14452.179249999999</v>
      </c>
      <c r="S91" s="104">
        <v>27207.276319999743</v>
      </c>
      <c r="T91" s="104">
        <v>22271.388969999993</v>
      </c>
      <c r="U91" s="104">
        <v>25028.755040000004</v>
      </c>
      <c r="V91" s="118">
        <v>22461.46</v>
      </c>
      <c r="W91" s="118">
        <v>16782.291849999943</v>
      </c>
      <c r="X91" s="102">
        <v>19614.66338000002</v>
      </c>
      <c r="Y91" s="102">
        <v>27639.761509999913</v>
      </c>
    </row>
    <row r="92" spans="1:26" ht="20.25" thickTop="1" thickBot="1">
      <c r="A92" s="106"/>
      <c r="B92" s="107" t="s">
        <v>52</v>
      </c>
      <c r="C92" s="108">
        <f t="shared" ref="C92:W92" si="37">+C84+C75</f>
        <v>0</v>
      </c>
      <c r="D92" s="108">
        <f t="shared" si="37"/>
        <v>0</v>
      </c>
      <c r="E92" s="108">
        <f t="shared" si="37"/>
        <v>31698</v>
      </c>
      <c r="F92" s="108">
        <f t="shared" si="37"/>
        <v>30386</v>
      </c>
      <c r="G92" s="108">
        <f t="shared" si="37"/>
        <v>40255</v>
      </c>
      <c r="H92" s="108">
        <f t="shared" si="37"/>
        <v>66696</v>
      </c>
      <c r="I92" s="108">
        <f t="shared" si="37"/>
        <v>66986</v>
      </c>
      <c r="J92" s="108">
        <f t="shared" si="37"/>
        <v>74715</v>
      </c>
      <c r="K92" s="108">
        <f t="shared" si="37"/>
        <v>102208</v>
      </c>
      <c r="L92" s="108">
        <f t="shared" si="37"/>
        <v>92843</v>
      </c>
      <c r="M92" s="108">
        <f t="shared" si="37"/>
        <v>123380</v>
      </c>
      <c r="N92" s="108">
        <f t="shared" si="37"/>
        <v>169308</v>
      </c>
      <c r="O92" s="108">
        <f t="shared" si="37"/>
        <v>131538.42456000001</v>
      </c>
      <c r="P92" s="108">
        <f t="shared" si="37"/>
        <v>122523.38945</v>
      </c>
      <c r="Q92" s="108">
        <f t="shared" si="37"/>
        <v>165716.96830000015</v>
      </c>
      <c r="R92" s="108">
        <f t="shared" si="37"/>
        <v>164714.82337</v>
      </c>
      <c r="S92" s="108">
        <f>+S84+S75</f>
        <v>161015.80635999975</v>
      </c>
      <c r="T92" s="108">
        <f t="shared" si="37"/>
        <v>169176.45684999984</v>
      </c>
      <c r="U92" s="108">
        <f t="shared" si="37"/>
        <v>175411.98323000001</v>
      </c>
      <c r="V92" s="108">
        <f t="shared" si="37"/>
        <v>161242.95472999988</v>
      </c>
      <c r="W92" s="108">
        <f t="shared" si="37"/>
        <v>175439.77017999993</v>
      </c>
      <c r="X92" s="108">
        <f>+X84+X75</f>
        <v>148552.38421999995</v>
      </c>
      <c r="Y92" s="108">
        <f>+Y84+Y75</f>
        <v>181969.74613000001</v>
      </c>
    </row>
    <row r="93" spans="1:26" ht="13.5" thickTop="1"/>
    <row r="95" spans="1:26" ht="19.5" thickBot="1">
      <c r="A95" s="109"/>
      <c r="B95" s="109" t="s">
        <v>51</v>
      </c>
      <c r="C95" s="108">
        <f t="shared" ref="C95:W95" si="38">+C92+C69</f>
        <v>24200</v>
      </c>
      <c r="D95" s="108">
        <f t="shared" si="38"/>
        <v>52867</v>
      </c>
      <c r="E95" s="108">
        <f t="shared" si="38"/>
        <v>77559</v>
      </c>
      <c r="F95" s="108">
        <f t="shared" si="38"/>
        <v>66009</v>
      </c>
      <c r="G95" s="108">
        <f t="shared" si="38"/>
        <v>76077</v>
      </c>
      <c r="H95" s="108">
        <f t="shared" si="38"/>
        <v>137557</v>
      </c>
      <c r="I95" s="108">
        <f t="shared" si="38"/>
        <v>153582</v>
      </c>
      <c r="J95" s="108">
        <f t="shared" si="38"/>
        <v>177585</v>
      </c>
      <c r="K95" s="108">
        <f t="shared" si="38"/>
        <v>209366</v>
      </c>
      <c r="L95" s="108">
        <f t="shared" si="38"/>
        <v>202481</v>
      </c>
      <c r="M95" s="108">
        <f t="shared" si="38"/>
        <v>245891</v>
      </c>
      <c r="N95" s="108">
        <f t="shared" si="38"/>
        <v>317995</v>
      </c>
      <c r="O95" s="108">
        <f t="shared" si="38"/>
        <v>251502.87853000002</v>
      </c>
      <c r="P95" s="108">
        <f t="shared" si="38"/>
        <v>244892.68232000002</v>
      </c>
      <c r="Q95" s="108">
        <f t="shared" si="38"/>
        <v>295157.36905000015</v>
      </c>
      <c r="R95" s="108">
        <f t="shared" si="38"/>
        <v>279463.65789000003</v>
      </c>
      <c r="S95" s="108">
        <f t="shared" si="38"/>
        <v>253183.93671999971</v>
      </c>
      <c r="T95" s="108">
        <f t="shared" si="38"/>
        <v>283598.82776999974</v>
      </c>
      <c r="U95" s="108">
        <f t="shared" si="38"/>
        <v>292519.62277000002</v>
      </c>
      <c r="V95" s="108">
        <f t="shared" si="38"/>
        <v>264127.00355999987</v>
      </c>
      <c r="W95" s="108">
        <f t="shared" si="38"/>
        <v>274703.31974999997</v>
      </c>
      <c r="X95" s="108">
        <f>+X92+X69</f>
        <v>309568.77518000006</v>
      </c>
      <c r="Y95" s="108">
        <f>+Y92+Y69</f>
        <v>319582.11906000006</v>
      </c>
      <c r="Z95" s="14"/>
    </row>
    <row r="96" spans="1:26" ht="13.5" thickTop="1"/>
    <row r="97" spans="2:2" ht="15.75">
      <c r="B97" s="99" t="s">
        <v>181</v>
      </c>
    </row>
  </sheetData>
  <dataConsolidate/>
  <mergeCells count="4">
    <mergeCell ref="F8:I8"/>
    <mergeCell ref="C6:L6"/>
    <mergeCell ref="A11:Y11"/>
    <mergeCell ref="A73:Y73"/>
  </mergeCells>
  <phoneticPr fontId="6" type="noConversion"/>
  <pageMargins left="1.1811023622047245" right="0.23622047244094491" top="0.78740157480314965" bottom="0.39370078740157483" header="0" footer="0"/>
  <pageSetup paperSize="9" scale="58" orientation="portrait" horizontalDpi="4294967293" verticalDpi="300" r:id="rId1"/>
  <headerFooter alignWithMargins="0"/>
  <ignoredErrors>
    <ignoredError sqref="S15:U15 T46:U46 V46:W46 W15:Y15" formulaRange="1"/>
    <ignoredError sqref="T28:U28 T43:U43 T56:U56 U48 R20:S20 V28:W28 T76 S76 U76:W76 R13:Y13" unlockedFormula="1"/>
    <ignoredError sqref="U24 T57:U57 T20:U20 V24:W24 V20:W20" formulaRange="1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8"/>
  <sheetViews>
    <sheetView showGridLines="0" zoomScale="80" zoomScaleNormal="80" workbookViewId="0">
      <pane xSplit="2" topLeftCell="S1" activePane="topRight" state="frozen"/>
      <selection pane="topRight" activeCell="AA14" sqref="AA14"/>
    </sheetView>
  </sheetViews>
  <sheetFormatPr baseColWidth="10" defaultRowHeight="12.75"/>
  <cols>
    <col min="1" max="1" width="14.42578125" customWidth="1"/>
    <col min="2" max="2" width="90.7109375" customWidth="1"/>
    <col min="3" max="20" width="11.42578125" customWidth="1"/>
    <col min="22" max="22" width="11.7109375" style="57" bestFit="1" customWidth="1"/>
  </cols>
  <sheetData>
    <row r="1" spans="1:27">
      <c r="A1" s="4"/>
      <c r="B1" s="10"/>
      <c r="C1" s="2"/>
      <c r="D1" s="2"/>
      <c r="E1" s="2"/>
      <c r="F1" s="2"/>
      <c r="G1" s="2"/>
      <c r="H1" s="1"/>
      <c r="I1" s="1"/>
    </row>
    <row r="2" spans="1:27" ht="36">
      <c r="A2" s="4"/>
      <c r="B2" s="10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8"/>
    </row>
    <row r="3" spans="1:27">
      <c r="A3" s="4"/>
      <c r="B3" s="10"/>
      <c r="C3" s="2"/>
      <c r="D3" s="2"/>
      <c r="E3" s="2"/>
      <c r="F3" s="2"/>
      <c r="G3" s="2"/>
      <c r="H3" s="1"/>
      <c r="I3" s="1"/>
    </row>
    <row r="4" spans="1:27" ht="23.25">
      <c r="A4" s="4"/>
      <c r="B4" s="10"/>
      <c r="C4" s="2"/>
      <c r="D4" s="2"/>
      <c r="F4" s="220"/>
      <c r="G4" s="220"/>
      <c r="H4" s="220"/>
      <c r="I4" s="220"/>
    </row>
    <row r="5" spans="1:27">
      <c r="A5" s="4"/>
      <c r="B5" s="10"/>
      <c r="C5" s="2"/>
      <c r="D5" s="2"/>
      <c r="E5" s="2"/>
      <c r="F5" s="2"/>
      <c r="G5" s="2"/>
      <c r="H5" s="1"/>
      <c r="I5" s="1"/>
    </row>
    <row r="6" spans="1:27">
      <c r="A6" s="4"/>
      <c r="B6" s="10"/>
      <c r="C6" s="2"/>
      <c r="D6" s="2"/>
      <c r="E6" s="2"/>
      <c r="F6" s="2"/>
      <c r="G6" s="2"/>
      <c r="H6" s="1"/>
      <c r="I6" s="1"/>
    </row>
    <row r="7" spans="1:27">
      <c r="A7" s="4"/>
      <c r="B7" s="10"/>
      <c r="C7" s="2"/>
      <c r="D7" s="2"/>
      <c r="E7" s="2"/>
      <c r="F7" s="2"/>
      <c r="G7" s="2"/>
      <c r="H7" s="1"/>
      <c r="I7" s="1"/>
    </row>
    <row r="8" spans="1:27">
      <c r="A8" s="4"/>
      <c r="B8" s="10"/>
      <c r="C8" s="2"/>
      <c r="D8" s="2"/>
      <c r="E8" s="2"/>
      <c r="F8" s="2"/>
      <c r="G8" s="2"/>
      <c r="H8" s="1"/>
      <c r="I8" s="1"/>
    </row>
    <row r="9" spans="1:27" ht="18" customHeight="1">
      <c r="A9" s="222" t="s">
        <v>157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191"/>
    </row>
    <row r="10" spans="1:27" ht="18" thickBot="1">
      <c r="A10" s="78" t="s">
        <v>101</v>
      </c>
      <c r="B10" s="78" t="s">
        <v>102</v>
      </c>
      <c r="C10" s="79" t="s">
        <v>103</v>
      </c>
      <c r="D10" s="78">
        <v>2000</v>
      </c>
      <c r="E10" s="78">
        <v>2001</v>
      </c>
      <c r="F10" s="78">
        <v>2002</v>
      </c>
      <c r="G10" s="78">
        <v>2003</v>
      </c>
      <c r="H10" s="78">
        <v>2004</v>
      </c>
      <c r="I10" s="78">
        <v>2005</v>
      </c>
      <c r="J10" s="78">
        <v>2006</v>
      </c>
      <c r="K10" s="78">
        <v>2007</v>
      </c>
      <c r="L10" s="78">
        <v>2008</v>
      </c>
      <c r="M10" s="78">
        <v>2009</v>
      </c>
      <c r="N10" s="78">
        <v>2010</v>
      </c>
      <c r="O10" s="78">
        <v>2011</v>
      </c>
      <c r="P10" s="78">
        <v>2012</v>
      </c>
      <c r="Q10" s="78">
        <v>2013</v>
      </c>
      <c r="R10" s="78">
        <v>2014</v>
      </c>
      <c r="S10" s="78">
        <v>2015</v>
      </c>
      <c r="T10" s="78">
        <v>2016</v>
      </c>
      <c r="U10" s="78">
        <v>2017</v>
      </c>
      <c r="V10" s="78">
        <v>2018</v>
      </c>
      <c r="W10" s="78">
        <v>2019</v>
      </c>
      <c r="X10" s="78">
        <v>2020</v>
      </c>
      <c r="Y10" s="78">
        <v>2021</v>
      </c>
      <c r="Z10" s="78">
        <v>2022</v>
      </c>
      <c r="AA10" s="191"/>
    </row>
    <row r="11" spans="1:27" ht="18.75" thickTop="1" thickBot="1">
      <c r="A11" s="80">
        <v>1</v>
      </c>
      <c r="B11" s="94" t="s">
        <v>122</v>
      </c>
      <c r="C11" s="81" t="s">
        <v>40</v>
      </c>
      <c r="D11" s="82">
        <f t="shared" ref="D11:Q11" si="0">SUM(D12:D13)</f>
        <v>2</v>
      </c>
      <c r="E11" s="82">
        <f t="shared" si="0"/>
        <v>2</v>
      </c>
      <c r="F11" s="82">
        <f t="shared" si="0"/>
        <v>1</v>
      </c>
      <c r="G11" s="83">
        <f t="shared" si="0"/>
        <v>2</v>
      </c>
      <c r="H11" s="91">
        <f t="shared" si="0"/>
        <v>3</v>
      </c>
      <c r="I11" s="92">
        <f t="shared" si="0"/>
        <v>8</v>
      </c>
      <c r="J11" s="110">
        <f t="shared" si="0"/>
        <v>8</v>
      </c>
      <c r="K11" s="82">
        <f t="shared" si="0"/>
        <v>7</v>
      </c>
      <c r="L11" s="82">
        <f t="shared" si="0"/>
        <v>6</v>
      </c>
      <c r="M11" s="82">
        <f t="shared" si="0"/>
        <v>5</v>
      </c>
      <c r="N11" s="83">
        <f t="shared" si="0"/>
        <v>5</v>
      </c>
      <c r="O11" s="91">
        <f t="shared" si="0"/>
        <v>9</v>
      </c>
      <c r="P11" s="93">
        <f t="shared" si="0"/>
        <v>6.19177</v>
      </c>
      <c r="Q11" s="83">
        <f t="shared" si="0"/>
        <v>6.21</v>
      </c>
      <c r="R11" s="82">
        <f>SUM(R12:R13)</f>
        <v>2.4763000000000002</v>
      </c>
      <c r="S11" s="82">
        <f t="shared" ref="S11:Z11" si="1">+S12+S13</f>
        <v>3.1638426666666666</v>
      </c>
      <c r="T11" s="82">
        <f t="shared" si="1"/>
        <v>3.5119862500000001</v>
      </c>
      <c r="U11" s="82">
        <f t="shared" si="1"/>
        <v>3.7707773699999998</v>
      </c>
      <c r="V11" s="82">
        <f t="shared" si="1"/>
        <v>2.6275454599999999</v>
      </c>
      <c r="W11" s="82">
        <f t="shared" si="1"/>
        <v>3.1864302499999999</v>
      </c>
      <c r="X11" s="82">
        <f t="shared" si="1"/>
        <v>5.4042851299999999</v>
      </c>
      <c r="Y11" s="82">
        <f t="shared" si="1"/>
        <v>6.1512276000000004</v>
      </c>
      <c r="Z11" s="82">
        <f t="shared" si="1"/>
        <v>8.5470513000000015</v>
      </c>
      <c r="AA11" s="191"/>
    </row>
    <row r="12" spans="1:27" ht="33" thickTop="1" thickBot="1">
      <c r="A12" s="85">
        <v>1.1000000000000001</v>
      </c>
      <c r="B12" s="95" t="s">
        <v>287</v>
      </c>
      <c r="C12" s="86" t="s">
        <v>40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3.9426666666666664E-3</v>
      </c>
      <c r="T12" s="87">
        <v>0</v>
      </c>
      <c r="U12" s="87">
        <v>0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191"/>
    </row>
    <row r="13" spans="1:27" ht="25.5" customHeight="1" thickTop="1" thickBot="1">
      <c r="A13" s="85">
        <v>1.2</v>
      </c>
      <c r="B13" s="95" t="s">
        <v>124</v>
      </c>
      <c r="C13" s="86" t="s">
        <v>40</v>
      </c>
      <c r="D13" s="87">
        <f t="shared" ref="D13:Q13" si="2">SUM(D14:D15)</f>
        <v>2</v>
      </c>
      <c r="E13" s="87">
        <f t="shared" si="2"/>
        <v>2</v>
      </c>
      <c r="F13" s="87">
        <f t="shared" si="2"/>
        <v>1</v>
      </c>
      <c r="G13" s="87">
        <f t="shared" si="2"/>
        <v>2</v>
      </c>
      <c r="H13" s="87">
        <f t="shared" si="2"/>
        <v>3</v>
      </c>
      <c r="I13" s="87">
        <f t="shared" si="2"/>
        <v>8</v>
      </c>
      <c r="J13" s="87">
        <f t="shared" si="2"/>
        <v>8</v>
      </c>
      <c r="K13" s="87">
        <f t="shared" si="2"/>
        <v>7</v>
      </c>
      <c r="L13" s="87">
        <f t="shared" si="2"/>
        <v>6</v>
      </c>
      <c r="M13" s="87">
        <f t="shared" si="2"/>
        <v>5</v>
      </c>
      <c r="N13" s="87">
        <f t="shared" si="2"/>
        <v>5</v>
      </c>
      <c r="O13" s="87">
        <f t="shared" si="2"/>
        <v>9</v>
      </c>
      <c r="P13" s="87">
        <f t="shared" si="2"/>
        <v>6.19177</v>
      </c>
      <c r="Q13" s="87">
        <f t="shared" si="2"/>
        <v>6.21</v>
      </c>
      <c r="R13" s="87">
        <f>SUM(R14:R15)</f>
        <v>2.4763000000000002</v>
      </c>
      <c r="S13" s="87">
        <f t="shared" ref="S13:Z13" si="3">+S14+S15</f>
        <v>3.1598999999999999</v>
      </c>
      <c r="T13" s="87">
        <f t="shared" si="3"/>
        <v>3.5119862500000001</v>
      </c>
      <c r="U13" s="87">
        <f t="shared" si="3"/>
        <v>3.7707773699999998</v>
      </c>
      <c r="V13" s="87">
        <f t="shared" si="3"/>
        <v>2.6275454599999999</v>
      </c>
      <c r="W13" s="87">
        <f t="shared" si="3"/>
        <v>3.1864302499999999</v>
      </c>
      <c r="X13" s="87">
        <f t="shared" si="3"/>
        <v>5.4042851299999999</v>
      </c>
      <c r="Y13" s="87">
        <f t="shared" si="3"/>
        <v>6.1512276000000004</v>
      </c>
      <c r="Z13" s="87">
        <f t="shared" si="3"/>
        <v>8.5470513000000015</v>
      </c>
      <c r="AA13" s="191"/>
    </row>
    <row r="14" spans="1:27" ht="18.75" thickTop="1" thickBot="1">
      <c r="A14" s="70" t="s">
        <v>6</v>
      </c>
      <c r="B14" s="96" t="s">
        <v>125</v>
      </c>
      <c r="C14" s="71" t="s">
        <v>40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v>0</v>
      </c>
      <c r="U14" s="72">
        <v>0</v>
      </c>
      <c r="V14" s="72">
        <v>0</v>
      </c>
      <c r="W14" s="72">
        <v>0</v>
      </c>
      <c r="X14" s="72">
        <v>1.4135389999999999E-2</v>
      </c>
      <c r="Y14" s="72">
        <v>0</v>
      </c>
      <c r="Z14" s="72">
        <v>0</v>
      </c>
      <c r="AA14" s="191"/>
    </row>
    <row r="15" spans="1:27" ht="18.75" thickTop="1" thickBot="1">
      <c r="A15" s="70" t="s">
        <v>7</v>
      </c>
      <c r="B15" s="96" t="s">
        <v>126</v>
      </c>
      <c r="C15" s="71" t="s">
        <v>40</v>
      </c>
      <c r="D15" s="72">
        <v>2</v>
      </c>
      <c r="E15" s="72">
        <v>2</v>
      </c>
      <c r="F15" s="72">
        <v>1</v>
      </c>
      <c r="G15" s="72">
        <v>2</v>
      </c>
      <c r="H15" s="72">
        <v>3</v>
      </c>
      <c r="I15" s="72">
        <v>8</v>
      </c>
      <c r="J15" s="72">
        <v>8</v>
      </c>
      <c r="K15" s="72">
        <v>7</v>
      </c>
      <c r="L15" s="72">
        <v>6</v>
      </c>
      <c r="M15" s="72">
        <v>5</v>
      </c>
      <c r="N15" s="72">
        <v>5</v>
      </c>
      <c r="O15" s="72">
        <v>9</v>
      </c>
      <c r="P15" s="72">
        <v>6.19177</v>
      </c>
      <c r="Q15" s="72">
        <v>6.21</v>
      </c>
      <c r="R15" s="72">
        <v>2.4763000000000002</v>
      </c>
      <c r="S15" s="72">
        <v>3.1598999999999999</v>
      </c>
      <c r="T15" s="72">
        <v>3.5119862500000001</v>
      </c>
      <c r="U15" s="72">
        <v>3.7707773699999998</v>
      </c>
      <c r="V15" s="72">
        <v>2.6275454599999999</v>
      </c>
      <c r="W15" s="72">
        <v>3.1864302499999999</v>
      </c>
      <c r="X15" s="72">
        <v>5.39014974</v>
      </c>
      <c r="Y15" s="72">
        <v>6.1512276000000004</v>
      </c>
      <c r="Z15" s="72">
        <v>8.5470513000000015</v>
      </c>
      <c r="AA15" s="191"/>
    </row>
    <row r="16" spans="1:27" ht="18.75" thickTop="1" thickBot="1">
      <c r="A16" s="70" t="s">
        <v>63</v>
      </c>
      <c r="B16" s="96" t="s">
        <v>155</v>
      </c>
      <c r="C16" s="71" t="s">
        <v>40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7</v>
      </c>
      <c r="L16" s="72">
        <v>6</v>
      </c>
      <c r="M16" s="72">
        <v>5</v>
      </c>
      <c r="N16" s="72">
        <v>5</v>
      </c>
      <c r="O16" s="72">
        <v>9</v>
      </c>
      <c r="P16" s="72">
        <v>6</v>
      </c>
      <c r="Q16" s="72">
        <v>6</v>
      </c>
      <c r="R16" s="72">
        <v>2.4763000000000002</v>
      </c>
      <c r="S16" s="72">
        <v>2.8369</v>
      </c>
      <c r="T16" s="72">
        <v>3.5119862500000001</v>
      </c>
      <c r="U16" s="72">
        <v>3.7707773699999998</v>
      </c>
      <c r="V16" s="72">
        <v>2.6275454599999999</v>
      </c>
      <c r="W16" s="72">
        <v>3.1864302499999999</v>
      </c>
      <c r="X16" s="72">
        <v>5.1738843799999996</v>
      </c>
      <c r="Y16" s="72">
        <v>6.1512276000000004</v>
      </c>
      <c r="Z16" s="72">
        <v>8.5470513000000015</v>
      </c>
      <c r="AA16" s="191"/>
    </row>
    <row r="17" spans="1:27" ht="18.75" thickTop="1" thickBot="1">
      <c r="A17" s="80">
        <v>2</v>
      </c>
      <c r="B17" s="94" t="s">
        <v>228</v>
      </c>
      <c r="C17" s="81" t="s">
        <v>53</v>
      </c>
      <c r="D17" s="82">
        <v>1</v>
      </c>
      <c r="E17" s="82">
        <v>1</v>
      </c>
      <c r="F17" s="82">
        <v>1</v>
      </c>
      <c r="G17" s="82">
        <v>1</v>
      </c>
      <c r="H17" s="82">
        <v>1</v>
      </c>
      <c r="I17" s="82">
        <v>1</v>
      </c>
      <c r="J17" s="82">
        <v>1</v>
      </c>
      <c r="K17" s="82">
        <v>1</v>
      </c>
      <c r="L17" s="82">
        <v>1</v>
      </c>
      <c r="M17" s="82">
        <v>2</v>
      </c>
      <c r="N17" s="82">
        <v>2</v>
      </c>
      <c r="O17" s="82">
        <v>1</v>
      </c>
      <c r="P17" s="82">
        <v>1.8178869</v>
      </c>
      <c r="Q17" s="82">
        <v>1.895</v>
      </c>
      <c r="R17" s="82">
        <v>2.1432545099999998</v>
      </c>
      <c r="S17" s="82">
        <v>2.0734497699999999</v>
      </c>
      <c r="T17" s="82">
        <v>3.0190652</v>
      </c>
      <c r="U17" s="82">
        <v>3.02204899</v>
      </c>
      <c r="V17" s="82">
        <v>3.0504179900000001</v>
      </c>
      <c r="W17" s="82">
        <v>3.55</v>
      </c>
      <c r="X17" s="82">
        <v>3.4796927500000003</v>
      </c>
      <c r="Y17" s="82">
        <v>3.8313125799999996</v>
      </c>
      <c r="Z17" s="82">
        <v>4.4944379800000007</v>
      </c>
      <c r="AA17" s="191"/>
    </row>
    <row r="18" spans="1:27" ht="18.75" thickTop="1" thickBot="1">
      <c r="A18" s="80" t="s">
        <v>96</v>
      </c>
      <c r="B18" s="94" t="s">
        <v>229</v>
      </c>
      <c r="C18" s="81" t="s">
        <v>41</v>
      </c>
      <c r="D18" s="82">
        <f t="shared" ref="D18:S18" si="4">SUM(D19:D20)</f>
        <v>0</v>
      </c>
      <c r="E18" s="82">
        <f t="shared" si="4"/>
        <v>1</v>
      </c>
      <c r="F18" s="82">
        <f t="shared" si="4"/>
        <v>0</v>
      </c>
      <c r="G18" s="82">
        <f t="shared" si="4"/>
        <v>1</v>
      </c>
      <c r="H18" s="82">
        <f t="shared" si="4"/>
        <v>0</v>
      </c>
      <c r="I18" s="82">
        <f t="shared" si="4"/>
        <v>1</v>
      </c>
      <c r="J18" s="82">
        <f t="shared" si="4"/>
        <v>5</v>
      </c>
      <c r="K18" s="82">
        <f t="shared" si="4"/>
        <v>0</v>
      </c>
      <c r="L18" s="82">
        <f t="shared" si="4"/>
        <v>0</v>
      </c>
      <c r="M18" s="82">
        <f t="shared" si="4"/>
        <v>0</v>
      </c>
      <c r="N18" s="82">
        <f t="shared" si="4"/>
        <v>2.2599999999999999E-4</v>
      </c>
      <c r="O18" s="82">
        <f t="shared" si="4"/>
        <v>0.254</v>
      </c>
      <c r="P18" s="82">
        <f t="shared" si="4"/>
        <v>9.1000000000000004E-3</v>
      </c>
      <c r="Q18" s="82">
        <f t="shared" si="4"/>
        <v>0.10123</v>
      </c>
      <c r="R18" s="82">
        <f t="shared" si="4"/>
        <v>0.17099999999999999</v>
      </c>
      <c r="S18" s="82">
        <f t="shared" si="4"/>
        <v>3.15E-2</v>
      </c>
      <c r="T18" s="82">
        <f t="shared" ref="T18:Z18" si="5">SUM(T19:T20)</f>
        <v>8.2302280000000005E-2</v>
      </c>
      <c r="U18" s="82">
        <f t="shared" si="5"/>
        <v>8.9022477037037084E-2</v>
      </c>
      <c r="V18" s="82">
        <f t="shared" si="5"/>
        <v>0.38317337481481484</v>
      </c>
      <c r="W18" s="82">
        <f t="shared" si="5"/>
        <v>0.11844542666666669</v>
      </c>
      <c r="X18" s="82">
        <f t="shared" si="5"/>
        <v>7.7746133333333328E-2</v>
      </c>
      <c r="Y18" s="82">
        <f t="shared" si="5"/>
        <v>0.17899239249999999</v>
      </c>
      <c r="Z18" s="82">
        <f t="shared" si="5"/>
        <v>0.15628943925925926</v>
      </c>
      <c r="AA18" s="191"/>
    </row>
    <row r="19" spans="1:27" ht="18.75" thickTop="1" thickBot="1">
      <c r="A19" s="85" t="s">
        <v>97</v>
      </c>
      <c r="B19" s="95" t="s">
        <v>230</v>
      </c>
      <c r="C19" s="86" t="s">
        <v>40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2.2599999999999999E-4</v>
      </c>
      <c r="O19" s="87">
        <v>0.254</v>
      </c>
      <c r="P19" s="87">
        <v>9.1000000000000004E-3</v>
      </c>
      <c r="Q19" s="87">
        <v>3.0000000000000001E-3</v>
      </c>
      <c r="R19" s="87">
        <v>2.9000000000000001E-2</v>
      </c>
      <c r="S19" s="87">
        <v>2.5000000000000001E-2</v>
      </c>
      <c r="T19" s="87">
        <v>4.7072839999999998E-2</v>
      </c>
      <c r="U19" s="87">
        <v>5.5932106666666703E-2</v>
      </c>
      <c r="V19" s="87">
        <v>0.12663109333333333</v>
      </c>
      <c r="W19" s="87">
        <v>9.8445426666666683E-2</v>
      </c>
      <c r="X19" s="87">
        <v>5.3688266666666665E-2</v>
      </c>
      <c r="Y19" s="87">
        <v>6.2142562499999998E-2</v>
      </c>
      <c r="Z19" s="87">
        <v>6.2245309259259252E-2</v>
      </c>
      <c r="AA19" s="191"/>
    </row>
    <row r="20" spans="1:27" ht="18.75" thickTop="1" thickBot="1">
      <c r="A20" s="85" t="s">
        <v>98</v>
      </c>
      <c r="B20" s="95" t="s">
        <v>265</v>
      </c>
      <c r="C20" s="86" t="s">
        <v>40</v>
      </c>
      <c r="D20" s="87">
        <v>0</v>
      </c>
      <c r="E20" s="87">
        <v>1</v>
      </c>
      <c r="F20" s="87">
        <v>0</v>
      </c>
      <c r="G20" s="87">
        <v>1</v>
      </c>
      <c r="H20" s="87">
        <v>0</v>
      </c>
      <c r="I20" s="87">
        <v>1</v>
      </c>
      <c r="J20" s="87">
        <v>5</v>
      </c>
      <c r="K20" s="87">
        <v>0</v>
      </c>
      <c r="L20" s="87">
        <v>0</v>
      </c>
      <c r="M20" s="87">
        <v>0</v>
      </c>
      <c r="N20" s="87">
        <v>0</v>
      </c>
      <c r="O20" s="87">
        <v>0</v>
      </c>
      <c r="P20" s="87">
        <v>0</v>
      </c>
      <c r="Q20" s="87">
        <v>9.8229999999999998E-2</v>
      </c>
      <c r="R20" s="87">
        <v>0.14199999999999999</v>
      </c>
      <c r="S20" s="87">
        <v>6.4999999999999997E-3</v>
      </c>
      <c r="T20" s="87">
        <v>3.5229440000000001E-2</v>
      </c>
      <c r="U20" s="87">
        <v>3.3090370370370374E-2</v>
      </c>
      <c r="V20" s="87">
        <v>0.2565422814814815</v>
      </c>
      <c r="W20" s="87">
        <v>0.02</v>
      </c>
      <c r="X20" s="87">
        <v>2.405786666666667E-2</v>
      </c>
      <c r="Y20" s="87">
        <v>0.11684983</v>
      </c>
      <c r="Z20" s="87">
        <v>9.4044130000000004E-2</v>
      </c>
      <c r="AA20" s="191"/>
    </row>
    <row r="21" spans="1:27" ht="18.75" thickTop="1" thickBot="1">
      <c r="A21" s="80" t="s">
        <v>99</v>
      </c>
      <c r="B21" s="94" t="s">
        <v>288</v>
      </c>
      <c r="C21" s="81" t="s">
        <v>53</v>
      </c>
      <c r="D21" s="82" t="s">
        <v>55</v>
      </c>
      <c r="E21" s="82" t="s">
        <v>55</v>
      </c>
      <c r="F21" s="82" t="s">
        <v>55</v>
      </c>
      <c r="G21" s="82" t="s">
        <v>55</v>
      </c>
      <c r="H21" s="82" t="s">
        <v>55</v>
      </c>
      <c r="I21" s="82" t="s">
        <v>55</v>
      </c>
      <c r="J21" s="82" t="s">
        <v>55</v>
      </c>
      <c r="K21" s="82" t="s">
        <v>55</v>
      </c>
      <c r="L21" s="82" t="s">
        <v>55</v>
      </c>
      <c r="M21" s="82" t="s">
        <v>55</v>
      </c>
      <c r="N21" s="82" t="s">
        <v>55</v>
      </c>
      <c r="O21" s="82" t="s">
        <v>55</v>
      </c>
      <c r="P21" s="82">
        <v>0</v>
      </c>
      <c r="Q21" s="82">
        <v>0.10269481481481482</v>
      </c>
      <c r="R21" s="82">
        <v>0.10196467148148149</v>
      </c>
      <c r="S21" s="82">
        <v>0.17083231000000004</v>
      </c>
      <c r="T21" s="82">
        <v>0.56886599999999998</v>
      </c>
      <c r="U21" s="82">
        <v>1.07618799</v>
      </c>
      <c r="V21" s="82">
        <v>3.0403473600000002</v>
      </c>
      <c r="W21" s="82">
        <v>2.8031476899999999</v>
      </c>
      <c r="X21" s="82">
        <v>4.269861563703703</v>
      </c>
      <c r="Y21" s="82">
        <v>6.3825002200000007</v>
      </c>
      <c r="Z21" s="82">
        <v>6.1808050899999998</v>
      </c>
      <c r="AA21" s="191"/>
    </row>
    <row r="22" spans="1:27" ht="18.75" thickTop="1" thickBot="1">
      <c r="A22" s="80">
        <v>5</v>
      </c>
      <c r="B22" s="94" t="s">
        <v>117</v>
      </c>
      <c r="C22" s="81" t="s">
        <v>40</v>
      </c>
      <c r="D22" s="82">
        <f t="shared" ref="D22:Q22" si="6">SUM(D23:D24)</f>
        <v>84</v>
      </c>
      <c r="E22" s="82">
        <f t="shared" si="6"/>
        <v>148</v>
      </c>
      <c r="F22" s="82">
        <f t="shared" si="6"/>
        <v>20</v>
      </c>
      <c r="G22" s="82">
        <f t="shared" si="6"/>
        <v>19</v>
      </c>
      <c r="H22" s="82">
        <f t="shared" si="6"/>
        <v>33</v>
      </c>
      <c r="I22" s="82">
        <f t="shared" si="6"/>
        <v>37</v>
      </c>
      <c r="J22" s="82">
        <f t="shared" si="6"/>
        <v>30</v>
      </c>
      <c r="K22" s="82">
        <f t="shared" si="6"/>
        <v>29</v>
      </c>
      <c r="L22" s="82">
        <f t="shared" si="6"/>
        <v>27</v>
      </c>
      <c r="M22" s="82">
        <f t="shared" si="6"/>
        <v>24</v>
      </c>
      <c r="N22" s="82">
        <f t="shared" si="6"/>
        <v>20</v>
      </c>
      <c r="O22" s="82">
        <f t="shared" si="6"/>
        <v>19</v>
      </c>
      <c r="P22" s="82">
        <f t="shared" si="6"/>
        <v>12.708970000000001</v>
      </c>
      <c r="Q22" s="82">
        <f t="shared" si="6"/>
        <v>12.168839999999999</v>
      </c>
      <c r="R22" s="82">
        <f t="shared" ref="R22:Z22" si="7">SUM(R23:R24)</f>
        <v>10.153359999999989</v>
      </c>
      <c r="S22" s="82">
        <f t="shared" si="7"/>
        <v>10.312224507402599</v>
      </c>
      <c r="T22" s="82">
        <f t="shared" si="7"/>
        <v>3.9654396571428574</v>
      </c>
      <c r="U22" s="82">
        <f t="shared" si="7"/>
        <v>8.9619391675324653</v>
      </c>
      <c r="V22" s="82">
        <f t="shared" si="7"/>
        <v>8.4996730636363669</v>
      </c>
      <c r="W22" s="82">
        <f t="shared" si="7"/>
        <v>8.1166100922077931</v>
      </c>
      <c r="X22" s="82">
        <f t="shared" si="7"/>
        <v>14.355089472727254</v>
      </c>
      <c r="Y22" s="82">
        <f t="shared" si="7"/>
        <v>15.271299999999997</v>
      </c>
      <c r="Z22" s="82">
        <f t="shared" si="7"/>
        <v>18.731056872727269</v>
      </c>
      <c r="AA22" s="191"/>
    </row>
    <row r="23" spans="1:27" ht="18.75" thickTop="1" thickBot="1">
      <c r="A23" s="70" t="s">
        <v>56</v>
      </c>
      <c r="B23" s="96" t="s">
        <v>125</v>
      </c>
      <c r="C23" s="71" t="s">
        <v>40</v>
      </c>
      <c r="D23" s="72">
        <v>11</v>
      </c>
      <c r="E23" s="72">
        <v>15</v>
      </c>
      <c r="F23" s="72">
        <v>4</v>
      </c>
      <c r="G23" s="72">
        <v>3</v>
      </c>
      <c r="H23" s="73">
        <v>5</v>
      </c>
      <c r="I23" s="73">
        <v>3</v>
      </c>
      <c r="J23" s="74">
        <v>4</v>
      </c>
      <c r="K23" s="73">
        <v>3</v>
      </c>
      <c r="L23" s="73">
        <v>3</v>
      </c>
      <c r="M23" s="73">
        <v>4</v>
      </c>
      <c r="N23" s="73">
        <v>3</v>
      </c>
      <c r="O23" s="73">
        <v>2</v>
      </c>
      <c r="P23" s="73">
        <v>2.5</v>
      </c>
      <c r="Q23" s="73">
        <v>2.5</v>
      </c>
      <c r="R23" s="73">
        <v>2.4998100000000001</v>
      </c>
      <c r="S23" s="73">
        <v>2.4595662545454542</v>
      </c>
      <c r="T23" s="73">
        <v>1.4027785428571433</v>
      </c>
      <c r="U23" s="73">
        <v>2.0468237999999999</v>
      </c>
      <c r="V23" s="73">
        <v>1.4242489272727272</v>
      </c>
      <c r="W23" s="73">
        <v>1.8214043636363635</v>
      </c>
      <c r="X23" s="73">
        <v>2.4273204545454545</v>
      </c>
      <c r="Y23" s="183">
        <v>2.6773693272727268</v>
      </c>
      <c r="Z23" s="183">
        <v>3.246345618181818</v>
      </c>
      <c r="AA23" s="191"/>
    </row>
    <row r="24" spans="1:27" ht="18.75" thickTop="1" thickBot="1">
      <c r="A24" s="70" t="s">
        <v>57</v>
      </c>
      <c r="B24" s="96" t="s">
        <v>126</v>
      </c>
      <c r="C24" s="71" t="s">
        <v>40</v>
      </c>
      <c r="D24" s="72">
        <v>73</v>
      </c>
      <c r="E24" s="72">
        <v>133</v>
      </c>
      <c r="F24" s="72">
        <v>16</v>
      </c>
      <c r="G24" s="72">
        <v>16</v>
      </c>
      <c r="H24" s="73">
        <v>28</v>
      </c>
      <c r="I24" s="73">
        <v>34</v>
      </c>
      <c r="J24" s="74">
        <v>26</v>
      </c>
      <c r="K24" s="73">
        <v>26</v>
      </c>
      <c r="L24" s="73">
        <v>24</v>
      </c>
      <c r="M24" s="73">
        <v>20</v>
      </c>
      <c r="N24" s="73">
        <v>17</v>
      </c>
      <c r="O24" s="73">
        <v>17</v>
      </c>
      <c r="P24" s="73">
        <v>10.208970000000001</v>
      </c>
      <c r="Q24" s="73">
        <v>9.6688399999999994</v>
      </c>
      <c r="R24" s="73">
        <v>7.6535499999999876</v>
      </c>
      <c r="S24" s="73">
        <v>7.8526582528571449</v>
      </c>
      <c r="T24" s="73">
        <v>2.5626611142857141</v>
      </c>
      <c r="U24" s="73">
        <v>6.915115367532465</v>
      </c>
      <c r="V24" s="73">
        <v>7.0754241363636394</v>
      </c>
      <c r="W24" s="73">
        <v>6.29520572857143</v>
      </c>
      <c r="X24" s="73">
        <v>11.927769018181801</v>
      </c>
      <c r="Y24" s="183">
        <v>12.59393067272727</v>
      </c>
      <c r="Z24" s="183">
        <v>15.48471125454545</v>
      </c>
      <c r="AA24" s="191"/>
    </row>
    <row r="25" spans="1:27" ht="18.75" thickTop="1" thickBot="1">
      <c r="A25" s="70" t="s">
        <v>64</v>
      </c>
      <c r="B25" s="96" t="s">
        <v>155</v>
      </c>
      <c r="C25" s="71" t="s">
        <v>40</v>
      </c>
      <c r="D25" s="72">
        <v>0</v>
      </c>
      <c r="E25" s="72">
        <v>0</v>
      </c>
      <c r="F25" s="72">
        <v>0</v>
      </c>
      <c r="G25" s="72">
        <v>0</v>
      </c>
      <c r="H25" s="73">
        <v>9</v>
      </c>
      <c r="I25" s="73"/>
      <c r="J25" s="74">
        <v>19</v>
      </c>
      <c r="K25" s="73">
        <v>26</v>
      </c>
      <c r="L25" s="73">
        <v>24</v>
      </c>
      <c r="M25" s="73">
        <v>20</v>
      </c>
      <c r="N25" s="73">
        <v>17</v>
      </c>
      <c r="O25" s="73">
        <v>17</v>
      </c>
      <c r="P25" s="73">
        <v>5.7076000000000002</v>
      </c>
      <c r="Q25" s="73">
        <v>4.8877971000000002</v>
      </c>
      <c r="R25" s="73">
        <v>7.5350999999999875</v>
      </c>
      <c r="S25" s="73">
        <v>7.7507839428571446</v>
      </c>
      <c r="T25" s="73">
        <v>2.5626611142857141</v>
      </c>
      <c r="U25" s="73">
        <v>6.7767949857142833</v>
      </c>
      <c r="V25" s="73">
        <v>6.9789379000000027</v>
      </c>
      <c r="W25" s="73">
        <v>5.7477235285714299</v>
      </c>
      <c r="X25" s="73">
        <v>11.607652709090916</v>
      </c>
      <c r="Y25" s="183">
        <v>12.257899327272726</v>
      </c>
      <c r="Z25" s="183">
        <v>6.3306458545454527</v>
      </c>
      <c r="AA25" s="191"/>
    </row>
    <row r="26" spans="1:27" ht="18.75" thickTop="1" thickBot="1">
      <c r="A26" s="80">
        <v>6</v>
      </c>
      <c r="B26" s="94" t="s">
        <v>263</v>
      </c>
      <c r="C26" s="81" t="s">
        <v>40</v>
      </c>
      <c r="D26" s="82">
        <f t="shared" ref="D26:Q26" si="8">+D27+D31+D35+D37</f>
        <v>12</v>
      </c>
      <c r="E26" s="82">
        <f t="shared" si="8"/>
        <v>11</v>
      </c>
      <c r="F26" s="82">
        <f t="shared" si="8"/>
        <v>16</v>
      </c>
      <c r="G26" s="82">
        <f t="shared" si="8"/>
        <v>19</v>
      </c>
      <c r="H26" s="82">
        <f t="shared" si="8"/>
        <v>19</v>
      </c>
      <c r="I26" s="82">
        <f t="shared" si="8"/>
        <v>25</v>
      </c>
      <c r="J26" s="82">
        <f t="shared" si="8"/>
        <v>72</v>
      </c>
      <c r="K26" s="82">
        <f t="shared" si="8"/>
        <v>34</v>
      </c>
      <c r="L26" s="82">
        <f t="shared" si="8"/>
        <v>37</v>
      </c>
      <c r="M26" s="82">
        <f t="shared" si="8"/>
        <v>37</v>
      </c>
      <c r="N26" s="82">
        <f t="shared" si="8"/>
        <v>44</v>
      </c>
      <c r="O26" s="82">
        <f t="shared" si="8"/>
        <v>58</v>
      </c>
      <c r="P26" s="82">
        <f t="shared" si="8"/>
        <v>33.747984903999999</v>
      </c>
      <c r="Q26" s="82">
        <f t="shared" si="8"/>
        <v>47.408382079999996</v>
      </c>
      <c r="R26" s="82">
        <f t="shared" ref="R26:Y26" si="9">+R27+R31+R35+R37</f>
        <v>49.112539840303036</v>
      </c>
      <c r="S26" s="82">
        <f t="shared" si="9"/>
        <v>47.980872634123529</v>
      </c>
      <c r="T26" s="82">
        <f t="shared" si="9"/>
        <v>45.105224525541729</v>
      </c>
      <c r="U26" s="82">
        <f t="shared" si="9"/>
        <v>45.396949800607274</v>
      </c>
      <c r="V26" s="82">
        <f t="shared" si="9"/>
        <v>45.686371017695706</v>
      </c>
      <c r="W26" s="82">
        <f t="shared" si="9"/>
        <v>44.21433938013881</v>
      </c>
      <c r="X26" s="82">
        <f t="shared" si="9"/>
        <v>49.248479622082655</v>
      </c>
      <c r="Y26" s="82">
        <f t="shared" si="9"/>
        <v>71.873805271428623</v>
      </c>
      <c r="Z26" s="82">
        <f t="shared" ref="Z26" si="10">+Z27+Z31+Z35+Z37</f>
        <v>69.274547470129903</v>
      </c>
      <c r="AA26" s="191"/>
    </row>
    <row r="27" spans="1:27" ht="18.75" thickTop="1" thickBot="1">
      <c r="A27" s="85">
        <v>6.1</v>
      </c>
      <c r="B27" s="95" t="s">
        <v>217</v>
      </c>
      <c r="C27" s="86" t="s">
        <v>40</v>
      </c>
      <c r="D27" s="87">
        <f t="shared" ref="D27:Q27" si="11">SUM(D28:D29)</f>
        <v>0</v>
      </c>
      <c r="E27" s="87">
        <f t="shared" si="11"/>
        <v>0</v>
      </c>
      <c r="F27" s="87">
        <f t="shared" si="11"/>
        <v>0</v>
      </c>
      <c r="G27" s="87">
        <f t="shared" si="11"/>
        <v>0</v>
      </c>
      <c r="H27" s="87">
        <f t="shared" si="11"/>
        <v>0</v>
      </c>
      <c r="I27" s="87">
        <f t="shared" si="11"/>
        <v>0</v>
      </c>
      <c r="J27" s="87">
        <f t="shared" si="11"/>
        <v>0</v>
      </c>
      <c r="K27" s="87">
        <f t="shared" si="11"/>
        <v>0</v>
      </c>
      <c r="L27" s="87">
        <f t="shared" si="11"/>
        <v>0</v>
      </c>
      <c r="M27" s="87">
        <f t="shared" si="11"/>
        <v>0</v>
      </c>
      <c r="N27" s="87">
        <f t="shared" si="11"/>
        <v>1</v>
      </c>
      <c r="O27" s="87">
        <f t="shared" si="11"/>
        <v>1</v>
      </c>
      <c r="P27" s="87">
        <f t="shared" si="11"/>
        <v>3.7287873999999999E-2</v>
      </c>
      <c r="Q27" s="87">
        <f t="shared" si="11"/>
        <v>4.8187600000000004E-2</v>
      </c>
      <c r="R27" s="87">
        <f t="shared" ref="R27:Y27" si="12">SUM(R28:R29)</f>
        <v>2.6718680000000033E-2</v>
      </c>
      <c r="S27" s="87">
        <f t="shared" si="12"/>
        <v>2.3500905641025641E-2</v>
      </c>
      <c r="T27" s="87">
        <f t="shared" si="12"/>
        <v>2.8815082051282057E-2</v>
      </c>
      <c r="U27" s="87">
        <f t="shared" si="12"/>
        <v>2.9609555897435896E-2</v>
      </c>
      <c r="V27" s="87">
        <f t="shared" si="12"/>
        <v>4.5490367179487172E-2</v>
      </c>
      <c r="W27" s="87">
        <f t="shared" si="12"/>
        <v>9.9134092307692281E-3</v>
      </c>
      <c r="X27" s="87">
        <f t="shared" si="12"/>
        <v>1.9997260512820515E-2</v>
      </c>
      <c r="Y27" s="87">
        <f t="shared" si="12"/>
        <v>1.1949654545454545E-2</v>
      </c>
      <c r="Z27" s="87">
        <f t="shared" ref="Z27" si="13">SUM(Z28:Z29)</f>
        <v>5.4150109090909136E-2</v>
      </c>
      <c r="AA27" s="191"/>
    </row>
    <row r="28" spans="1:27" ht="18.75" thickTop="1" thickBot="1">
      <c r="A28" s="70" t="s">
        <v>20</v>
      </c>
      <c r="B28" s="96" t="s">
        <v>125</v>
      </c>
      <c r="C28" s="71" t="s">
        <v>40</v>
      </c>
      <c r="D28" s="72">
        <v>0</v>
      </c>
      <c r="E28" s="72">
        <v>0</v>
      </c>
      <c r="F28" s="72">
        <v>0</v>
      </c>
      <c r="G28" s="72">
        <v>0</v>
      </c>
      <c r="H28" s="73">
        <v>0</v>
      </c>
      <c r="I28" s="73">
        <v>0</v>
      </c>
      <c r="J28" s="72">
        <v>0</v>
      </c>
      <c r="K28" s="73">
        <v>0</v>
      </c>
      <c r="L28" s="73">
        <v>0</v>
      </c>
      <c r="M28" s="73">
        <v>0</v>
      </c>
      <c r="N28" s="73">
        <v>1</v>
      </c>
      <c r="O28" s="73">
        <v>1</v>
      </c>
      <c r="P28" s="73">
        <v>1.6217400000000001E-4</v>
      </c>
      <c r="Q28" s="73">
        <v>3.457E-3</v>
      </c>
      <c r="R28" s="73">
        <v>1.2416E-3</v>
      </c>
      <c r="S28" s="73">
        <v>7.2009230769230759E-4</v>
      </c>
      <c r="T28" s="73">
        <v>1.1858153846153847E-3</v>
      </c>
      <c r="U28" s="73">
        <v>2.8933692307692308E-3</v>
      </c>
      <c r="V28" s="73">
        <v>4.0935384615384615E-4</v>
      </c>
      <c r="W28" s="73">
        <v>9.9369230769230782E-5</v>
      </c>
      <c r="X28" s="73">
        <v>6.3675384615384609E-4</v>
      </c>
      <c r="Y28" s="183">
        <v>3.2290909090909088E-4</v>
      </c>
      <c r="Z28" s="183">
        <v>1.4614545454545453E-4</v>
      </c>
      <c r="AA28" s="191"/>
    </row>
    <row r="29" spans="1:27" ht="18.75" thickTop="1" thickBot="1">
      <c r="A29" s="70" t="s">
        <v>21</v>
      </c>
      <c r="B29" s="96" t="s">
        <v>126</v>
      </c>
      <c r="C29" s="71" t="s">
        <v>40</v>
      </c>
      <c r="D29" s="72">
        <v>0</v>
      </c>
      <c r="E29" s="72">
        <v>0</v>
      </c>
      <c r="F29" s="72">
        <v>0</v>
      </c>
      <c r="G29" s="72">
        <v>0</v>
      </c>
      <c r="H29" s="73">
        <v>0</v>
      </c>
      <c r="I29" s="73">
        <v>0</v>
      </c>
      <c r="J29" s="72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3.7125699999999998E-2</v>
      </c>
      <c r="Q29" s="73">
        <v>4.4730600000000002E-2</v>
      </c>
      <c r="R29" s="73">
        <v>2.5477080000000034E-2</v>
      </c>
      <c r="S29" s="73">
        <f>S30+0.0146</f>
        <v>2.2780813333333334E-2</v>
      </c>
      <c r="T29" s="73">
        <v>2.7629266666666673E-2</v>
      </c>
      <c r="U29" s="73">
        <v>2.6716186666666666E-2</v>
      </c>
      <c r="V29" s="73">
        <v>4.5081013333333322E-2</v>
      </c>
      <c r="W29" s="73">
        <v>9.8140399999999978E-3</v>
      </c>
      <c r="X29" s="73">
        <v>1.9360506666666669E-2</v>
      </c>
      <c r="Y29" s="183">
        <v>1.1626745454545454E-2</v>
      </c>
      <c r="Z29" s="183">
        <v>5.4003963636363679E-2</v>
      </c>
      <c r="AA29" s="191"/>
    </row>
    <row r="30" spans="1:27" ht="18.75" thickTop="1" thickBot="1">
      <c r="A30" s="70" t="s">
        <v>65</v>
      </c>
      <c r="B30" s="96" t="s">
        <v>155</v>
      </c>
      <c r="C30" s="71" t="s">
        <v>40</v>
      </c>
      <c r="D30" s="72">
        <v>0</v>
      </c>
      <c r="E30" s="72">
        <v>0</v>
      </c>
      <c r="F30" s="72">
        <v>0</v>
      </c>
      <c r="G30" s="72">
        <v>0</v>
      </c>
      <c r="H30" s="73">
        <v>0</v>
      </c>
      <c r="I30" s="73">
        <v>0</v>
      </c>
      <c r="J30" s="72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8.2140000000000002E-4</v>
      </c>
      <c r="Q30" s="73">
        <v>1.4347520000000001E-2</v>
      </c>
      <c r="R30" s="73">
        <v>1.0897333333333332E-2</v>
      </c>
      <c r="S30" s="73">
        <v>8.1808133333333335E-3</v>
      </c>
      <c r="T30" s="73">
        <v>2.7629266666666673E-2</v>
      </c>
      <c r="U30" s="73">
        <v>2.6716186666666666E-2</v>
      </c>
      <c r="V30" s="73">
        <v>4.5081013333333322E-2</v>
      </c>
      <c r="W30" s="73">
        <v>9.8140399999999978E-3</v>
      </c>
      <c r="X30" s="73">
        <v>1.6323226666666669E-2</v>
      </c>
      <c r="Y30" s="183">
        <v>2.1429454545454549E-3</v>
      </c>
      <c r="Z30" s="183">
        <v>2.0816181818181798E-3</v>
      </c>
      <c r="AA30" s="191"/>
    </row>
    <row r="31" spans="1:27" ht="18.75" thickTop="1" thickBot="1">
      <c r="A31" s="85">
        <v>6.2</v>
      </c>
      <c r="B31" s="95" t="s">
        <v>128</v>
      </c>
      <c r="C31" s="86" t="s">
        <v>40</v>
      </c>
      <c r="D31" s="87">
        <f t="shared" ref="D31:Q31" si="14">SUM(D32:D33)</f>
        <v>0</v>
      </c>
      <c r="E31" s="87">
        <f t="shared" si="14"/>
        <v>0</v>
      </c>
      <c r="F31" s="87">
        <f t="shared" si="14"/>
        <v>5</v>
      </c>
      <c r="G31" s="87">
        <f t="shared" si="14"/>
        <v>4</v>
      </c>
      <c r="H31" s="87">
        <f t="shared" si="14"/>
        <v>5</v>
      </c>
      <c r="I31" s="87">
        <f t="shared" si="14"/>
        <v>8</v>
      </c>
      <c r="J31" s="87">
        <f t="shared" si="14"/>
        <v>8</v>
      </c>
      <c r="K31" s="87">
        <f t="shared" si="14"/>
        <v>5</v>
      </c>
      <c r="L31" s="87">
        <f t="shared" si="14"/>
        <v>4</v>
      </c>
      <c r="M31" s="87">
        <f t="shared" si="14"/>
        <v>6</v>
      </c>
      <c r="N31" s="87">
        <f t="shared" si="14"/>
        <v>6</v>
      </c>
      <c r="O31" s="87">
        <f t="shared" si="14"/>
        <v>9</v>
      </c>
      <c r="P31" s="87">
        <f t="shared" si="14"/>
        <v>2.3995100300000001</v>
      </c>
      <c r="Q31" s="87">
        <f t="shared" si="14"/>
        <v>7.6638479999999998</v>
      </c>
      <c r="R31" s="87">
        <f>SUM(R32:R33)</f>
        <v>9.4086319636363651</v>
      </c>
      <c r="S31" s="87">
        <f t="shared" ref="S31:Z31" si="15">S32+S33</f>
        <v>9.8389371346363639</v>
      </c>
      <c r="T31" s="87">
        <f t="shared" si="15"/>
        <v>8.5950227230769229</v>
      </c>
      <c r="U31" s="87">
        <f t="shared" si="15"/>
        <v>5.1158949076923079</v>
      </c>
      <c r="V31" s="87">
        <f t="shared" si="15"/>
        <v>7.4169022153846162</v>
      </c>
      <c r="W31" s="87">
        <f t="shared" si="15"/>
        <v>6.6532080769230788</v>
      </c>
      <c r="X31" s="87">
        <f t="shared" si="15"/>
        <v>10.182506461538463</v>
      </c>
      <c r="Y31" s="87">
        <f t="shared" si="15"/>
        <v>12.166469657142862</v>
      </c>
      <c r="Z31" s="87">
        <f t="shared" si="15"/>
        <v>13.539765142857144</v>
      </c>
      <c r="AA31" s="191"/>
    </row>
    <row r="32" spans="1:27" ht="18.75" thickTop="1" thickBot="1">
      <c r="A32" s="70" t="s">
        <v>22</v>
      </c>
      <c r="B32" s="96" t="s">
        <v>125</v>
      </c>
      <c r="C32" s="71" t="s">
        <v>40</v>
      </c>
      <c r="D32" s="72">
        <v>0</v>
      </c>
      <c r="E32" s="72">
        <v>0</v>
      </c>
      <c r="F32" s="72">
        <v>1</v>
      </c>
      <c r="G32" s="72">
        <v>1</v>
      </c>
      <c r="H32" s="72">
        <v>1</v>
      </c>
      <c r="I32" s="72">
        <v>3</v>
      </c>
      <c r="J32" s="72">
        <v>2</v>
      </c>
      <c r="K32" s="72">
        <v>0</v>
      </c>
      <c r="L32" s="72">
        <v>4</v>
      </c>
      <c r="M32" s="72">
        <v>3</v>
      </c>
      <c r="N32" s="72">
        <v>3</v>
      </c>
      <c r="O32" s="72">
        <v>5</v>
      </c>
      <c r="P32" s="72">
        <v>0.53391303000000001</v>
      </c>
      <c r="Q32" s="72">
        <v>4.7880000000000003</v>
      </c>
      <c r="R32" s="72">
        <v>6.4681513999999991</v>
      </c>
      <c r="S32" s="72">
        <v>4.3230561636363625</v>
      </c>
      <c r="T32" s="72">
        <v>4.945905830769231</v>
      </c>
      <c r="U32" s="72">
        <v>3.755135276923077</v>
      </c>
      <c r="V32" s="72">
        <v>5.4819318000000008</v>
      </c>
      <c r="W32" s="72">
        <v>4.7859608307692323</v>
      </c>
      <c r="X32" s="72">
        <v>5.590745353846156</v>
      </c>
      <c r="Y32" s="72">
        <v>5.8620166428571467</v>
      </c>
      <c r="Z32" s="72">
        <v>8.5734644714285739</v>
      </c>
      <c r="AA32" s="191"/>
    </row>
    <row r="33" spans="1:27" ht="18.75" thickTop="1" thickBot="1">
      <c r="A33" s="70" t="s">
        <v>23</v>
      </c>
      <c r="B33" s="96" t="s">
        <v>126</v>
      </c>
      <c r="C33" s="71" t="s">
        <v>40</v>
      </c>
      <c r="D33" s="72">
        <v>0</v>
      </c>
      <c r="E33" s="72">
        <v>0</v>
      </c>
      <c r="F33" s="72">
        <v>4</v>
      </c>
      <c r="G33" s="72">
        <v>3</v>
      </c>
      <c r="H33" s="72">
        <v>4</v>
      </c>
      <c r="I33" s="72">
        <v>5</v>
      </c>
      <c r="J33" s="72">
        <v>6</v>
      </c>
      <c r="K33" s="72">
        <v>5</v>
      </c>
      <c r="L33" s="72">
        <v>0</v>
      </c>
      <c r="M33" s="72">
        <v>3</v>
      </c>
      <c r="N33" s="72">
        <v>3</v>
      </c>
      <c r="O33" s="72">
        <v>4</v>
      </c>
      <c r="P33" s="72">
        <v>1.8655969999999999</v>
      </c>
      <c r="Q33" s="72">
        <v>2.875848</v>
      </c>
      <c r="R33" s="72">
        <v>2.940480563636366</v>
      </c>
      <c r="S33" s="72">
        <f>1.0663046+3.99449442+S34</f>
        <v>5.5158809710000005</v>
      </c>
      <c r="T33" s="72">
        <v>3.6491168923076929</v>
      </c>
      <c r="U33" s="72">
        <v>1.3607596307692307</v>
      </c>
      <c r="V33" s="72">
        <v>1.9349704153846152</v>
      </c>
      <c r="W33" s="72">
        <v>1.8672472461538461</v>
      </c>
      <c r="X33" s="72">
        <v>4.5917611076923066</v>
      </c>
      <c r="Y33" s="72">
        <v>6.3044530142857145</v>
      </c>
      <c r="Z33" s="72">
        <v>4.96630067142857</v>
      </c>
      <c r="AA33" s="191"/>
    </row>
    <row r="34" spans="1:27" ht="18.75" thickTop="1" thickBot="1">
      <c r="A34" s="75" t="s">
        <v>66</v>
      </c>
      <c r="B34" s="96" t="s">
        <v>155</v>
      </c>
      <c r="C34" s="71" t="s">
        <v>40</v>
      </c>
      <c r="D34" s="72">
        <v>0</v>
      </c>
      <c r="E34" s="72">
        <v>0</v>
      </c>
      <c r="F34" s="72">
        <v>2</v>
      </c>
      <c r="G34" s="72">
        <v>1</v>
      </c>
      <c r="H34" s="72">
        <v>3</v>
      </c>
      <c r="I34" s="72">
        <v>0</v>
      </c>
      <c r="J34" s="72">
        <v>6</v>
      </c>
      <c r="K34" s="72">
        <v>5</v>
      </c>
      <c r="L34" s="72">
        <v>0</v>
      </c>
      <c r="M34" s="72">
        <v>3</v>
      </c>
      <c r="N34" s="72">
        <v>3</v>
      </c>
      <c r="O34" s="72">
        <v>4</v>
      </c>
      <c r="P34" s="72">
        <v>0.22026961</v>
      </c>
      <c r="Q34" s="72">
        <v>0.13977999999999999</v>
      </c>
      <c r="R34" s="72">
        <v>1.840344945454546</v>
      </c>
      <c r="S34" s="72">
        <f>0.18786913+0.219340091+0.04787273</f>
        <v>0.45508195100000004</v>
      </c>
      <c r="T34" s="72">
        <v>2.1991700461538466</v>
      </c>
      <c r="U34" s="72">
        <v>0.72529356923076915</v>
      </c>
      <c r="V34" s="72">
        <v>0.76373184615384582</v>
      </c>
      <c r="W34" s="72">
        <v>0.88645049230769235</v>
      </c>
      <c r="X34" s="72">
        <v>2.5412752769230775</v>
      </c>
      <c r="Y34" s="72">
        <v>2.022435771428571</v>
      </c>
      <c r="Z34" s="72">
        <v>1.8326232142857146</v>
      </c>
      <c r="AA34" s="191"/>
    </row>
    <row r="35" spans="1:27" ht="33" thickTop="1" thickBot="1">
      <c r="A35" s="85">
        <v>6.3</v>
      </c>
      <c r="B35" s="95" t="s">
        <v>301</v>
      </c>
      <c r="C35" s="86" t="s">
        <v>40</v>
      </c>
      <c r="D35" s="87">
        <f t="shared" ref="D35:Q35" si="16">+D36</f>
        <v>4</v>
      </c>
      <c r="E35" s="87">
        <f t="shared" si="16"/>
        <v>4</v>
      </c>
      <c r="F35" s="87">
        <f t="shared" si="16"/>
        <v>3</v>
      </c>
      <c r="G35" s="87">
        <f t="shared" si="16"/>
        <v>7</v>
      </c>
      <c r="H35" s="87">
        <f t="shared" si="16"/>
        <v>6</v>
      </c>
      <c r="I35" s="87">
        <f t="shared" si="16"/>
        <v>2</v>
      </c>
      <c r="J35" s="87">
        <f t="shared" si="16"/>
        <v>0</v>
      </c>
      <c r="K35" s="87">
        <f t="shared" si="16"/>
        <v>9</v>
      </c>
      <c r="L35" s="87">
        <f t="shared" si="16"/>
        <v>5</v>
      </c>
      <c r="M35" s="87">
        <f t="shared" si="16"/>
        <v>5</v>
      </c>
      <c r="N35" s="87">
        <f t="shared" si="16"/>
        <v>4</v>
      </c>
      <c r="O35" s="87">
        <f t="shared" si="16"/>
        <v>8</v>
      </c>
      <c r="P35" s="87">
        <f t="shared" si="16"/>
        <v>8</v>
      </c>
      <c r="Q35" s="87">
        <f t="shared" si="16"/>
        <v>9</v>
      </c>
      <c r="R35" s="87">
        <f>+R36</f>
        <v>9.4497675166666664</v>
      </c>
      <c r="S35" s="87">
        <f t="shared" ref="S35:Y35" si="17">S36</f>
        <v>6.9058849538461544</v>
      </c>
      <c r="T35" s="87">
        <f t="shared" si="17"/>
        <v>7.8984638285714253</v>
      </c>
      <c r="U35" s="87">
        <f t="shared" si="17"/>
        <v>9.9510497999999981</v>
      </c>
      <c r="V35" s="87">
        <f t="shared" si="17"/>
        <v>7.8861468000000015</v>
      </c>
      <c r="W35" s="87">
        <f t="shared" si="17"/>
        <v>6.7898007571428591</v>
      </c>
      <c r="X35" s="87">
        <f t="shared" si="17"/>
        <v>7.0205046142857173</v>
      </c>
      <c r="Y35" s="87">
        <f t="shared" si="17"/>
        <v>9.4387747090909073</v>
      </c>
      <c r="Z35" s="87">
        <v>6.4165297636363627</v>
      </c>
      <c r="AA35" s="191"/>
    </row>
    <row r="36" spans="1:27" ht="18.75" thickTop="1" thickBot="1">
      <c r="A36" s="70" t="s">
        <v>24</v>
      </c>
      <c r="B36" s="96" t="s">
        <v>290</v>
      </c>
      <c r="C36" s="71" t="s">
        <v>40</v>
      </c>
      <c r="D36" s="72">
        <v>4</v>
      </c>
      <c r="E36" s="72">
        <v>4</v>
      </c>
      <c r="F36" s="72">
        <v>3</v>
      </c>
      <c r="G36" s="72">
        <v>7</v>
      </c>
      <c r="H36" s="72">
        <v>6</v>
      </c>
      <c r="I36" s="72">
        <v>2</v>
      </c>
      <c r="J36" s="72">
        <v>0</v>
      </c>
      <c r="K36" s="72">
        <v>9</v>
      </c>
      <c r="L36" s="72">
        <v>5</v>
      </c>
      <c r="M36" s="72">
        <v>5</v>
      </c>
      <c r="N36" s="72">
        <v>4</v>
      </c>
      <c r="O36" s="72">
        <v>8</v>
      </c>
      <c r="P36" s="72">
        <v>8</v>
      </c>
      <c r="Q36" s="72">
        <v>9</v>
      </c>
      <c r="R36" s="72">
        <v>9.4497675166666664</v>
      </c>
      <c r="S36" s="72">
        <v>6.9058849538461544</v>
      </c>
      <c r="T36" s="72">
        <v>7.8984638285714253</v>
      </c>
      <c r="U36" s="72">
        <v>9.9510497999999981</v>
      </c>
      <c r="V36" s="72">
        <v>7.8861468000000015</v>
      </c>
      <c r="W36" s="72">
        <v>6.7898007571428591</v>
      </c>
      <c r="X36" s="72">
        <v>7.0205046142857173</v>
      </c>
      <c r="Y36" s="72">
        <v>9.4387747090909073</v>
      </c>
      <c r="Z36" s="72">
        <v>6.4165297636363627</v>
      </c>
      <c r="AA36" s="191"/>
    </row>
    <row r="37" spans="1:27" ht="18.75" thickTop="1" thickBot="1">
      <c r="A37" s="85">
        <v>6.4</v>
      </c>
      <c r="B37" s="95" t="s">
        <v>129</v>
      </c>
      <c r="C37" s="86" t="s">
        <v>40</v>
      </c>
      <c r="D37" s="87">
        <f t="shared" ref="D37:Q37" si="18">SUM(D38:D40)</f>
        <v>8</v>
      </c>
      <c r="E37" s="87">
        <f t="shared" si="18"/>
        <v>7</v>
      </c>
      <c r="F37" s="87">
        <f t="shared" si="18"/>
        <v>8</v>
      </c>
      <c r="G37" s="87">
        <f t="shared" si="18"/>
        <v>8</v>
      </c>
      <c r="H37" s="87">
        <f t="shared" si="18"/>
        <v>8</v>
      </c>
      <c r="I37" s="87">
        <f t="shared" si="18"/>
        <v>15</v>
      </c>
      <c r="J37" s="87">
        <f t="shared" si="18"/>
        <v>64</v>
      </c>
      <c r="K37" s="87">
        <f t="shared" si="18"/>
        <v>20</v>
      </c>
      <c r="L37" s="87">
        <f t="shared" si="18"/>
        <v>28</v>
      </c>
      <c r="M37" s="87">
        <f t="shared" si="18"/>
        <v>26</v>
      </c>
      <c r="N37" s="87">
        <f t="shared" si="18"/>
        <v>33</v>
      </c>
      <c r="O37" s="87">
        <f t="shared" si="18"/>
        <v>40</v>
      </c>
      <c r="P37" s="87">
        <f t="shared" si="18"/>
        <v>23.311187</v>
      </c>
      <c r="Q37" s="87">
        <f t="shared" si="18"/>
        <v>30.696346479999999</v>
      </c>
      <c r="R37" s="87">
        <f>SUM(R38:R40)</f>
        <v>30.227421680000006</v>
      </c>
      <c r="S37" s="87">
        <f t="shared" ref="S37:X37" si="19">S38+S39+S40</f>
        <v>31.212549639999981</v>
      </c>
      <c r="T37" s="87">
        <f t="shared" si="19"/>
        <v>28.582922891842095</v>
      </c>
      <c r="U37" s="87">
        <f t="shared" si="19"/>
        <v>30.300395537017536</v>
      </c>
      <c r="V37" s="87">
        <f t="shared" si="19"/>
        <v>30.337831635131597</v>
      </c>
      <c r="W37" s="87">
        <f t="shared" si="19"/>
        <v>30.761417136842105</v>
      </c>
      <c r="X37" s="87">
        <f t="shared" si="19"/>
        <v>32.025471285745652</v>
      </c>
      <c r="Y37" s="87">
        <f>SUM(Y38:Y40)</f>
        <v>50.256611250649399</v>
      </c>
      <c r="Z37" s="87">
        <f>SUM(Z38:Z40)</f>
        <v>49.26410245454548</v>
      </c>
      <c r="AA37" s="191"/>
    </row>
    <row r="38" spans="1:27" ht="18.75" thickTop="1" thickBot="1">
      <c r="A38" s="70" t="s">
        <v>25</v>
      </c>
      <c r="B38" s="96" t="s">
        <v>232</v>
      </c>
      <c r="C38" s="71" t="s">
        <v>40</v>
      </c>
      <c r="D38" s="72">
        <v>3</v>
      </c>
      <c r="E38" s="72">
        <v>3</v>
      </c>
      <c r="F38" s="72">
        <v>3</v>
      </c>
      <c r="G38" s="72">
        <v>3</v>
      </c>
      <c r="H38" s="73">
        <v>3</v>
      </c>
      <c r="I38" s="73">
        <v>4</v>
      </c>
      <c r="J38" s="72">
        <v>4</v>
      </c>
      <c r="K38" s="73">
        <v>10</v>
      </c>
      <c r="L38" s="73">
        <v>3</v>
      </c>
      <c r="M38" s="73">
        <v>3</v>
      </c>
      <c r="N38" s="73">
        <v>3</v>
      </c>
      <c r="O38" s="73">
        <v>5</v>
      </c>
      <c r="P38" s="73">
        <v>4.3204010000000004</v>
      </c>
      <c r="Q38" s="73">
        <v>5.9709483199999998</v>
      </c>
      <c r="R38" s="73">
        <v>5.9004236666666667</v>
      </c>
      <c r="S38" s="73">
        <v>3.3669527466666702</v>
      </c>
      <c r="T38" s="73">
        <v>2.032710936842105</v>
      </c>
      <c r="U38" s="73">
        <v>1.9364724736842105</v>
      </c>
      <c r="V38" s="73">
        <v>1.6826136526315787</v>
      </c>
      <c r="W38" s="73">
        <v>1.5414171368421055</v>
      </c>
      <c r="X38" s="73">
        <v>1.2195456315789475</v>
      </c>
      <c r="Y38" s="183">
        <v>1.8562010142857142</v>
      </c>
      <c r="Z38" s="183">
        <v>1.5012530000000002</v>
      </c>
      <c r="AA38" s="191"/>
    </row>
    <row r="39" spans="1:27" ht="18.75" thickTop="1" thickBot="1">
      <c r="A39" s="70" t="s">
        <v>26</v>
      </c>
      <c r="B39" s="96" t="s">
        <v>130</v>
      </c>
      <c r="C39" s="71" t="s">
        <v>40</v>
      </c>
      <c r="D39" s="72">
        <v>5</v>
      </c>
      <c r="E39" s="72">
        <v>4</v>
      </c>
      <c r="F39" s="72">
        <v>0</v>
      </c>
      <c r="G39" s="72">
        <v>5</v>
      </c>
      <c r="H39" s="73">
        <v>5</v>
      </c>
      <c r="I39" s="73">
        <v>11</v>
      </c>
      <c r="J39" s="72">
        <v>14</v>
      </c>
      <c r="K39" s="73">
        <v>0</v>
      </c>
      <c r="L39" s="73">
        <v>24</v>
      </c>
      <c r="M39" s="73">
        <v>23</v>
      </c>
      <c r="N39" s="73">
        <v>30</v>
      </c>
      <c r="O39" s="73">
        <v>35</v>
      </c>
      <c r="P39" s="73">
        <v>18.881862000000002</v>
      </c>
      <c r="Q39" s="73">
        <v>24.455576359999998</v>
      </c>
      <c r="R39" s="73">
        <v>24.251005133333337</v>
      </c>
      <c r="S39" s="73">
        <v>27.583792853333311</v>
      </c>
      <c r="T39" s="73">
        <v>26.23750107499999</v>
      </c>
      <c r="U39" s="73">
        <v>28.014182649999992</v>
      </c>
      <c r="V39" s="73">
        <v>28.361472262500019</v>
      </c>
      <c r="W39" s="73">
        <v>28.99</v>
      </c>
      <c r="X39" s="73">
        <v>30.674774387500033</v>
      </c>
      <c r="Y39" s="183">
        <v>48.117748800000044</v>
      </c>
      <c r="Z39" s="183">
        <v>47.267297690909118</v>
      </c>
      <c r="AA39" s="191"/>
    </row>
    <row r="40" spans="1:27" ht="18.75" thickTop="1" thickBot="1">
      <c r="A40" s="70" t="s">
        <v>27</v>
      </c>
      <c r="B40" s="96" t="s">
        <v>160</v>
      </c>
      <c r="C40" s="71" t="s">
        <v>40</v>
      </c>
      <c r="D40" s="72">
        <v>0</v>
      </c>
      <c r="E40" s="72">
        <v>0</v>
      </c>
      <c r="F40" s="72">
        <v>5</v>
      </c>
      <c r="G40" s="72">
        <v>0</v>
      </c>
      <c r="H40" s="73">
        <v>0</v>
      </c>
      <c r="I40" s="73">
        <v>0</v>
      </c>
      <c r="J40" s="72">
        <v>46</v>
      </c>
      <c r="K40" s="73">
        <v>10</v>
      </c>
      <c r="L40" s="73">
        <v>1</v>
      </c>
      <c r="M40" s="73">
        <v>0</v>
      </c>
      <c r="N40" s="73">
        <v>0</v>
      </c>
      <c r="O40" s="73">
        <v>0</v>
      </c>
      <c r="P40" s="73">
        <v>0.10892400000000001</v>
      </c>
      <c r="Q40" s="73">
        <v>0.2698218</v>
      </c>
      <c r="R40" s="73">
        <v>7.5992879999999999E-2</v>
      </c>
      <c r="S40" s="73">
        <v>0.26180403999999996</v>
      </c>
      <c r="T40" s="73">
        <v>0.31271087999999997</v>
      </c>
      <c r="U40" s="73">
        <v>0.34974041333333344</v>
      </c>
      <c r="V40" s="73">
        <v>0.29374571999999999</v>
      </c>
      <c r="W40" s="73">
        <v>0.23</v>
      </c>
      <c r="X40" s="73">
        <v>0.13115126666666665</v>
      </c>
      <c r="Y40" s="183">
        <v>0.28266143636363639</v>
      </c>
      <c r="Z40" s="183">
        <v>0.49555176363636355</v>
      </c>
      <c r="AA40" s="191"/>
    </row>
    <row r="41" spans="1:27" ht="18.75" thickTop="1" thickBot="1">
      <c r="A41" s="80">
        <v>7</v>
      </c>
      <c r="B41" s="94" t="s">
        <v>118</v>
      </c>
      <c r="C41" s="81" t="s">
        <v>53</v>
      </c>
      <c r="D41" s="82">
        <f>+D42+D43+D44+D49</f>
        <v>16</v>
      </c>
      <c r="E41" s="82">
        <v>15</v>
      </c>
      <c r="F41" s="82">
        <v>13</v>
      </c>
      <c r="G41" s="82">
        <v>13</v>
      </c>
      <c r="H41" s="82">
        <v>17</v>
      </c>
      <c r="I41" s="82">
        <v>15</v>
      </c>
      <c r="J41" s="82">
        <v>8</v>
      </c>
      <c r="K41" s="82">
        <v>10</v>
      </c>
      <c r="L41" s="82">
        <v>9</v>
      </c>
      <c r="M41" s="82">
        <f>SUM(M42+M43+M44+M49)</f>
        <v>10</v>
      </c>
      <c r="N41" s="82">
        <f>+(N42+N43+N44+N49)</f>
        <v>11</v>
      </c>
      <c r="O41" s="82">
        <f>+(O42+O43+O44+O49)</f>
        <v>9</v>
      </c>
      <c r="P41" s="82">
        <f>P42+P43+P44</f>
        <v>8.0095292000000011</v>
      </c>
      <c r="Q41" s="82">
        <f>+Q42+Q43+Q44+Q49</f>
        <v>10.029522</v>
      </c>
      <c r="R41" s="82">
        <f>+R42+R43+R44+R49</f>
        <v>8.0529659999999996</v>
      </c>
      <c r="S41" s="82">
        <f t="shared" ref="S41:Z41" si="20">+S42+S43+S44+S48</f>
        <v>6.5140805099999994</v>
      </c>
      <c r="T41" s="82">
        <f t="shared" si="20"/>
        <v>6.9134791700000022</v>
      </c>
      <c r="U41" s="82">
        <f t="shared" si="20"/>
        <v>6.9009676600000027</v>
      </c>
      <c r="V41" s="82">
        <f t="shared" si="20"/>
        <v>5.5672396099999997</v>
      </c>
      <c r="W41" s="82">
        <f t="shared" si="20"/>
        <v>5.5729933200000001</v>
      </c>
      <c r="X41" s="82">
        <f t="shared" si="20"/>
        <v>6.0976487200000022</v>
      </c>
      <c r="Y41" s="82">
        <f t="shared" si="20"/>
        <v>5.9647906845454539</v>
      </c>
      <c r="Z41" s="82">
        <f t="shared" si="20"/>
        <v>4.3872401200000013</v>
      </c>
      <c r="AA41" s="191"/>
    </row>
    <row r="42" spans="1:27" ht="18.75" thickTop="1" thickBot="1">
      <c r="A42" s="85">
        <v>7.1</v>
      </c>
      <c r="B42" s="95" t="s">
        <v>233</v>
      </c>
      <c r="C42" s="86" t="s">
        <v>53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8.3599999999999994E-3</v>
      </c>
      <c r="Q42" s="87">
        <v>0</v>
      </c>
      <c r="R42" s="87">
        <v>1.1220000000000001E-2</v>
      </c>
      <c r="S42" s="87">
        <v>2.2440000000000002E-2</v>
      </c>
      <c r="T42" s="87">
        <v>3.3841000000000003E-2</v>
      </c>
      <c r="U42" s="87">
        <v>4.4880000000000003E-2</v>
      </c>
      <c r="V42" s="87">
        <v>3.4499000000000002E-2</v>
      </c>
      <c r="W42" s="87">
        <v>3.4680000000000002E-2</v>
      </c>
      <c r="X42" s="87">
        <v>2.3460000000000002E-2</v>
      </c>
      <c r="Y42" s="87">
        <v>8.6951854545454538E-2</v>
      </c>
      <c r="Z42" s="87">
        <v>2.346581E-2</v>
      </c>
      <c r="AA42" s="191"/>
    </row>
    <row r="43" spans="1:27" ht="18.75" thickTop="1" thickBot="1">
      <c r="A43" s="85">
        <v>7.2</v>
      </c>
      <c r="B43" s="95" t="s">
        <v>234</v>
      </c>
      <c r="C43" s="86" t="s">
        <v>53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  <c r="AA43" s="191"/>
    </row>
    <row r="44" spans="1:27" ht="18.75" thickTop="1" thickBot="1">
      <c r="A44" s="85">
        <v>7.3</v>
      </c>
      <c r="B44" s="95" t="s">
        <v>251</v>
      </c>
      <c r="C44" s="86" t="s">
        <v>53</v>
      </c>
      <c r="D44" s="87">
        <v>16</v>
      </c>
      <c r="E44" s="87">
        <v>15</v>
      </c>
      <c r="F44" s="87">
        <v>13</v>
      </c>
      <c r="G44" s="87">
        <v>13</v>
      </c>
      <c r="H44" s="87">
        <v>17</v>
      </c>
      <c r="I44" s="87">
        <v>15</v>
      </c>
      <c r="J44" s="87">
        <v>8</v>
      </c>
      <c r="K44" s="87">
        <v>10</v>
      </c>
      <c r="L44" s="87">
        <v>9</v>
      </c>
      <c r="M44" s="87">
        <f t="shared" ref="M44:R44" si="21">SUM(M45:M48)</f>
        <v>10</v>
      </c>
      <c r="N44" s="87">
        <f t="shared" si="21"/>
        <v>11</v>
      </c>
      <c r="O44" s="87">
        <f t="shared" si="21"/>
        <v>9</v>
      </c>
      <c r="P44" s="87">
        <f t="shared" si="21"/>
        <v>8.0011692000000014</v>
      </c>
      <c r="Q44" s="87">
        <f t="shared" si="21"/>
        <v>10.006</v>
      </c>
      <c r="R44" s="87">
        <f t="shared" si="21"/>
        <v>8.0153459999999992</v>
      </c>
      <c r="S44" s="87">
        <f>SUM(S45:S48)</f>
        <v>6.4830494600000002</v>
      </c>
      <c r="T44" s="87">
        <f t="shared" ref="T44:Z44" si="22">SUM(T46:T48)</f>
        <v>6.875098170000002</v>
      </c>
      <c r="U44" s="87">
        <f t="shared" si="22"/>
        <v>6.8410076600000025</v>
      </c>
      <c r="V44" s="87">
        <f t="shared" si="22"/>
        <v>5.5286766099999998</v>
      </c>
      <c r="W44" s="87">
        <f t="shared" si="22"/>
        <v>5.5292833200000002</v>
      </c>
      <c r="X44" s="87">
        <f t="shared" si="22"/>
        <v>6.0741887200000022</v>
      </c>
      <c r="Y44" s="87">
        <f t="shared" si="22"/>
        <v>5.8778388299999991</v>
      </c>
      <c r="Z44" s="87">
        <f t="shared" si="22"/>
        <v>4.3138543100000009</v>
      </c>
      <c r="AA44" s="191"/>
    </row>
    <row r="45" spans="1:27" ht="18.75" thickTop="1" thickBot="1">
      <c r="A45" s="70" t="s">
        <v>28</v>
      </c>
      <c r="B45" s="96" t="s">
        <v>291</v>
      </c>
      <c r="C45" s="71" t="s">
        <v>53</v>
      </c>
      <c r="D45" s="72">
        <v>0</v>
      </c>
      <c r="E45" s="72">
        <v>0</v>
      </c>
      <c r="F45" s="72">
        <v>0</v>
      </c>
      <c r="G45" s="72">
        <v>0</v>
      </c>
      <c r="H45" s="73">
        <v>0</v>
      </c>
      <c r="I45" s="73">
        <v>0</v>
      </c>
      <c r="J45" s="72">
        <v>0</v>
      </c>
      <c r="K45" s="73">
        <v>0</v>
      </c>
      <c r="L45" s="73">
        <v>0</v>
      </c>
      <c r="M45" s="73">
        <v>0</v>
      </c>
      <c r="N45" s="77">
        <v>0</v>
      </c>
      <c r="O45" s="73">
        <v>0</v>
      </c>
      <c r="P45" s="73">
        <v>8.7410000000000005E-4</v>
      </c>
      <c r="Q45" s="73">
        <v>0</v>
      </c>
      <c r="R45" s="73">
        <v>4.13E-3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183">
        <v>0</v>
      </c>
      <c r="Z45" s="183">
        <v>0</v>
      </c>
      <c r="AA45" s="191"/>
    </row>
    <row r="46" spans="1:27" ht="18.75" thickTop="1" thickBot="1">
      <c r="A46" s="70" t="s">
        <v>29</v>
      </c>
      <c r="B46" s="96" t="s">
        <v>236</v>
      </c>
      <c r="C46" s="71" t="s">
        <v>53</v>
      </c>
      <c r="D46" s="72">
        <v>16</v>
      </c>
      <c r="E46" s="72">
        <v>15</v>
      </c>
      <c r="F46" s="72">
        <v>13</v>
      </c>
      <c r="G46" s="72">
        <v>13</v>
      </c>
      <c r="H46" s="73">
        <v>17</v>
      </c>
      <c r="I46" s="73">
        <v>15</v>
      </c>
      <c r="J46" s="72">
        <v>8</v>
      </c>
      <c r="K46" s="73">
        <v>10</v>
      </c>
      <c r="L46" s="73">
        <v>9</v>
      </c>
      <c r="M46" s="73">
        <v>10</v>
      </c>
      <c r="N46" s="77">
        <v>11</v>
      </c>
      <c r="O46" s="73">
        <v>9</v>
      </c>
      <c r="P46" s="73">
        <v>8</v>
      </c>
      <c r="Q46" s="73">
        <v>10</v>
      </c>
      <c r="R46" s="73">
        <v>8</v>
      </c>
      <c r="S46" s="73">
        <v>6.4744584100000004</v>
      </c>
      <c r="T46" s="73">
        <v>6.8705581700000016</v>
      </c>
      <c r="U46" s="73">
        <v>6.8259276600000023</v>
      </c>
      <c r="V46" s="73">
        <v>5.5246126100000001</v>
      </c>
      <c r="W46" s="73">
        <v>5.5202533200000001</v>
      </c>
      <c r="X46" s="73">
        <v>6.0741887200000022</v>
      </c>
      <c r="Y46" s="183">
        <v>5.8778388299999991</v>
      </c>
      <c r="Z46" s="183">
        <v>4.2639343100000007</v>
      </c>
      <c r="AA46" s="191"/>
    </row>
    <row r="47" spans="1:27" ht="18.75" thickTop="1" thickBot="1">
      <c r="A47" s="70" t="s">
        <v>30</v>
      </c>
      <c r="B47" s="96" t="s">
        <v>292</v>
      </c>
      <c r="C47" s="71" t="s">
        <v>53</v>
      </c>
      <c r="D47" s="72">
        <v>0</v>
      </c>
      <c r="E47" s="72">
        <v>0</v>
      </c>
      <c r="F47" s="72">
        <v>0</v>
      </c>
      <c r="G47" s="72">
        <v>0</v>
      </c>
      <c r="H47" s="73">
        <v>0</v>
      </c>
      <c r="I47" s="73">
        <v>0</v>
      </c>
      <c r="J47" s="72">
        <v>0</v>
      </c>
      <c r="K47" s="73">
        <v>0</v>
      </c>
      <c r="L47" s="73">
        <v>0</v>
      </c>
      <c r="M47" s="73">
        <v>0</v>
      </c>
      <c r="N47" s="77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183">
        <v>0</v>
      </c>
      <c r="Z47" s="183">
        <v>0</v>
      </c>
      <c r="AA47" s="191"/>
    </row>
    <row r="48" spans="1:27" ht="18.75" thickTop="1" thickBot="1">
      <c r="A48" s="70" t="s">
        <v>31</v>
      </c>
      <c r="B48" s="96" t="s">
        <v>254</v>
      </c>
      <c r="C48" s="71" t="s">
        <v>53</v>
      </c>
      <c r="D48" s="72">
        <v>0</v>
      </c>
      <c r="E48" s="72">
        <v>0</v>
      </c>
      <c r="F48" s="72">
        <v>0</v>
      </c>
      <c r="G48" s="72">
        <v>0</v>
      </c>
      <c r="H48" s="73">
        <v>0</v>
      </c>
      <c r="I48" s="73">
        <v>0</v>
      </c>
      <c r="J48" s="72">
        <v>0</v>
      </c>
      <c r="K48" s="73">
        <v>0</v>
      </c>
      <c r="L48" s="73">
        <v>0</v>
      </c>
      <c r="M48" s="73">
        <v>0</v>
      </c>
      <c r="N48" s="77">
        <v>0</v>
      </c>
      <c r="O48" s="73">
        <v>0</v>
      </c>
      <c r="P48" s="73">
        <v>2.9510000000000002E-4</v>
      </c>
      <c r="Q48" s="73">
        <v>6.0000000000000001E-3</v>
      </c>
      <c r="R48" s="73">
        <v>1.1215999999999999E-2</v>
      </c>
      <c r="S48" s="73">
        <v>8.5910499999999994E-3</v>
      </c>
      <c r="T48" s="73">
        <v>4.5399999999999998E-3</v>
      </c>
      <c r="U48" s="73">
        <v>1.508E-2</v>
      </c>
      <c r="V48" s="73">
        <v>4.0639999999999999E-3</v>
      </c>
      <c r="W48" s="73">
        <v>9.0299999999999998E-3</v>
      </c>
      <c r="X48" s="174">
        <v>0</v>
      </c>
      <c r="Y48" s="174">
        <v>0</v>
      </c>
      <c r="Z48" s="174">
        <v>4.9919999999999999E-2</v>
      </c>
      <c r="AA48" s="191"/>
    </row>
    <row r="49" spans="1:29" ht="18.75" thickTop="1" thickBot="1">
      <c r="A49" s="85">
        <v>7.4</v>
      </c>
      <c r="B49" s="95" t="s">
        <v>203</v>
      </c>
      <c r="C49" s="86" t="s">
        <v>53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2.3522000000000001E-2</v>
      </c>
      <c r="R49" s="87">
        <v>2.64E-2</v>
      </c>
      <c r="S49" s="87">
        <v>0</v>
      </c>
      <c r="T49" s="87">
        <v>1.7782659999999999E-2</v>
      </c>
      <c r="U49" s="87">
        <v>2.64E-2</v>
      </c>
      <c r="V49" s="87">
        <v>0</v>
      </c>
      <c r="W49" s="87">
        <v>0</v>
      </c>
      <c r="X49" s="87">
        <v>4.3200000000000002E-2</v>
      </c>
      <c r="Y49" s="87">
        <v>4.3200000000000002E-2</v>
      </c>
      <c r="Z49" s="87">
        <v>4.9919999999999999E-2</v>
      </c>
      <c r="AA49" s="209"/>
      <c r="AC49" s="14"/>
    </row>
    <row r="50" spans="1:29" ht="18.75" thickTop="1" thickBot="1">
      <c r="A50" s="80">
        <v>8</v>
      </c>
      <c r="B50" s="94" t="s">
        <v>239</v>
      </c>
      <c r="C50" s="81" t="s">
        <v>53</v>
      </c>
      <c r="D50" s="82">
        <f t="shared" ref="D50:Q50" si="23">SUM(D51:D52)</f>
        <v>0</v>
      </c>
      <c r="E50" s="82">
        <f t="shared" si="23"/>
        <v>0</v>
      </c>
      <c r="F50" s="82">
        <f t="shared" si="23"/>
        <v>0</v>
      </c>
      <c r="G50" s="82">
        <f t="shared" si="23"/>
        <v>0</v>
      </c>
      <c r="H50" s="82">
        <f t="shared" si="23"/>
        <v>0</v>
      </c>
      <c r="I50" s="82">
        <f t="shared" si="23"/>
        <v>0</v>
      </c>
      <c r="J50" s="82">
        <f t="shared" si="23"/>
        <v>0</v>
      </c>
      <c r="K50" s="82">
        <f t="shared" si="23"/>
        <v>0</v>
      </c>
      <c r="L50" s="82">
        <f t="shared" si="23"/>
        <v>0</v>
      </c>
      <c r="M50" s="82">
        <f t="shared" si="23"/>
        <v>0</v>
      </c>
      <c r="N50" s="82">
        <f t="shared" si="23"/>
        <v>0</v>
      </c>
      <c r="O50" s="82">
        <f t="shared" si="23"/>
        <v>0</v>
      </c>
      <c r="P50" s="82">
        <f t="shared" si="23"/>
        <v>0.14849999999999999</v>
      </c>
      <c r="Q50" s="82">
        <f t="shared" si="23"/>
        <v>0.14849999999999999</v>
      </c>
      <c r="R50" s="82">
        <f>SUM(R51:R52)</f>
        <v>0.15039527999999999</v>
      </c>
      <c r="S50" s="82">
        <f>SUM(S51:S52)</f>
        <v>0.13113580999999999</v>
      </c>
      <c r="T50" s="82">
        <f>SUM(T51:T52)</f>
        <v>0.12814233999999999</v>
      </c>
      <c r="U50" s="82">
        <f>SUM(U51:U52)</f>
        <v>8.9864219999999995E-2</v>
      </c>
      <c r="V50" s="82">
        <f>SUM(V51:V52)</f>
        <v>6.99018E-2</v>
      </c>
      <c r="W50" s="82">
        <f t="shared" ref="W50:Z50" si="24">SUM(W51:W52)</f>
        <v>6.8151690000000001E-2</v>
      </c>
      <c r="X50" s="82">
        <f t="shared" si="24"/>
        <v>9.0345399999999992E-2</v>
      </c>
      <c r="Y50" s="82">
        <f t="shared" si="24"/>
        <v>9.0345399999999992E-2</v>
      </c>
      <c r="Z50" s="82">
        <f t="shared" si="24"/>
        <v>0.10684099999999999</v>
      </c>
      <c r="AA50" s="209"/>
    </row>
    <row r="51" spans="1:29" ht="18.75" thickTop="1" thickBot="1">
      <c r="A51" s="85">
        <v>8.1</v>
      </c>
      <c r="B51" s="95" t="s">
        <v>307</v>
      </c>
      <c r="C51" s="86" t="s">
        <v>53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9.2999999999999999E-2</v>
      </c>
      <c r="Q51" s="87">
        <v>9.2999999999999999E-2</v>
      </c>
      <c r="R51" s="87">
        <v>0.10716299999999999</v>
      </c>
      <c r="S51" s="87">
        <v>9.5614999999999992E-2</v>
      </c>
      <c r="T51" s="87">
        <v>8.133E-2</v>
      </c>
      <c r="U51" s="87">
        <v>4.5359999999999998E-2</v>
      </c>
      <c r="V51" s="87">
        <v>4.6060000000000004E-2</v>
      </c>
      <c r="W51" s="87">
        <v>5.6850000000000005E-2</v>
      </c>
      <c r="X51" s="87">
        <v>6.9134399999999999E-2</v>
      </c>
      <c r="Y51" s="87">
        <v>6.9134399999999999E-2</v>
      </c>
      <c r="Z51" s="87">
        <v>8.6029999999999995E-2</v>
      </c>
      <c r="AA51" s="209"/>
    </row>
    <row r="52" spans="1:29" ht="18.75" thickTop="1" thickBot="1">
      <c r="A52" s="85">
        <v>8.1999999999999993</v>
      </c>
      <c r="B52" s="95" t="s">
        <v>132</v>
      </c>
      <c r="C52" s="86" t="s">
        <v>53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5.5500000000000001E-2</v>
      </c>
      <c r="Q52" s="87">
        <v>5.5500000000000001E-2</v>
      </c>
      <c r="R52" s="87">
        <v>4.3232279999999998E-2</v>
      </c>
      <c r="S52" s="87">
        <v>3.552081E-2</v>
      </c>
      <c r="T52" s="87">
        <v>4.6812340000000001E-2</v>
      </c>
      <c r="U52" s="87">
        <v>4.4504220000000004E-2</v>
      </c>
      <c r="V52" s="87">
        <v>2.38418E-2</v>
      </c>
      <c r="W52" s="87">
        <v>1.1301690000000001E-2</v>
      </c>
      <c r="X52" s="87">
        <v>2.1210999999999997E-2</v>
      </c>
      <c r="Y52" s="87">
        <v>2.1210999999999997E-2</v>
      </c>
      <c r="Z52" s="87">
        <v>2.0811E-2</v>
      </c>
      <c r="AA52" s="209"/>
    </row>
    <row r="53" spans="1:29" ht="18.75" thickTop="1" thickBot="1">
      <c r="A53" s="80">
        <v>9</v>
      </c>
      <c r="B53" s="94" t="s">
        <v>120</v>
      </c>
      <c r="C53" s="81" t="s">
        <v>53</v>
      </c>
      <c r="D53" s="82">
        <v>4</v>
      </c>
      <c r="E53" s="82">
        <v>4</v>
      </c>
      <c r="F53" s="82">
        <v>4</v>
      </c>
      <c r="G53" s="82">
        <v>3</v>
      </c>
      <c r="H53" s="82">
        <v>2</v>
      </c>
      <c r="I53" s="82">
        <v>2</v>
      </c>
      <c r="J53" s="82">
        <v>4</v>
      </c>
      <c r="K53" s="82">
        <v>9</v>
      </c>
      <c r="L53" s="82">
        <v>12</v>
      </c>
      <c r="M53" s="82">
        <v>6</v>
      </c>
      <c r="N53" s="82">
        <v>15</v>
      </c>
      <c r="O53" s="82">
        <v>11</v>
      </c>
      <c r="P53" s="82">
        <v>5</v>
      </c>
      <c r="Q53" s="82">
        <v>4</v>
      </c>
      <c r="R53" s="82">
        <v>4.1107470699999995</v>
      </c>
      <c r="S53" s="82">
        <v>4.9970591400000002</v>
      </c>
      <c r="T53" s="82">
        <v>4.8753561500000009</v>
      </c>
      <c r="U53" s="82">
        <v>2.5547808899999995</v>
      </c>
      <c r="V53" s="82">
        <v>2.7746334899999998</v>
      </c>
      <c r="W53" s="82">
        <v>5.5418714800000002</v>
      </c>
      <c r="X53" s="82">
        <v>2.3094485599999999</v>
      </c>
      <c r="Y53" s="82">
        <v>3.60747426</v>
      </c>
      <c r="Z53" s="82">
        <v>1.2803538799999998</v>
      </c>
      <c r="AA53" s="209"/>
    </row>
    <row r="54" spans="1:29" ht="18.75" thickTop="1" thickBot="1">
      <c r="A54" s="80">
        <v>10</v>
      </c>
      <c r="B54" s="94" t="s">
        <v>121</v>
      </c>
      <c r="C54" s="81" t="s">
        <v>53</v>
      </c>
      <c r="D54" s="82">
        <v>76</v>
      </c>
      <c r="E54" s="82">
        <v>74</v>
      </c>
      <c r="F54" s="82">
        <v>50</v>
      </c>
      <c r="G54" s="82">
        <v>35</v>
      </c>
      <c r="H54" s="82">
        <v>20</v>
      </c>
      <c r="I54" s="82">
        <v>64</v>
      </c>
      <c r="J54" s="82">
        <v>74</v>
      </c>
      <c r="K54" s="82">
        <v>71</v>
      </c>
      <c r="L54" s="82">
        <f>SUM(L55+L60+L61+L66)</f>
        <v>71</v>
      </c>
      <c r="M54" s="82">
        <f>SUM(M55+M60+M61+M66)</f>
        <v>92</v>
      </c>
      <c r="N54" s="82">
        <f>SUM(N55+N60+N61+N66)</f>
        <v>82</v>
      </c>
      <c r="O54" s="82">
        <f>SUM(O55+O60+O61+O66)</f>
        <v>81</v>
      </c>
      <c r="P54" s="82">
        <f>P55+P60+P61+P66</f>
        <v>65.753275720000005</v>
      </c>
      <c r="Q54" s="82">
        <f t="shared" ref="Q54:Z54" si="25">+Q55+Q60+Q61+Q66</f>
        <v>67.324668000000017</v>
      </c>
      <c r="R54" s="82">
        <f t="shared" si="25"/>
        <v>65.056174659999996</v>
      </c>
      <c r="S54" s="82">
        <f t="shared" si="25"/>
        <v>58.248517559999996</v>
      </c>
      <c r="T54" s="82">
        <f t="shared" si="25"/>
        <v>54.268249020000006</v>
      </c>
      <c r="U54" s="82">
        <f t="shared" si="25"/>
        <v>71.345641780000008</v>
      </c>
      <c r="V54" s="82">
        <f t="shared" si="25"/>
        <v>69.034647530000015</v>
      </c>
      <c r="W54" s="82">
        <f t="shared" si="25"/>
        <v>64.683003580000005</v>
      </c>
      <c r="X54" s="82">
        <f t="shared" si="25"/>
        <v>54.878152819999983</v>
      </c>
      <c r="Y54" s="82">
        <f t="shared" si="25"/>
        <v>86.49562387000006</v>
      </c>
      <c r="Z54" s="82">
        <f t="shared" si="25"/>
        <v>67.82151927999999</v>
      </c>
      <c r="AA54" s="209"/>
    </row>
    <row r="55" spans="1:29" ht="18.75" thickTop="1" thickBot="1">
      <c r="A55" s="85">
        <v>10.1</v>
      </c>
      <c r="B55" s="95" t="s">
        <v>285</v>
      </c>
      <c r="C55" s="86" t="s">
        <v>53</v>
      </c>
      <c r="D55" s="87">
        <f t="shared" ref="D55:Q55" si="26">SUM(D56:D59)</f>
        <v>37</v>
      </c>
      <c r="E55" s="87">
        <f t="shared" si="26"/>
        <v>37</v>
      </c>
      <c r="F55" s="87">
        <f t="shared" si="26"/>
        <v>23</v>
      </c>
      <c r="G55" s="87">
        <f t="shared" si="26"/>
        <v>21</v>
      </c>
      <c r="H55" s="87">
        <f t="shared" si="26"/>
        <v>9</v>
      </c>
      <c r="I55" s="87">
        <f t="shared" si="26"/>
        <v>32</v>
      </c>
      <c r="J55" s="87">
        <f t="shared" si="26"/>
        <v>44</v>
      </c>
      <c r="K55" s="87">
        <f t="shared" si="26"/>
        <v>32</v>
      </c>
      <c r="L55" s="87">
        <f t="shared" si="26"/>
        <v>33</v>
      </c>
      <c r="M55" s="87">
        <f t="shared" si="26"/>
        <v>32</v>
      </c>
      <c r="N55" s="87">
        <f t="shared" si="26"/>
        <v>35</v>
      </c>
      <c r="O55" s="87">
        <f t="shared" si="26"/>
        <v>39</v>
      </c>
      <c r="P55" s="87">
        <f t="shared" si="26"/>
        <v>31.128112000000002</v>
      </c>
      <c r="Q55" s="87">
        <f t="shared" si="26"/>
        <v>36.862018000000006</v>
      </c>
      <c r="R55" s="87">
        <f t="shared" ref="R55:Z55" si="27">SUM(R56:R59)</f>
        <v>37.12652302</v>
      </c>
      <c r="S55" s="87">
        <f t="shared" si="27"/>
        <v>30.168250610000005</v>
      </c>
      <c r="T55" s="87">
        <f t="shared" si="27"/>
        <v>28.831997980000004</v>
      </c>
      <c r="U55" s="87">
        <f t="shared" si="27"/>
        <v>41.190587260000001</v>
      </c>
      <c r="V55" s="87">
        <f t="shared" si="27"/>
        <v>40.044721010000011</v>
      </c>
      <c r="W55" s="87">
        <f t="shared" si="27"/>
        <v>35.652417729999996</v>
      </c>
      <c r="X55" s="87">
        <f t="shared" si="27"/>
        <v>27.776998139999993</v>
      </c>
      <c r="Y55" s="87">
        <f t="shared" si="27"/>
        <v>53.401262480000057</v>
      </c>
      <c r="Z55" s="87">
        <f t="shared" si="27"/>
        <v>34.086246519999996</v>
      </c>
      <c r="AA55" s="209"/>
    </row>
    <row r="56" spans="1:29" ht="18.75" thickTop="1" thickBot="1">
      <c r="A56" s="70" t="s">
        <v>32</v>
      </c>
      <c r="B56" s="97" t="s">
        <v>241</v>
      </c>
      <c r="C56" s="71" t="s">
        <v>53</v>
      </c>
      <c r="D56" s="72">
        <v>13</v>
      </c>
      <c r="E56" s="72">
        <v>13</v>
      </c>
      <c r="F56" s="72">
        <v>8</v>
      </c>
      <c r="G56" s="72">
        <v>7</v>
      </c>
      <c r="H56" s="73">
        <v>8</v>
      </c>
      <c r="I56" s="73">
        <v>9</v>
      </c>
      <c r="J56" s="72">
        <v>9</v>
      </c>
      <c r="K56" s="73">
        <v>8</v>
      </c>
      <c r="L56" s="73">
        <v>10</v>
      </c>
      <c r="M56" s="73">
        <v>9</v>
      </c>
      <c r="N56" s="73">
        <v>9</v>
      </c>
      <c r="O56" s="73">
        <v>9</v>
      </c>
      <c r="P56" s="73">
        <v>8.4705770000000005</v>
      </c>
      <c r="Q56" s="73">
        <v>8.6364000000000001</v>
      </c>
      <c r="R56" s="73">
        <v>8.0673292399999994</v>
      </c>
      <c r="S56" s="73">
        <v>7.1292749999999998</v>
      </c>
      <c r="T56" s="73">
        <v>6.1487093800000006</v>
      </c>
      <c r="U56" s="73">
        <v>5.5809910899999995</v>
      </c>
      <c r="V56" s="73">
        <v>5.9200210600000007</v>
      </c>
      <c r="W56" s="183">
        <v>4.38</v>
      </c>
      <c r="X56" s="73">
        <v>3.2825072599999996</v>
      </c>
      <c r="Y56" s="183">
        <v>2.9074079900000003</v>
      </c>
      <c r="Z56" s="183">
        <v>3.2294899800000003</v>
      </c>
      <c r="AA56" s="209"/>
    </row>
    <row r="57" spans="1:29" ht="18.75" thickTop="1" thickBot="1">
      <c r="A57" s="70" t="s">
        <v>33</v>
      </c>
      <c r="B57" s="97" t="s">
        <v>256</v>
      </c>
      <c r="C57" s="71" t="s">
        <v>53</v>
      </c>
      <c r="D57" s="72">
        <v>9</v>
      </c>
      <c r="E57" s="72">
        <v>9</v>
      </c>
      <c r="F57" s="72">
        <v>6</v>
      </c>
      <c r="G57" s="72">
        <v>3</v>
      </c>
      <c r="H57" s="73">
        <v>1</v>
      </c>
      <c r="I57" s="73">
        <v>8</v>
      </c>
      <c r="J57" s="72">
        <v>17</v>
      </c>
      <c r="K57" s="73">
        <v>7</v>
      </c>
      <c r="L57" s="73">
        <v>7</v>
      </c>
      <c r="M57" s="73">
        <v>7</v>
      </c>
      <c r="N57" s="73">
        <v>6</v>
      </c>
      <c r="O57" s="73">
        <v>6</v>
      </c>
      <c r="P57" s="73">
        <v>0</v>
      </c>
      <c r="Q57" s="73">
        <v>0</v>
      </c>
      <c r="R57" s="73">
        <v>1.6153289499999999</v>
      </c>
      <c r="S57" s="73">
        <v>1.6376336100000002</v>
      </c>
      <c r="T57" s="73">
        <v>0</v>
      </c>
      <c r="U57" s="73">
        <v>0</v>
      </c>
      <c r="V57" s="73">
        <v>0</v>
      </c>
      <c r="W57" s="183">
        <v>0.23741773000000002</v>
      </c>
      <c r="X57" s="73">
        <v>0.30322850000000001</v>
      </c>
      <c r="Y57" s="183">
        <v>0.5980630600000002</v>
      </c>
      <c r="Z57" s="183">
        <v>0.17383202</v>
      </c>
      <c r="AA57" s="209"/>
    </row>
    <row r="58" spans="1:29" ht="18.75" thickTop="1" thickBot="1">
      <c r="A58" s="70" t="s">
        <v>34</v>
      </c>
      <c r="B58" s="97" t="s">
        <v>257</v>
      </c>
      <c r="C58" s="71" t="s">
        <v>53</v>
      </c>
      <c r="D58" s="72">
        <v>11</v>
      </c>
      <c r="E58" s="72">
        <v>11</v>
      </c>
      <c r="F58" s="72">
        <v>7</v>
      </c>
      <c r="G58" s="72">
        <v>6</v>
      </c>
      <c r="H58" s="73">
        <v>0</v>
      </c>
      <c r="I58" s="73">
        <v>8</v>
      </c>
      <c r="J58" s="74">
        <v>8</v>
      </c>
      <c r="K58" s="73">
        <v>8</v>
      </c>
      <c r="L58" s="73">
        <v>8</v>
      </c>
      <c r="M58" s="73">
        <v>8</v>
      </c>
      <c r="N58" s="73">
        <v>10</v>
      </c>
      <c r="O58" s="73">
        <v>8</v>
      </c>
      <c r="P58" s="73">
        <v>7.7547470000000001</v>
      </c>
      <c r="Q58" s="73">
        <v>8.75</v>
      </c>
      <c r="R58" s="73">
        <v>8.968264210000001</v>
      </c>
      <c r="S58" s="73">
        <v>7.4046769300000008</v>
      </c>
      <c r="T58" s="73">
        <v>8.3957908700000008</v>
      </c>
      <c r="U58" s="73">
        <v>19.270177880000006</v>
      </c>
      <c r="V58" s="73">
        <v>17.751901480000008</v>
      </c>
      <c r="W58" s="73">
        <v>17.329999999999998</v>
      </c>
      <c r="X58" s="73">
        <v>13.759969089999995</v>
      </c>
      <c r="Y58" s="183">
        <v>14.625523879999994</v>
      </c>
      <c r="Z58" s="183">
        <v>16.100950199999996</v>
      </c>
      <c r="AA58" s="209"/>
    </row>
    <row r="59" spans="1:29" ht="18.75" thickTop="1" thickBot="1">
      <c r="A59" s="70" t="s">
        <v>35</v>
      </c>
      <c r="B59" s="97" t="s">
        <v>258</v>
      </c>
      <c r="C59" s="71" t="s">
        <v>53</v>
      </c>
      <c r="D59" s="72">
        <v>4</v>
      </c>
      <c r="E59" s="72">
        <v>4</v>
      </c>
      <c r="F59" s="72">
        <v>2</v>
      </c>
      <c r="G59" s="72">
        <v>5</v>
      </c>
      <c r="H59" s="73">
        <v>0</v>
      </c>
      <c r="I59" s="73">
        <v>7</v>
      </c>
      <c r="J59" s="74">
        <v>10</v>
      </c>
      <c r="K59" s="73">
        <v>9</v>
      </c>
      <c r="L59" s="73">
        <v>8</v>
      </c>
      <c r="M59" s="73">
        <v>8</v>
      </c>
      <c r="N59" s="73">
        <v>10</v>
      </c>
      <c r="O59" s="73">
        <v>16</v>
      </c>
      <c r="P59" s="73">
        <f>0.659876+14.242912</f>
        <v>14.902788000000001</v>
      </c>
      <c r="Q59" s="73">
        <v>19.475618000000001</v>
      </c>
      <c r="R59" s="73">
        <v>18.475600620000002</v>
      </c>
      <c r="S59" s="73">
        <v>13.996665070000002</v>
      </c>
      <c r="T59" s="73">
        <v>14.287497730000002</v>
      </c>
      <c r="U59" s="73">
        <v>16.339418289999994</v>
      </c>
      <c r="V59" s="73">
        <v>16.372798470000003</v>
      </c>
      <c r="W59" s="73">
        <v>13.705</v>
      </c>
      <c r="X59" s="73">
        <v>10.431293289999999</v>
      </c>
      <c r="Y59" s="183">
        <v>35.270267550000064</v>
      </c>
      <c r="Z59" s="183">
        <v>14.58197432</v>
      </c>
      <c r="AA59" s="209"/>
    </row>
    <row r="60" spans="1:29" ht="18.75" thickTop="1" thickBot="1">
      <c r="A60" s="85">
        <v>10.199999999999999</v>
      </c>
      <c r="B60" s="95" t="s">
        <v>135</v>
      </c>
      <c r="C60" s="86" t="s">
        <v>53</v>
      </c>
      <c r="D60" s="87">
        <v>0</v>
      </c>
      <c r="E60" s="87">
        <v>0</v>
      </c>
      <c r="F60" s="87">
        <v>0</v>
      </c>
      <c r="G60" s="87">
        <v>0</v>
      </c>
      <c r="H60" s="87">
        <v>1</v>
      </c>
      <c r="I60" s="87">
        <v>0</v>
      </c>
      <c r="J60" s="87">
        <v>0</v>
      </c>
      <c r="K60" s="87">
        <v>0</v>
      </c>
      <c r="L60" s="87">
        <v>5</v>
      </c>
      <c r="M60" s="87">
        <v>3</v>
      </c>
      <c r="N60" s="87">
        <v>2</v>
      </c>
      <c r="O60" s="87">
        <v>0</v>
      </c>
      <c r="P60" s="87">
        <v>0.31309225000000002</v>
      </c>
      <c r="Q60" s="87">
        <v>0.52775000000000005</v>
      </c>
      <c r="R60" s="87">
        <v>0.25815246999999997</v>
      </c>
      <c r="S60" s="87">
        <v>0.52</v>
      </c>
      <c r="T60" s="87">
        <v>0.32896302999999988</v>
      </c>
      <c r="U60" s="87">
        <v>0.5009016300000001</v>
      </c>
      <c r="V60" s="87">
        <v>0.72501635999999969</v>
      </c>
      <c r="W60" s="87">
        <v>0.8462917499999999</v>
      </c>
      <c r="X60" s="87">
        <v>1.44772952</v>
      </c>
      <c r="Y60" s="87">
        <v>2.00157242</v>
      </c>
      <c r="Z60" s="87">
        <v>3.0872709399999994</v>
      </c>
      <c r="AA60" s="209"/>
    </row>
    <row r="61" spans="1:29" ht="18.75" thickTop="1" thickBot="1">
      <c r="A61" s="85">
        <v>10.3</v>
      </c>
      <c r="B61" s="95" t="s">
        <v>136</v>
      </c>
      <c r="C61" s="86" t="s">
        <v>53</v>
      </c>
      <c r="D61" s="87">
        <f t="shared" ref="D61:Q61" si="28">SUM(D62:D65)</f>
        <v>37</v>
      </c>
      <c r="E61" s="87">
        <f t="shared" si="28"/>
        <v>35</v>
      </c>
      <c r="F61" s="87">
        <f t="shared" si="28"/>
        <v>25</v>
      </c>
      <c r="G61" s="87">
        <f t="shared" si="28"/>
        <v>14</v>
      </c>
      <c r="H61" s="87">
        <f t="shared" si="28"/>
        <v>7</v>
      </c>
      <c r="I61" s="87">
        <f t="shared" si="28"/>
        <v>32</v>
      </c>
      <c r="J61" s="87">
        <f t="shared" si="28"/>
        <v>39</v>
      </c>
      <c r="K61" s="87">
        <f t="shared" si="28"/>
        <v>38</v>
      </c>
      <c r="L61" s="87">
        <f t="shared" si="28"/>
        <v>32</v>
      </c>
      <c r="M61" s="87">
        <f t="shared" si="28"/>
        <v>56</v>
      </c>
      <c r="N61" s="87">
        <f t="shared" si="28"/>
        <v>44</v>
      </c>
      <c r="O61" s="87">
        <f t="shared" si="28"/>
        <v>41</v>
      </c>
      <c r="P61" s="87">
        <f t="shared" si="28"/>
        <v>33.776110600000003</v>
      </c>
      <c r="Q61" s="87">
        <f t="shared" si="28"/>
        <v>29.385900000000003</v>
      </c>
      <c r="R61" s="87">
        <f t="shared" ref="R61:Z61" si="29">SUM(R62:R65)</f>
        <v>27.070073359999999</v>
      </c>
      <c r="S61" s="87">
        <f t="shared" si="29"/>
        <v>27.099266949999997</v>
      </c>
      <c r="T61" s="87">
        <f t="shared" si="29"/>
        <v>24.579376960000001</v>
      </c>
      <c r="U61" s="87">
        <f t="shared" si="29"/>
        <v>29.17428034000001</v>
      </c>
      <c r="V61" s="87">
        <f t="shared" si="29"/>
        <v>27.790929149999997</v>
      </c>
      <c r="W61" s="87">
        <f t="shared" si="29"/>
        <v>27.778610630000006</v>
      </c>
      <c r="X61" s="87">
        <f t="shared" si="29"/>
        <v>25.332201359999996</v>
      </c>
      <c r="Y61" s="87">
        <f t="shared" si="29"/>
        <v>30.771565170000002</v>
      </c>
      <c r="Z61" s="87">
        <f t="shared" si="29"/>
        <v>30.294519360000006</v>
      </c>
      <c r="AA61" s="209"/>
    </row>
    <row r="62" spans="1:29" ht="18.75" thickTop="1" thickBot="1">
      <c r="A62" s="70" t="s">
        <v>36</v>
      </c>
      <c r="B62" s="97" t="s">
        <v>308</v>
      </c>
      <c r="C62" s="71" t="s">
        <v>53</v>
      </c>
      <c r="D62" s="72">
        <v>30</v>
      </c>
      <c r="E62" s="72">
        <v>30</v>
      </c>
      <c r="F62" s="72">
        <v>20</v>
      </c>
      <c r="G62" s="72">
        <v>14</v>
      </c>
      <c r="H62" s="73">
        <v>7</v>
      </c>
      <c r="I62" s="73">
        <v>23</v>
      </c>
      <c r="J62" s="72">
        <v>29</v>
      </c>
      <c r="K62" s="73">
        <v>21</v>
      </c>
      <c r="L62" s="73">
        <v>26</v>
      </c>
      <c r="M62" s="73">
        <v>16</v>
      </c>
      <c r="N62" s="73">
        <v>31</v>
      </c>
      <c r="O62" s="73">
        <v>28</v>
      </c>
      <c r="P62" s="73">
        <v>24.784682</v>
      </c>
      <c r="Q62" s="73">
        <v>19.186900000000001</v>
      </c>
      <c r="R62" s="73">
        <v>17.175103649999997</v>
      </c>
      <c r="S62" s="73">
        <v>15.816266949999999</v>
      </c>
      <c r="T62" s="73">
        <v>13.530884210000002</v>
      </c>
      <c r="U62" s="73">
        <v>18.180949590000004</v>
      </c>
      <c r="V62" s="73">
        <v>17.604766700000003</v>
      </c>
      <c r="W62" s="73">
        <v>17.713944920000007</v>
      </c>
      <c r="X62" s="73">
        <v>14.532024030000001</v>
      </c>
      <c r="Y62" s="183">
        <v>19.406645129999994</v>
      </c>
      <c r="Z62" s="183">
        <v>18.738525619999997</v>
      </c>
      <c r="AA62" s="209"/>
    </row>
    <row r="63" spans="1:29" ht="18.75" thickTop="1" thickBot="1">
      <c r="A63" s="70" t="s">
        <v>37</v>
      </c>
      <c r="B63" s="97" t="s">
        <v>262</v>
      </c>
      <c r="C63" s="71" t="s">
        <v>53</v>
      </c>
      <c r="D63" s="72">
        <v>0</v>
      </c>
      <c r="E63" s="72">
        <v>0</v>
      </c>
      <c r="F63" s="72">
        <v>0</v>
      </c>
      <c r="G63" s="72">
        <v>0</v>
      </c>
      <c r="H63" s="73">
        <v>0</v>
      </c>
      <c r="I63" s="73">
        <v>7</v>
      </c>
      <c r="J63" s="72">
        <v>8</v>
      </c>
      <c r="K63" s="73">
        <v>5</v>
      </c>
      <c r="L63" s="73">
        <v>0</v>
      </c>
      <c r="M63" s="73">
        <v>11</v>
      </c>
      <c r="N63" s="73">
        <v>10</v>
      </c>
      <c r="O63" s="73">
        <v>10</v>
      </c>
      <c r="P63" s="73">
        <v>6.5943800000000001</v>
      </c>
      <c r="Q63" s="73">
        <v>6.87</v>
      </c>
      <c r="R63" s="73">
        <v>5.6601495899999996</v>
      </c>
      <c r="S63" s="73">
        <v>6.34</v>
      </c>
      <c r="T63" s="73">
        <v>6.6541922399999995</v>
      </c>
      <c r="U63" s="73">
        <v>6.5270066500000032</v>
      </c>
      <c r="V63" s="73">
        <v>6.0134379499999913</v>
      </c>
      <c r="W63" s="73">
        <v>5.88</v>
      </c>
      <c r="X63" s="73">
        <v>6.222023449999992</v>
      </c>
      <c r="Y63" s="183">
        <v>5.4009467199999985</v>
      </c>
      <c r="Z63" s="183">
        <v>5.6736447900000053</v>
      </c>
      <c r="AA63" s="209"/>
    </row>
    <row r="64" spans="1:29" ht="18.75" thickTop="1" thickBot="1">
      <c r="A64" s="70" t="s">
        <v>38</v>
      </c>
      <c r="B64" s="97" t="s">
        <v>294</v>
      </c>
      <c r="C64" s="71" t="s">
        <v>53</v>
      </c>
      <c r="D64" s="72">
        <v>7</v>
      </c>
      <c r="E64" s="72">
        <v>5</v>
      </c>
      <c r="F64" s="72">
        <v>5</v>
      </c>
      <c r="G64" s="72">
        <v>0</v>
      </c>
      <c r="H64" s="73">
        <v>0</v>
      </c>
      <c r="I64" s="73">
        <v>2</v>
      </c>
      <c r="J64" s="72">
        <v>2</v>
      </c>
      <c r="K64" s="73">
        <v>11</v>
      </c>
      <c r="L64" s="73">
        <v>6</v>
      </c>
      <c r="M64" s="73">
        <v>29</v>
      </c>
      <c r="N64" s="73">
        <v>3</v>
      </c>
      <c r="O64" s="73">
        <v>3</v>
      </c>
      <c r="P64" s="73">
        <v>2.0708057599999998</v>
      </c>
      <c r="Q64" s="73">
        <v>2.9119999999999999</v>
      </c>
      <c r="R64" s="73">
        <v>3.8478674400000004</v>
      </c>
      <c r="S64" s="73">
        <v>4.6100000000000003</v>
      </c>
      <c r="T64" s="73">
        <v>4.0148681699999997</v>
      </c>
      <c r="U64" s="73">
        <v>4.0729630700000001</v>
      </c>
      <c r="V64" s="73">
        <v>3.9217390900000026</v>
      </c>
      <c r="W64" s="73">
        <v>3.95</v>
      </c>
      <c r="X64" s="73">
        <v>4.4714140500000026</v>
      </c>
      <c r="Y64" s="183">
        <v>5.8572334900000085</v>
      </c>
      <c r="Z64" s="183">
        <v>5.6823782700000036</v>
      </c>
      <c r="AA64" s="209"/>
    </row>
    <row r="65" spans="1:27" ht="33" thickTop="1" thickBot="1">
      <c r="A65" s="70" t="s">
        <v>39</v>
      </c>
      <c r="B65" s="98" t="s">
        <v>309</v>
      </c>
      <c r="C65" s="71" t="s">
        <v>53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1</v>
      </c>
      <c r="L65" s="72">
        <v>0</v>
      </c>
      <c r="M65" s="72">
        <v>0</v>
      </c>
      <c r="N65" s="72">
        <v>0</v>
      </c>
      <c r="O65" s="72">
        <v>0</v>
      </c>
      <c r="P65" s="72">
        <v>0.32624283999999998</v>
      </c>
      <c r="Q65" s="159">
        <v>0.41699999999999998</v>
      </c>
      <c r="R65" s="159">
        <v>0.38695267999999999</v>
      </c>
      <c r="S65" s="159">
        <v>0.33300000000000002</v>
      </c>
      <c r="T65" s="159">
        <v>0.37943234000000003</v>
      </c>
      <c r="U65" s="159">
        <v>0.39336102999999994</v>
      </c>
      <c r="V65" s="159">
        <v>0.25098541000000002</v>
      </c>
      <c r="W65" s="159">
        <v>0.23466571</v>
      </c>
      <c r="X65" s="159">
        <v>0.10673982999999999</v>
      </c>
      <c r="Y65" s="159">
        <v>0.10673982999999999</v>
      </c>
      <c r="Z65" s="159">
        <v>0.19997067999999998</v>
      </c>
      <c r="AA65" s="209"/>
    </row>
    <row r="66" spans="1:27" ht="33" thickTop="1" thickBot="1">
      <c r="A66" s="85">
        <v>10.4</v>
      </c>
      <c r="B66" s="95" t="s">
        <v>247</v>
      </c>
      <c r="C66" s="86" t="s">
        <v>53</v>
      </c>
      <c r="D66" s="87">
        <v>2</v>
      </c>
      <c r="E66" s="87">
        <v>2</v>
      </c>
      <c r="F66" s="87">
        <v>2</v>
      </c>
      <c r="G66" s="87">
        <v>0</v>
      </c>
      <c r="H66" s="87">
        <v>3</v>
      </c>
      <c r="I66" s="87">
        <v>0</v>
      </c>
      <c r="J66" s="87">
        <v>1</v>
      </c>
      <c r="K66" s="87">
        <v>1</v>
      </c>
      <c r="L66" s="87">
        <v>1</v>
      </c>
      <c r="M66" s="87">
        <v>1</v>
      </c>
      <c r="N66" s="87">
        <v>1</v>
      </c>
      <c r="O66" s="87">
        <v>1</v>
      </c>
      <c r="P66" s="87">
        <v>0.53596087000000003</v>
      </c>
      <c r="Q66" s="87">
        <v>0.54900000000000004</v>
      </c>
      <c r="R66" s="87">
        <v>0.60142581000000006</v>
      </c>
      <c r="S66" s="87">
        <v>0.46100000000000002</v>
      </c>
      <c r="T66" s="87">
        <v>0.52791104999999994</v>
      </c>
      <c r="U66" s="87">
        <v>0.47987254999999995</v>
      </c>
      <c r="V66" s="87">
        <v>0.47398101000000004</v>
      </c>
      <c r="W66" s="87">
        <v>0.40568346999999971</v>
      </c>
      <c r="X66" s="87">
        <v>0.32122379999999984</v>
      </c>
      <c r="Y66" s="87">
        <v>0.32122379999999984</v>
      </c>
      <c r="Z66" s="87">
        <v>0.35348246000000033</v>
      </c>
      <c r="AA66" s="209"/>
    </row>
    <row r="67" spans="1:27" ht="13.5" thickTop="1">
      <c r="Z67" s="191"/>
      <c r="AA67" s="191"/>
    </row>
    <row r="68" spans="1:27" ht="15.75">
      <c r="B68" s="99" t="s">
        <v>181</v>
      </c>
      <c r="Z68" s="191"/>
      <c r="AA68" s="191"/>
    </row>
  </sheetData>
  <mergeCells count="3">
    <mergeCell ref="F4:I4"/>
    <mergeCell ref="C2:L2"/>
    <mergeCell ref="A9:Z9"/>
  </mergeCells>
  <pageMargins left="0.7" right="0.7" top="0.75" bottom="0.75" header="0.3" footer="0.3"/>
  <ignoredErrors>
    <ignoredError sqref="D27:V27 D31:R31 E37:L37 M44:Y44 D55:V55 D61:V61 D13:R13 X27 Y18:Z18 X22 Y22:Z22" formulaRange="1"/>
    <ignoredError sqref="D11:W11 D18:O18 D26:V26 W26 S29 M41:X41 L54:T54 X50 Y41 Y26:Z26" unlockedFormula="1"/>
    <ignoredError sqref="P18:X18 D22:W22 W27 D50:W50 X26 Y27:Z27" formulaRange="1" unlockedFormula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A96"/>
  <sheetViews>
    <sheetView showGridLines="0" topLeftCell="A75" zoomScale="70" zoomScaleNormal="70" workbookViewId="0">
      <pane xSplit="2" topLeftCell="O1" activePane="topRight" state="frozen"/>
      <selection pane="topRight" activeCell="W12" sqref="W12"/>
    </sheetView>
  </sheetViews>
  <sheetFormatPr baseColWidth="10" defaultRowHeight="12.75"/>
  <cols>
    <col min="1" max="1" width="23.28515625" customWidth="1"/>
    <col min="2" max="2" width="75.28515625" customWidth="1"/>
    <col min="3" max="3" width="14.28515625" customWidth="1"/>
    <col min="4" max="5" width="12.140625" customWidth="1"/>
    <col min="6" max="6" width="13.7109375" customWidth="1"/>
    <col min="7" max="7" width="12.140625" customWidth="1"/>
    <col min="8" max="17" width="13.7109375" customWidth="1"/>
    <col min="18" max="18" width="15.42578125" customWidth="1"/>
    <col min="19" max="20" width="12.42578125" customWidth="1"/>
    <col min="21" max="21" width="11.42578125" style="57" customWidth="1"/>
  </cols>
  <sheetData>
    <row r="1" spans="1:25">
      <c r="A1" s="4"/>
      <c r="B1" s="10"/>
      <c r="C1" s="2"/>
      <c r="D1" s="2"/>
      <c r="E1" s="2"/>
      <c r="F1" s="2"/>
      <c r="G1" s="2"/>
      <c r="H1" s="1"/>
      <c r="I1" s="1"/>
    </row>
    <row r="2" spans="1:25">
      <c r="A2" s="4"/>
      <c r="B2" s="10"/>
      <c r="C2" s="2"/>
      <c r="D2" s="2"/>
      <c r="E2" s="2"/>
      <c r="F2" s="2"/>
      <c r="G2" s="2"/>
      <c r="H2" s="1"/>
      <c r="I2" s="1"/>
    </row>
    <row r="3" spans="1:25">
      <c r="A3" s="4"/>
      <c r="B3" s="10"/>
      <c r="C3" s="2"/>
      <c r="D3" s="2"/>
      <c r="E3" s="2"/>
      <c r="F3" s="2"/>
      <c r="G3" s="2"/>
      <c r="H3" s="1"/>
      <c r="I3" s="1"/>
    </row>
    <row r="4" spans="1:25">
      <c r="A4" s="4"/>
      <c r="B4" s="10"/>
      <c r="C4" s="2"/>
      <c r="D4" s="2"/>
      <c r="E4" s="2"/>
      <c r="F4" s="2"/>
      <c r="G4" s="2"/>
      <c r="H4" s="1"/>
      <c r="I4" s="1"/>
    </row>
    <row r="5" spans="1:25" ht="36">
      <c r="A5" s="4"/>
      <c r="B5" s="10"/>
      <c r="C5" s="223"/>
      <c r="D5" s="223"/>
      <c r="E5" s="223"/>
      <c r="F5" s="223"/>
      <c r="G5" s="223"/>
      <c r="H5" s="223"/>
      <c r="I5" s="223"/>
      <c r="J5" s="223"/>
      <c r="K5" s="223"/>
      <c r="L5" s="28"/>
      <c r="M5" s="28"/>
    </row>
    <row r="6" spans="1:25">
      <c r="A6" s="4"/>
      <c r="B6" s="10"/>
      <c r="C6" s="2"/>
      <c r="D6" s="2"/>
      <c r="E6" s="2"/>
      <c r="F6" s="2"/>
      <c r="G6" s="2"/>
      <c r="H6" s="1"/>
      <c r="I6" s="1"/>
    </row>
    <row r="7" spans="1:25" ht="23.25">
      <c r="A7" s="4"/>
      <c r="B7" s="10"/>
      <c r="C7" s="2"/>
      <c r="D7" s="2"/>
      <c r="E7" s="220"/>
      <c r="F7" s="220"/>
      <c r="G7" s="220"/>
      <c r="H7" s="220"/>
      <c r="I7" s="220"/>
    </row>
    <row r="8" spans="1:25">
      <c r="A8" s="4"/>
      <c r="B8" s="10"/>
      <c r="C8" s="2"/>
      <c r="D8" s="2"/>
      <c r="E8" s="2"/>
      <c r="F8" s="2"/>
      <c r="G8" s="2"/>
      <c r="H8" s="1"/>
      <c r="I8" s="1"/>
    </row>
    <row r="9" spans="1:25">
      <c r="A9" s="4"/>
      <c r="B9" s="10"/>
      <c r="C9" s="2"/>
      <c r="D9" s="2"/>
      <c r="E9" s="2"/>
      <c r="F9" s="2"/>
      <c r="G9" s="2"/>
      <c r="H9" s="1"/>
      <c r="I9" s="1"/>
    </row>
    <row r="10" spans="1:25" ht="18" customHeight="1">
      <c r="A10" s="222" t="s">
        <v>336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</row>
    <row r="11" spans="1:25" ht="18" thickBot="1">
      <c r="A11" s="78" t="s">
        <v>101</v>
      </c>
      <c r="B11" s="78" t="s">
        <v>102</v>
      </c>
      <c r="C11" s="78">
        <v>2000</v>
      </c>
      <c r="D11" s="78">
        <v>2001</v>
      </c>
      <c r="E11" s="78">
        <v>2002</v>
      </c>
      <c r="F11" s="78">
        <v>2003</v>
      </c>
      <c r="G11" s="78">
        <v>2004</v>
      </c>
      <c r="H11" s="78">
        <v>2005</v>
      </c>
      <c r="I11" s="78">
        <v>2006</v>
      </c>
      <c r="J11" s="78">
        <v>2007</v>
      </c>
      <c r="K11" s="78">
        <v>2008</v>
      </c>
      <c r="L11" s="78">
        <v>2009</v>
      </c>
      <c r="M11" s="78">
        <v>2010</v>
      </c>
      <c r="N11" s="78">
        <v>2011</v>
      </c>
      <c r="O11" s="78">
        <v>2012</v>
      </c>
      <c r="P11" s="78">
        <v>2013</v>
      </c>
      <c r="Q11" s="78">
        <v>2014</v>
      </c>
      <c r="R11" s="78">
        <v>2015</v>
      </c>
      <c r="S11" s="78">
        <v>2016</v>
      </c>
      <c r="T11" s="78">
        <v>2017</v>
      </c>
      <c r="U11" s="78">
        <v>2018</v>
      </c>
      <c r="V11" s="78">
        <v>2019</v>
      </c>
      <c r="W11" s="78">
        <v>2020</v>
      </c>
      <c r="X11" s="78">
        <v>2021</v>
      </c>
      <c r="Y11" s="78">
        <v>2022</v>
      </c>
    </row>
    <row r="12" spans="1:25" ht="18.75" thickTop="1" thickBot="1">
      <c r="A12" s="80">
        <v>1</v>
      </c>
      <c r="B12" s="94" t="s">
        <v>122</v>
      </c>
      <c r="C12" s="82">
        <v>226</v>
      </c>
      <c r="D12" s="82">
        <v>187</v>
      </c>
      <c r="E12" s="82">
        <v>51</v>
      </c>
      <c r="F12" s="83">
        <v>116</v>
      </c>
      <c r="G12" s="91">
        <v>281</v>
      </c>
      <c r="H12" s="92">
        <v>554</v>
      </c>
      <c r="I12" s="110">
        <v>663</v>
      </c>
      <c r="J12" s="82">
        <v>833</v>
      </c>
      <c r="K12" s="82">
        <v>952</v>
      </c>
      <c r="L12" s="82">
        <f>SUM(L13:L14)</f>
        <v>679</v>
      </c>
      <c r="M12" s="83">
        <v>832</v>
      </c>
      <c r="N12" s="91">
        <v>1976</v>
      </c>
      <c r="O12" s="93">
        <f>O13+O14</f>
        <v>1661.96271</v>
      </c>
      <c r="P12" s="83">
        <v>2003</v>
      </c>
      <c r="Q12" s="82">
        <f t="shared" ref="Q12:Y12" si="0">SUM(Q13:Q14)</f>
        <v>1339.6327900000001</v>
      </c>
      <c r="R12" s="82">
        <f t="shared" si="0"/>
        <v>1531.6086200000002</v>
      </c>
      <c r="S12" s="82">
        <f t="shared" si="0"/>
        <v>1443.90164</v>
      </c>
      <c r="T12" s="82">
        <f t="shared" si="0"/>
        <v>1427.4234700000002</v>
      </c>
      <c r="U12" s="82">
        <f t="shared" si="0"/>
        <v>1002.6670600000002</v>
      </c>
      <c r="V12" s="82">
        <f t="shared" si="0"/>
        <v>1254.1065400000002</v>
      </c>
      <c r="W12" s="82">
        <f t="shared" si="0"/>
        <v>1983.0783200000005</v>
      </c>
      <c r="X12" s="82">
        <f t="shared" si="0"/>
        <v>2144</v>
      </c>
      <c r="Y12" s="82">
        <f t="shared" si="0"/>
        <v>3074.3533899999993</v>
      </c>
    </row>
    <row r="13" spans="1:25" ht="33" thickTop="1" thickBot="1">
      <c r="A13" s="85">
        <v>1.1000000000000001</v>
      </c>
      <c r="B13" s="95" t="s">
        <v>287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0</v>
      </c>
      <c r="K13" s="87">
        <v>0</v>
      </c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0.23013999999999998</v>
      </c>
      <c r="S13" s="87">
        <v>0</v>
      </c>
      <c r="T13" s="87">
        <v>0</v>
      </c>
      <c r="U13" s="87">
        <v>0</v>
      </c>
      <c r="V13" s="87">
        <v>0</v>
      </c>
      <c r="W13" s="87">
        <v>0</v>
      </c>
      <c r="X13" s="87">
        <v>0</v>
      </c>
      <c r="Y13" s="87">
        <v>0</v>
      </c>
    </row>
    <row r="14" spans="1:25" ht="33" thickTop="1" thickBot="1">
      <c r="A14" s="85">
        <v>1.2</v>
      </c>
      <c r="B14" s="95" t="s">
        <v>124</v>
      </c>
      <c r="C14" s="87">
        <f t="shared" ref="C14:R14" si="1">SUM(C15:C16)</f>
        <v>226</v>
      </c>
      <c r="D14" s="87">
        <f t="shared" si="1"/>
        <v>187</v>
      </c>
      <c r="E14" s="87">
        <f t="shared" si="1"/>
        <v>51</v>
      </c>
      <c r="F14" s="87">
        <f t="shared" si="1"/>
        <v>116</v>
      </c>
      <c r="G14" s="87">
        <f t="shared" si="1"/>
        <v>281</v>
      </c>
      <c r="H14" s="87">
        <f t="shared" si="1"/>
        <v>554</v>
      </c>
      <c r="I14" s="87">
        <f t="shared" si="1"/>
        <v>663</v>
      </c>
      <c r="J14" s="87">
        <f t="shared" si="1"/>
        <v>833</v>
      </c>
      <c r="K14" s="87">
        <f t="shared" si="1"/>
        <v>952</v>
      </c>
      <c r="L14" s="87">
        <f t="shared" si="1"/>
        <v>679</v>
      </c>
      <c r="M14" s="87">
        <f t="shared" si="1"/>
        <v>832</v>
      </c>
      <c r="N14" s="87">
        <f t="shared" si="1"/>
        <v>1976</v>
      </c>
      <c r="O14" s="87">
        <f t="shared" si="1"/>
        <v>1661.96271</v>
      </c>
      <c r="P14" s="87">
        <f t="shared" si="1"/>
        <v>2003.4469999999999</v>
      </c>
      <c r="Q14" s="87">
        <f t="shared" si="1"/>
        <v>1339.6327900000001</v>
      </c>
      <c r="R14" s="87">
        <f t="shared" si="1"/>
        <v>1531.3784800000003</v>
      </c>
      <c r="S14" s="87">
        <v>1443.90164</v>
      </c>
      <c r="T14" s="87">
        <f t="shared" ref="T14:Y14" si="2">SUM(T15:T16)</f>
        <v>1427.4234700000002</v>
      </c>
      <c r="U14" s="87">
        <f t="shared" si="2"/>
        <v>1002.6670600000002</v>
      </c>
      <c r="V14" s="87">
        <f t="shared" si="2"/>
        <v>1254.1065400000002</v>
      </c>
      <c r="W14" s="87">
        <f t="shared" si="2"/>
        <v>1983.0783200000005</v>
      </c>
      <c r="X14" s="87">
        <f t="shared" si="2"/>
        <v>2144</v>
      </c>
      <c r="Y14" s="87">
        <f t="shared" si="2"/>
        <v>3074.3533899999993</v>
      </c>
    </row>
    <row r="15" spans="1:25" ht="18.75" thickTop="1" thickBot="1">
      <c r="A15" s="70" t="s">
        <v>6</v>
      </c>
      <c r="B15" s="96" t="s">
        <v>125</v>
      </c>
      <c r="C15" s="72">
        <v>57</v>
      </c>
      <c r="D15" s="72">
        <v>0</v>
      </c>
      <c r="E15" s="72">
        <v>1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7.0451999999999995</v>
      </c>
      <c r="X15" s="72">
        <v>0</v>
      </c>
      <c r="Y15" s="72">
        <v>0</v>
      </c>
    </row>
    <row r="16" spans="1:25" ht="18.75" thickTop="1" thickBot="1">
      <c r="A16" s="70" t="s">
        <v>7</v>
      </c>
      <c r="B16" s="96" t="s">
        <v>126</v>
      </c>
      <c r="C16" s="72">
        <v>169</v>
      </c>
      <c r="D16" s="72">
        <v>187</v>
      </c>
      <c r="E16" s="72">
        <v>50</v>
      </c>
      <c r="F16" s="72">
        <v>116</v>
      </c>
      <c r="G16" s="72">
        <v>281</v>
      </c>
      <c r="H16" s="72">
        <v>554</v>
      </c>
      <c r="I16" s="72">
        <v>663</v>
      </c>
      <c r="J16" s="72">
        <v>833</v>
      </c>
      <c r="K16" s="72">
        <v>952</v>
      </c>
      <c r="L16" s="72">
        <v>679</v>
      </c>
      <c r="M16" s="72">
        <v>832</v>
      </c>
      <c r="N16" s="72">
        <v>1976</v>
      </c>
      <c r="O16" s="72">
        <v>1661.96271</v>
      </c>
      <c r="P16" s="72">
        <v>2003.4469999999999</v>
      </c>
      <c r="Q16" s="72">
        <v>1339.6327900000001</v>
      </c>
      <c r="R16" s="72">
        <v>1531.3784800000003</v>
      </c>
      <c r="S16" s="72">
        <v>1443.90164</v>
      </c>
      <c r="T16" s="72">
        <v>1427.4234700000002</v>
      </c>
      <c r="U16" s="72">
        <v>1002.6670600000002</v>
      </c>
      <c r="V16" s="72">
        <v>1254.1065400000002</v>
      </c>
      <c r="W16" s="72">
        <v>1976.0331200000005</v>
      </c>
      <c r="X16" s="72">
        <v>2144</v>
      </c>
      <c r="Y16" s="72">
        <v>3074.3533899999993</v>
      </c>
    </row>
    <row r="17" spans="1:25" ht="18.75" thickTop="1" thickBot="1">
      <c r="A17" s="70" t="s">
        <v>67</v>
      </c>
      <c r="B17" s="96" t="s">
        <v>155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833</v>
      </c>
      <c r="K17" s="72">
        <v>952</v>
      </c>
      <c r="L17" s="72">
        <v>679</v>
      </c>
      <c r="M17" s="72">
        <v>832</v>
      </c>
      <c r="N17" s="72">
        <v>1976</v>
      </c>
      <c r="O17" s="72">
        <v>1662</v>
      </c>
      <c r="P17" s="72">
        <v>2003</v>
      </c>
      <c r="Q17" s="72">
        <v>1339.6327900000001</v>
      </c>
      <c r="R17" s="72">
        <v>1524.2723600000004</v>
      </c>
      <c r="S17" s="72">
        <v>1443.90164</v>
      </c>
      <c r="T17" s="72">
        <v>1427.4234700000002</v>
      </c>
      <c r="U17" s="72">
        <v>1002.6670600000002</v>
      </c>
      <c r="V17" s="72">
        <v>1254.1065400000002</v>
      </c>
      <c r="W17" s="72">
        <v>1945.3610500000004</v>
      </c>
      <c r="X17" s="72">
        <v>2144</v>
      </c>
      <c r="Y17" s="72">
        <v>3074.3533899999993</v>
      </c>
    </row>
    <row r="18" spans="1:25" ht="18.75" thickTop="1" thickBot="1">
      <c r="A18" s="80">
        <v>2</v>
      </c>
      <c r="B18" s="94" t="s">
        <v>228</v>
      </c>
      <c r="C18" s="82">
        <v>151</v>
      </c>
      <c r="D18" s="82">
        <v>161</v>
      </c>
      <c r="E18" s="82">
        <v>135</v>
      </c>
      <c r="F18" s="82">
        <v>68</v>
      </c>
      <c r="G18" s="82">
        <v>107</v>
      </c>
      <c r="H18" s="82">
        <v>108</v>
      </c>
      <c r="I18" s="82">
        <v>116</v>
      </c>
      <c r="J18" s="82">
        <v>181</v>
      </c>
      <c r="K18" s="82">
        <v>287</v>
      </c>
      <c r="L18" s="82">
        <v>402</v>
      </c>
      <c r="M18" s="82">
        <v>449</v>
      </c>
      <c r="N18" s="82">
        <v>449</v>
      </c>
      <c r="O18" s="82">
        <v>672.99018999999998</v>
      </c>
      <c r="P18" s="82">
        <v>734.34</v>
      </c>
      <c r="Q18" s="82">
        <v>846.95767000000001</v>
      </c>
      <c r="R18" s="82">
        <v>805.89350000000002</v>
      </c>
      <c r="S18" s="82">
        <v>1142.3933500000003</v>
      </c>
      <c r="T18" s="82">
        <v>1136.3392200000001</v>
      </c>
      <c r="U18" s="82">
        <v>1128.3956600000001</v>
      </c>
      <c r="V18" s="82">
        <v>1259.62535</v>
      </c>
      <c r="W18" s="82">
        <v>1115.8244599999998</v>
      </c>
      <c r="X18" s="82">
        <v>1268</v>
      </c>
      <c r="Y18" s="82">
        <v>1521.9973000000009</v>
      </c>
    </row>
    <row r="19" spans="1:25" ht="18.75" thickTop="1" thickBot="1">
      <c r="A19" s="80" t="s">
        <v>96</v>
      </c>
      <c r="B19" s="94" t="s">
        <v>229</v>
      </c>
      <c r="C19" s="82">
        <f t="shared" ref="C19:Y19" si="3">SUM(C20:C21)</f>
        <v>0</v>
      </c>
      <c r="D19" s="82">
        <f t="shared" si="3"/>
        <v>93</v>
      </c>
      <c r="E19" s="82">
        <f t="shared" si="3"/>
        <v>0</v>
      </c>
      <c r="F19" s="82">
        <f t="shared" si="3"/>
        <v>41</v>
      </c>
      <c r="G19" s="82">
        <f t="shared" si="3"/>
        <v>136</v>
      </c>
      <c r="H19" s="82">
        <f t="shared" si="3"/>
        <v>95</v>
      </c>
      <c r="I19" s="82">
        <f t="shared" si="3"/>
        <v>2</v>
      </c>
      <c r="J19" s="82">
        <f t="shared" si="3"/>
        <v>3</v>
      </c>
      <c r="K19" s="82">
        <f t="shared" si="3"/>
        <v>0</v>
      </c>
      <c r="L19" s="82">
        <f t="shared" si="3"/>
        <v>11</v>
      </c>
      <c r="M19" s="82">
        <f t="shared" si="3"/>
        <v>1.1539999999999999</v>
      </c>
      <c r="N19" s="82">
        <f t="shared" si="3"/>
        <v>19.068000000000001</v>
      </c>
      <c r="O19" s="82">
        <f t="shared" si="3"/>
        <v>37.792000000000002</v>
      </c>
      <c r="P19" s="82">
        <f t="shared" si="3"/>
        <v>108.69199999999999</v>
      </c>
      <c r="Q19" s="82">
        <f t="shared" si="3"/>
        <v>131.63999999999999</v>
      </c>
      <c r="R19" s="82">
        <f t="shared" si="3"/>
        <v>39.622650000000007</v>
      </c>
      <c r="S19" s="82">
        <f t="shared" si="3"/>
        <v>86.229559999999992</v>
      </c>
      <c r="T19" s="82">
        <f t="shared" si="3"/>
        <v>101.39367</v>
      </c>
      <c r="U19" s="82">
        <f t="shared" si="3"/>
        <v>126.37386000000001</v>
      </c>
      <c r="V19" s="82">
        <f t="shared" si="3"/>
        <v>51.317840000000004</v>
      </c>
      <c r="W19" s="82">
        <f t="shared" si="3"/>
        <v>76.533029999999982</v>
      </c>
      <c r="X19" s="82">
        <f t="shared" si="3"/>
        <v>126.69074000000001</v>
      </c>
      <c r="Y19" s="82">
        <f t="shared" si="3"/>
        <v>142.48686000000001</v>
      </c>
    </row>
    <row r="20" spans="1:25" ht="18.75" thickTop="1" thickBot="1">
      <c r="A20" s="85" t="s">
        <v>97</v>
      </c>
      <c r="B20" s="95" t="s">
        <v>127</v>
      </c>
      <c r="C20" s="87">
        <v>0</v>
      </c>
      <c r="D20" s="87">
        <v>0</v>
      </c>
      <c r="E20" s="87">
        <v>0</v>
      </c>
      <c r="F20" s="87">
        <v>0</v>
      </c>
      <c r="G20" s="87">
        <v>77</v>
      </c>
      <c r="H20" s="87">
        <v>24</v>
      </c>
      <c r="I20" s="87">
        <v>2</v>
      </c>
      <c r="J20" s="87">
        <v>3</v>
      </c>
      <c r="K20" s="87">
        <v>0</v>
      </c>
      <c r="L20" s="87">
        <v>11</v>
      </c>
      <c r="M20" s="87">
        <v>1.1539999999999999</v>
      </c>
      <c r="N20" s="87">
        <v>19.068000000000001</v>
      </c>
      <c r="O20" s="87">
        <v>37.792000000000002</v>
      </c>
      <c r="P20" s="87">
        <v>19.645</v>
      </c>
      <c r="Q20" s="87">
        <v>46.64</v>
      </c>
      <c r="R20" s="87">
        <v>20.294</v>
      </c>
      <c r="S20" s="87">
        <v>56.183169999999997</v>
      </c>
      <c r="T20" s="87">
        <v>76.271540000000002</v>
      </c>
      <c r="U20" s="87">
        <v>76.241820000000004</v>
      </c>
      <c r="V20" s="87">
        <v>42.051650000000002</v>
      </c>
      <c r="W20" s="87">
        <v>66.233079999999987</v>
      </c>
      <c r="X20" s="87">
        <v>81.496189999999999</v>
      </c>
      <c r="Y20" s="87">
        <v>83.61281000000001</v>
      </c>
    </row>
    <row r="21" spans="1:25" ht="18.75" thickTop="1" thickBot="1">
      <c r="A21" s="85" t="s">
        <v>98</v>
      </c>
      <c r="B21" s="95" t="s">
        <v>265</v>
      </c>
      <c r="C21" s="87">
        <v>0</v>
      </c>
      <c r="D21" s="87">
        <v>93</v>
      </c>
      <c r="E21" s="87">
        <v>0</v>
      </c>
      <c r="F21" s="87">
        <v>41</v>
      </c>
      <c r="G21" s="87">
        <v>59</v>
      </c>
      <c r="H21" s="87">
        <v>71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89.046999999999997</v>
      </c>
      <c r="Q21" s="87">
        <v>85</v>
      </c>
      <c r="R21" s="87">
        <v>19.328650000000003</v>
      </c>
      <c r="S21" s="87">
        <v>30.046389999999999</v>
      </c>
      <c r="T21" s="87">
        <v>25.122129999999999</v>
      </c>
      <c r="U21" s="87">
        <v>50.132040000000003</v>
      </c>
      <c r="V21" s="87">
        <v>9.2661899999999999</v>
      </c>
      <c r="W21" s="87">
        <v>10.299950000000001</v>
      </c>
      <c r="X21" s="87">
        <v>45.19455</v>
      </c>
      <c r="Y21" s="87">
        <v>58.874050000000004</v>
      </c>
    </row>
    <row r="22" spans="1:25" ht="18.75" thickTop="1" thickBot="1">
      <c r="A22" s="80" t="s">
        <v>99</v>
      </c>
      <c r="B22" s="94" t="s">
        <v>288</v>
      </c>
      <c r="C22" s="82" t="s">
        <v>55</v>
      </c>
      <c r="D22" s="82" t="s">
        <v>55</v>
      </c>
      <c r="E22" s="82" t="s">
        <v>55</v>
      </c>
      <c r="F22" s="82" t="s">
        <v>55</v>
      </c>
      <c r="G22" s="82" t="s">
        <v>55</v>
      </c>
      <c r="H22" s="82" t="s">
        <v>55</v>
      </c>
      <c r="I22" s="82" t="s">
        <v>55</v>
      </c>
      <c r="J22" s="82" t="s">
        <v>55</v>
      </c>
      <c r="K22" s="82" t="s">
        <v>55</v>
      </c>
      <c r="L22" s="82" t="s">
        <v>55</v>
      </c>
      <c r="M22" s="82" t="s">
        <v>55</v>
      </c>
      <c r="N22" s="82" t="s">
        <v>55</v>
      </c>
      <c r="O22" s="82">
        <v>64</v>
      </c>
      <c r="P22" s="82">
        <v>93</v>
      </c>
      <c r="Q22" s="82">
        <v>62</v>
      </c>
      <c r="R22" s="82">
        <v>37.523710000000008</v>
      </c>
      <c r="S22" s="82">
        <v>81.888789999999986</v>
      </c>
      <c r="T22" s="82">
        <v>140.6514</v>
      </c>
      <c r="U22" s="82">
        <v>463.5073999999999</v>
      </c>
      <c r="V22" s="82">
        <v>491.00108</v>
      </c>
      <c r="W22" s="82">
        <v>550.55028000000004</v>
      </c>
      <c r="X22" s="82">
        <v>834.28252999999916</v>
      </c>
      <c r="Y22" s="82">
        <v>862.30175999999949</v>
      </c>
    </row>
    <row r="23" spans="1:25" ht="18.75" thickTop="1" thickBot="1">
      <c r="A23" s="80">
        <v>5</v>
      </c>
      <c r="B23" s="94" t="s">
        <v>117</v>
      </c>
      <c r="C23" s="82">
        <f t="shared" ref="C23:W23" si="4">SUM(C24:C25)</f>
        <v>9300</v>
      </c>
      <c r="D23" s="82">
        <f t="shared" si="4"/>
        <v>8985</v>
      </c>
      <c r="E23" s="82">
        <f t="shared" si="4"/>
        <v>4200</v>
      </c>
      <c r="F23" s="82">
        <f t="shared" si="4"/>
        <v>3478</v>
      </c>
      <c r="G23" s="82">
        <f t="shared" si="4"/>
        <v>6589</v>
      </c>
      <c r="H23" s="82">
        <f t="shared" si="4"/>
        <v>8074</v>
      </c>
      <c r="I23" s="82">
        <f t="shared" si="4"/>
        <v>7931</v>
      </c>
      <c r="J23" s="82">
        <f t="shared" si="4"/>
        <v>9876</v>
      </c>
      <c r="K23" s="82">
        <f t="shared" si="4"/>
        <v>11754</v>
      </c>
      <c r="L23" s="82">
        <f t="shared" si="4"/>
        <v>10524</v>
      </c>
      <c r="M23" s="82">
        <f t="shared" si="4"/>
        <v>8737</v>
      </c>
      <c r="N23" s="82">
        <f t="shared" si="4"/>
        <v>9612</v>
      </c>
      <c r="O23" s="82">
        <f t="shared" si="4"/>
        <v>5266.8534899999995</v>
      </c>
      <c r="P23" s="82">
        <f t="shared" si="4"/>
        <v>5300.10923</v>
      </c>
      <c r="Q23" s="82">
        <f t="shared" si="4"/>
        <v>7233.948809999999</v>
      </c>
      <c r="R23" s="82">
        <f t="shared" si="4"/>
        <v>5137.8491799999974</v>
      </c>
      <c r="S23" s="82">
        <f t="shared" si="4"/>
        <v>2730.5173500000005</v>
      </c>
      <c r="T23" s="82">
        <f t="shared" si="4"/>
        <v>4801.8107399999999</v>
      </c>
      <c r="U23" s="82">
        <f t="shared" si="4"/>
        <v>4937.3715999999986</v>
      </c>
      <c r="V23" s="82">
        <f t="shared" si="4"/>
        <v>4357.9167499999985</v>
      </c>
      <c r="W23" s="82">
        <f t="shared" si="4"/>
        <v>6125.2252799999987</v>
      </c>
      <c r="X23" s="82">
        <f>+X24+X25</f>
        <v>6888.2795199999982</v>
      </c>
      <c r="Y23" s="82">
        <f>+Y24+Y25</f>
        <v>8444.4372100000001</v>
      </c>
    </row>
    <row r="24" spans="1:25" ht="18.75" thickTop="1" thickBot="1">
      <c r="A24" s="70" t="s">
        <v>18</v>
      </c>
      <c r="B24" s="96" t="s">
        <v>125</v>
      </c>
      <c r="C24" s="72">
        <v>2464</v>
      </c>
      <c r="D24" s="72">
        <v>2295</v>
      </c>
      <c r="E24" s="72">
        <v>512</v>
      </c>
      <c r="F24" s="72">
        <v>500</v>
      </c>
      <c r="G24" s="73">
        <v>864</v>
      </c>
      <c r="H24" s="73">
        <v>732</v>
      </c>
      <c r="I24" s="74">
        <v>912</v>
      </c>
      <c r="J24" s="73">
        <v>972</v>
      </c>
      <c r="K24" s="73">
        <v>1278</v>
      </c>
      <c r="L24" s="73">
        <v>1249</v>
      </c>
      <c r="M24" s="73">
        <v>1284</v>
      </c>
      <c r="N24" s="73">
        <v>955</v>
      </c>
      <c r="O24" s="73">
        <v>964.94403</v>
      </c>
      <c r="P24" s="73">
        <v>950.29067999999995</v>
      </c>
      <c r="Q24" s="73">
        <v>1118.2796599999999</v>
      </c>
      <c r="R24" s="73">
        <v>946.43186999999989</v>
      </c>
      <c r="S24" s="73">
        <v>699.74432999999999</v>
      </c>
      <c r="T24" s="73">
        <v>902.3228899999998</v>
      </c>
      <c r="U24" s="73">
        <v>688.37793000000011</v>
      </c>
      <c r="V24" s="73">
        <v>813.97654999999986</v>
      </c>
      <c r="W24" s="73">
        <v>729.42526999999995</v>
      </c>
      <c r="X24" s="183">
        <v>824.82659999999987</v>
      </c>
      <c r="Y24" s="183">
        <v>1019.3104999999999</v>
      </c>
    </row>
    <row r="25" spans="1:25" ht="18.75" thickTop="1" thickBot="1">
      <c r="A25" s="70" t="s">
        <v>19</v>
      </c>
      <c r="B25" s="96" t="s">
        <v>126</v>
      </c>
      <c r="C25" s="72">
        <v>6836</v>
      </c>
      <c r="D25" s="72">
        <v>6690</v>
      </c>
      <c r="E25" s="72">
        <v>3688</v>
      </c>
      <c r="F25" s="72">
        <v>2978</v>
      </c>
      <c r="G25" s="73">
        <v>5725</v>
      </c>
      <c r="H25" s="73">
        <v>7342</v>
      </c>
      <c r="I25" s="74">
        <v>7019</v>
      </c>
      <c r="J25" s="73">
        <v>8904</v>
      </c>
      <c r="K25" s="73">
        <v>10476</v>
      </c>
      <c r="L25" s="73">
        <v>9275</v>
      </c>
      <c r="M25" s="73">
        <v>7453</v>
      </c>
      <c r="N25" s="73">
        <v>8657</v>
      </c>
      <c r="O25" s="73">
        <v>4301.9094599999999</v>
      </c>
      <c r="P25" s="73">
        <v>4349.81855</v>
      </c>
      <c r="Q25" s="73">
        <v>6115.6691499999988</v>
      </c>
      <c r="R25" s="73">
        <f>R26+109.01722</f>
        <v>4191.4173099999971</v>
      </c>
      <c r="S25" s="73">
        <v>2030.7730200000005</v>
      </c>
      <c r="T25" s="73">
        <v>3899.48785</v>
      </c>
      <c r="U25" s="73">
        <v>4248.9936699999989</v>
      </c>
      <c r="V25" s="73">
        <v>3543.9401999999986</v>
      </c>
      <c r="W25" s="73">
        <v>5395.800009999999</v>
      </c>
      <c r="X25" s="183">
        <v>6063.4529199999979</v>
      </c>
      <c r="Y25" s="183">
        <v>7425.1267100000005</v>
      </c>
    </row>
    <row r="26" spans="1:25" ht="18.75" thickTop="1" thickBot="1">
      <c r="A26" s="70" t="s">
        <v>68</v>
      </c>
      <c r="B26" s="96" t="s">
        <v>155</v>
      </c>
      <c r="C26" s="72">
        <v>0</v>
      </c>
      <c r="D26" s="72">
        <v>0</v>
      </c>
      <c r="E26" s="72">
        <v>0</v>
      </c>
      <c r="F26" s="72">
        <v>0</v>
      </c>
      <c r="G26" s="73">
        <v>2436</v>
      </c>
      <c r="H26" s="73"/>
      <c r="I26" s="74">
        <v>4304</v>
      </c>
      <c r="J26" s="73">
        <v>8904</v>
      </c>
      <c r="K26" s="73">
        <v>10476</v>
      </c>
      <c r="L26" s="73">
        <v>9275</v>
      </c>
      <c r="M26" s="73">
        <v>7453</v>
      </c>
      <c r="N26" s="73">
        <v>8657</v>
      </c>
      <c r="O26" s="73">
        <v>4290.7539999999999</v>
      </c>
      <c r="P26" s="73">
        <v>3680.9016499999998</v>
      </c>
      <c r="Q26" s="73">
        <v>6010.183829999999</v>
      </c>
      <c r="R26" s="73">
        <v>4082.4000899999974</v>
      </c>
      <c r="S26" s="73">
        <v>2030.7730200000005</v>
      </c>
      <c r="T26" s="73">
        <v>3889.5601900000001</v>
      </c>
      <c r="U26" s="73">
        <v>4224.4788799999988</v>
      </c>
      <c r="V26" s="73">
        <v>3437.9697199999987</v>
      </c>
      <c r="W26" s="73">
        <v>5299.5212199999987</v>
      </c>
      <c r="X26" s="183">
        <v>5763.7447199999979</v>
      </c>
      <c r="Y26" s="183">
        <v>3905.1840799999986</v>
      </c>
    </row>
    <row r="27" spans="1:25" ht="18.75" thickTop="1" thickBot="1">
      <c r="A27" s="80">
        <v>6</v>
      </c>
      <c r="B27" s="94" t="s">
        <v>263</v>
      </c>
      <c r="C27" s="82">
        <f t="shared" ref="C27:Y27" si="5">+C28+C32+C36+C38</f>
        <v>1784</v>
      </c>
      <c r="D27" s="82">
        <f t="shared" si="5"/>
        <v>6504</v>
      </c>
      <c r="E27" s="82">
        <f t="shared" si="5"/>
        <v>3728</v>
      </c>
      <c r="F27" s="82">
        <f t="shared" si="5"/>
        <v>3982</v>
      </c>
      <c r="G27" s="82">
        <f t="shared" si="5"/>
        <v>5654</v>
      </c>
      <c r="H27" s="82">
        <f t="shared" si="5"/>
        <v>7899</v>
      </c>
      <c r="I27" s="82">
        <f t="shared" si="5"/>
        <v>10636</v>
      </c>
      <c r="J27" s="82">
        <f t="shared" si="5"/>
        <v>11850</v>
      </c>
      <c r="K27" s="82">
        <f t="shared" si="5"/>
        <v>18182</v>
      </c>
      <c r="L27" s="82">
        <f t="shared" si="5"/>
        <v>15405</v>
      </c>
      <c r="M27" s="82">
        <f t="shared" si="5"/>
        <v>19204</v>
      </c>
      <c r="N27" s="82">
        <f t="shared" si="5"/>
        <v>25239</v>
      </c>
      <c r="O27" s="82">
        <f t="shared" si="5"/>
        <v>21327.494709999999</v>
      </c>
      <c r="P27" s="82">
        <f t="shared" si="5"/>
        <v>24118.904990000003</v>
      </c>
      <c r="Q27" s="82">
        <f t="shared" si="5"/>
        <v>23257.74091</v>
      </c>
      <c r="R27" s="82">
        <f t="shared" si="5"/>
        <v>22036.273890000004</v>
      </c>
      <c r="S27" s="82">
        <f t="shared" si="5"/>
        <v>20484.86159</v>
      </c>
      <c r="T27" s="82">
        <f t="shared" si="5"/>
        <v>20140.545780000015</v>
      </c>
      <c r="U27" s="82">
        <f t="shared" si="5"/>
        <v>21336.212490000002</v>
      </c>
      <c r="V27" s="82">
        <f t="shared" si="5"/>
        <v>19199.32692</v>
      </c>
      <c r="W27" s="82">
        <f t="shared" si="5"/>
        <v>20129.559100000006</v>
      </c>
      <c r="X27" s="82">
        <f t="shared" si="5"/>
        <v>27939.708710000006</v>
      </c>
      <c r="Y27" s="82">
        <f t="shared" si="5"/>
        <v>30671.300400000007</v>
      </c>
    </row>
    <row r="28" spans="1:25" ht="18.75" thickTop="1" thickBot="1">
      <c r="A28" s="85">
        <v>6.1</v>
      </c>
      <c r="B28" s="95" t="s">
        <v>217</v>
      </c>
      <c r="C28" s="87">
        <f t="shared" ref="C28:Y28" si="6">SUM(C29:C30)</f>
        <v>0</v>
      </c>
      <c r="D28" s="87">
        <f t="shared" si="6"/>
        <v>104</v>
      </c>
      <c r="E28" s="87">
        <f t="shared" si="6"/>
        <v>26</v>
      </c>
      <c r="F28" s="87">
        <f t="shared" si="6"/>
        <v>41</v>
      </c>
      <c r="G28" s="87">
        <f t="shared" si="6"/>
        <v>49</v>
      </c>
      <c r="H28" s="87">
        <f t="shared" si="6"/>
        <v>126</v>
      </c>
      <c r="I28" s="87">
        <f t="shared" si="6"/>
        <v>140</v>
      </c>
      <c r="J28" s="87">
        <f t="shared" si="6"/>
        <v>125</v>
      </c>
      <c r="K28" s="87">
        <f t="shared" si="6"/>
        <v>193</v>
      </c>
      <c r="L28" s="87">
        <f t="shared" si="6"/>
        <v>143</v>
      </c>
      <c r="M28" s="87">
        <f t="shared" si="6"/>
        <v>348</v>
      </c>
      <c r="N28" s="87">
        <f t="shared" si="6"/>
        <v>420</v>
      </c>
      <c r="O28" s="87">
        <f t="shared" si="6"/>
        <v>127.33024</v>
      </c>
      <c r="P28" s="87">
        <f t="shared" si="6"/>
        <v>86.445439999999991</v>
      </c>
      <c r="Q28" s="87">
        <f t="shared" si="6"/>
        <v>88.779759999999996</v>
      </c>
      <c r="R28" s="87">
        <f t="shared" si="6"/>
        <v>80.515830000000008</v>
      </c>
      <c r="S28" s="87">
        <f t="shared" si="6"/>
        <v>63.488589999999988</v>
      </c>
      <c r="T28" s="87">
        <f t="shared" si="6"/>
        <v>56.666419999999988</v>
      </c>
      <c r="U28" s="87">
        <f t="shared" si="6"/>
        <v>109.64478999999996</v>
      </c>
      <c r="V28" s="87">
        <f t="shared" si="6"/>
        <v>50.064539999999994</v>
      </c>
      <c r="W28" s="87">
        <f t="shared" si="6"/>
        <v>67.768740000000008</v>
      </c>
      <c r="X28" s="87">
        <f t="shared" si="6"/>
        <v>50.922099999999986</v>
      </c>
      <c r="Y28" s="87">
        <f t="shared" si="6"/>
        <v>118.37654999999999</v>
      </c>
    </row>
    <row r="29" spans="1:25" ht="18.75" thickTop="1" thickBot="1">
      <c r="A29" s="70" t="s">
        <v>20</v>
      </c>
      <c r="B29" s="96" t="s">
        <v>125</v>
      </c>
      <c r="C29" s="72"/>
      <c r="D29" s="72">
        <v>12</v>
      </c>
      <c r="E29" s="72">
        <v>3</v>
      </c>
      <c r="F29" s="72">
        <v>3</v>
      </c>
      <c r="G29" s="73">
        <v>3</v>
      </c>
      <c r="H29" s="73">
        <v>7</v>
      </c>
      <c r="I29" s="72">
        <v>8</v>
      </c>
      <c r="J29" s="73">
        <v>3</v>
      </c>
      <c r="K29" s="73">
        <v>61</v>
      </c>
      <c r="L29" s="73">
        <v>21</v>
      </c>
      <c r="M29" s="73">
        <v>221</v>
      </c>
      <c r="N29" s="73">
        <v>261</v>
      </c>
      <c r="O29" s="73">
        <v>5.3330900000000003</v>
      </c>
      <c r="P29" s="73">
        <v>4.0206200000000001</v>
      </c>
      <c r="Q29" s="73">
        <v>3.17117</v>
      </c>
      <c r="R29" s="73">
        <v>0.99012000000000011</v>
      </c>
      <c r="S29" s="73">
        <v>2.2236199999999999</v>
      </c>
      <c r="T29" s="73">
        <v>2.2015400000000001</v>
      </c>
      <c r="U29" s="73">
        <v>1.0787899999999999</v>
      </c>
      <c r="V29" s="73">
        <v>0.79173000000000004</v>
      </c>
      <c r="W29" s="73">
        <v>2.39005</v>
      </c>
      <c r="X29" s="183">
        <v>3.43093</v>
      </c>
      <c r="Y29" s="183">
        <v>1.5175399999999999</v>
      </c>
    </row>
    <row r="30" spans="1:25" ht="18.75" thickTop="1" thickBot="1">
      <c r="A30" s="70" t="s">
        <v>21</v>
      </c>
      <c r="B30" s="96" t="s">
        <v>126</v>
      </c>
      <c r="C30" s="72">
        <v>0</v>
      </c>
      <c r="D30" s="72">
        <v>92</v>
      </c>
      <c r="E30" s="72">
        <v>23</v>
      </c>
      <c r="F30" s="72">
        <v>38</v>
      </c>
      <c r="G30" s="73">
        <v>46</v>
      </c>
      <c r="H30" s="73">
        <v>119</v>
      </c>
      <c r="I30" s="72">
        <v>132</v>
      </c>
      <c r="J30" s="73">
        <v>122</v>
      </c>
      <c r="K30" s="73">
        <v>132</v>
      </c>
      <c r="L30" s="73">
        <v>122</v>
      </c>
      <c r="M30" s="73">
        <v>127</v>
      </c>
      <c r="N30" s="73">
        <v>159</v>
      </c>
      <c r="O30" s="73">
        <v>121.99715</v>
      </c>
      <c r="P30" s="73">
        <v>82.424819999999997</v>
      </c>
      <c r="Q30" s="73">
        <f>43.71776+Q31</f>
        <v>85.608589999999992</v>
      </c>
      <c r="R30" s="73">
        <f>25.15+R31</f>
        <v>79.525710000000004</v>
      </c>
      <c r="S30" s="73">
        <v>61.264969999999991</v>
      </c>
      <c r="T30" s="73">
        <v>54.464879999999987</v>
      </c>
      <c r="U30" s="73">
        <v>108.56599999999996</v>
      </c>
      <c r="V30" s="73">
        <v>49.272809999999993</v>
      </c>
      <c r="W30" s="73">
        <v>65.378690000000006</v>
      </c>
      <c r="X30" s="183">
        <v>47.49116999999999</v>
      </c>
      <c r="Y30" s="183">
        <v>116.85901</v>
      </c>
    </row>
    <row r="31" spans="1:25" ht="18.75" thickTop="1" thickBot="1">
      <c r="A31" s="70" t="s">
        <v>69</v>
      </c>
      <c r="B31" s="96" t="s">
        <v>155</v>
      </c>
      <c r="C31" s="72">
        <v>0</v>
      </c>
      <c r="D31" s="72">
        <v>0</v>
      </c>
      <c r="E31" s="72">
        <v>0</v>
      </c>
      <c r="F31" s="72">
        <v>0</v>
      </c>
      <c r="G31" s="73">
        <v>0</v>
      </c>
      <c r="H31" s="73">
        <v>0</v>
      </c>
      <c r="I31" s="72">
        <v>132</v>
      </c>
      <c r="J31" s="73">
        <v>122</v>
      </c>
      <c r="K31" s="73">
        <v>132</v>
      </c>
      <c r="L31" s="73">
        <v>122</v>
      </c>
      <c r="M31" s="73">
        <v>127</v>
      </c>
      <c r="N31" s="73">
        <v>159</v>
      </c>
      <c r="O31" s="73">
        <v>21.239719999999998</v>
      </c>
      <c r="P31" s="73">
        <v>20.412310000000002</v>
      </c>
      <c r="Q31" s="73">
        <v>41.890829999999987</v>
      </c>
      <c r="R31" s="73">
        <v>54.375710000000005</v>
      </c>
      <c r="S31" s="73">
        <v>61.264969999999991</v>
      </c>
      <c r="T31" s="73">
        <v>54.464879999999987</v>
      </c>
      <c r="U31" s="73">
        <v>108.56599999999996</v>
      </c>
      <c r="V31" s="73">
        <v>49.272809999999993</v>
      </c>
      <c r="W31" s="73">
        <v>51.373760000000004</v>
      </c>
      <c r="X31" s="183">
        <v>9.1183999999999994</v>
      </c>
      <c r="Y31" s="183">
        <v>10.673019999999999</v>
      </c>
    </row>
    <row r="32" spans="1:25" ht="18.75" thickTop="1" thickBot="1">
      <c r="A32" s="85">
        <v>6.2</v>
      </c>
      <c r="B32" s="95" t="s">
        <v>128</v>
      </c>
      <c r="C32" s="87">
        <f t="shared" ref="C32:P32" si="7">SUM(C33:C34)</f>
        <v>0</v>
      </c>
      <c r="D32" s="87">
        <f t="shared" si="7"/>
        <v>2152</v>
      </c>
      <c r="E32" s="87">
        <f t="shared" si="7"/>
        <v>1243</v>
      </c>
      <c r="F32" s="87">
        <f t="shared" si="7"/>
        <v>1240</v>
      </c>
      <c r="G32" s="87">
        <f t="shared" si="7"/>
        <v>2034</v>
      </c>
      <c r="H32" s="87">
        <f t="shared" si="7"/>
        <v>2619</v>
      </c>
      <c r="I32" s="87">
        <f t="shared" si="7"/>
        <v>3191</v>
      </c>
      <c r="J32" s="87">
        <f t="shared" si="7"/>
        <v>2846</v>
      </c>
      <c r="K32" s="87">
        <f t="shared" si="7"/>
        <v>4554</v>
      </c>
      <c r="L32" s="87">
        <f t="shared" si="7"/>
        <v>3255</v>
      </c>
      <c r="M32" s="87">
        <f t="shared" si="7"/>
        <v>3982</v>
      </c>
      <c r="N32" s="87">
        <f t="shared" si="7"/>
        <v>5525</v>
      </c>
      <c r="O32" s="87">
        <f t="shared" si="7"/>
        <v>2857.9074700000001</v>
      </c>
      <c r="P32" s="87">
        <f t="shared" si="7"/>
        <v>4952.2808499999992</v>
      </c>
      <c r="Q32" s="87">
        <f t="shared" ref="Q32:Y32" si="8">SUM(Q33:Q34)</f>
        <v>5273.7150899999997</v>
      </c>
      <c r="R32" s="87">
        <f t="shared" si="8"/>
        <v>5583.7713800000001</v>
      </c>
      <c r="S32" s="87">
        <f t="shared" si="8"/>
        <v>5242.6179799999973</v>
      </c>
      <c r="T32" s="87">
        <f t="shared" si="8"/>
        <v>2863.6868100000006</v>
      </c>
      <c r="U32" s="87">
        <f t="shared" si="8"/>
        <v>4607.5446400000019</v>
      </c>
      <c r="V32" s="87">
        <f t="shared" si="8"/>
        <v>3649.0087799999997</v>
      </c>
      <c r="W32" s="87">
        <f t="shared" si="8"/>
        <v>5544.7002599999996</v>
      </c>
      <c r="X32" s="87">
        <f t="shared" si="8"/>
        <v>9524.0770400000001</v>
      </c>
      <c r="Y32" s="87">
        <f t="shared" si="8"/>
        <v>10992.655000000006</v>
      </c>
    </row>
    <row r="33" spans="1:25" ht="18.75" thickTop="1" thickBot="1">
      <c r="A33" s="70" t="s">
        <v>22</v>
      </c>
      <c r="B33" s="96" t="s">
        <v>125</v>
      </c>
      <c r="C33" s="72">
        <v>0</v>
      </c>
      <c r="D33" s="72">
        <v>513</v>
      </c>
      <c r="E33" s="72">
        <v>176</v>
      </c>
      <c r="F33" s="72">
        <v>312</v>
      </c>
      <c r="G33" s="72">
        <v>380</v>
      </c>
      <c r="H33" s="72">
        <v>846</v>
      </c>
      <c r="I33" s="72">
        <v>719</v>
      </c>
      <c r="J33" s="72">
        <v>0</v>
      </c>
      <c r="K33" s="72">
        <v>2279</v>
      </c>
      <c r="L33" s="72">
        <v>1134</v>
      </c>
      <c r="M33" s="72">
        <v>1963</v>
      </c>
      <c r="N33" s="72">
        <v>2956</v>
      </c>
      <c r="O33" s="72">
        <v>664.43447000000003</v>
      </c>
      <c r="P33" s="72">
        <v>2765.5790499999998</v>
      </c>
      <c r="Q33" s="72">
        <v>3457.34</v>
      </c>
      <c r="R33" s="72">
        <v>2104.9936000000002</v>
      </c>
      <c r="S33" s="72">
        <v>2451.232129999999</v>
      </c>
      <c r="T33" s="72">
        <v>1971.4275400000006</v>
      </c>
      <c r="U33" s="72">
        <v>3140.6834200000012</v>
      </c>
      <c r="V33" s="72">
        <v>2365.6700599999999</v>
      </c>
      <c r="W33" s="72">
        <v>2494.2463400000001</v>
      </c>
      <c r="X33" s="72">
        <v>4211.0247099999997</v>
      </c>
      <c r="Y33" s="72">
        <v>6578.5516900000048</v>
      </c>
    </row>
    <row r="34" spans="1:25" ht="18.75" thickTop="1" thickBot="1">
      <c r="A34" s="70" t="s">
        <v>23</v>
      </c>
      <c r="B34" s="96" t="s">
        <v>126</v>
      </c>
      <c r="C34" s="72">
        <v>0</v>
      </c>
      <c r="D34" s="72">
        <v>1639</v>
      </c>
      <c r="E34" s="72">
        <v>1067</v>
      </c>
      <c r="F34" s="72">
        <v>928</v>
      </c>
      <c r="G34" s="72">
        <v>1654</v>
      </c>
      <c r="H34" s="72">
        <v>1773</v>
      </c>
      <c r="I34" s="72">
        <v>2472</v>
      </c>
      <c r="J34" s="72">
        <v>2846</v>
      </c>
      <c r="K34" s="72">
        <v>2275</v>
      </c>
      <c r="L34" s="72">
        <v>2121</v>
      </c>
      <c r="M34" s="72">
        <v>2019</v>
      </c>
      <c r="N34" s="72">
        <v>2569</v>
      </c>
      <c r="O34" s="72">
        <v>2193.473</v>
      </c>
      <c r="P34" s="72">
        <v>2186.7017999999998</v>
      </c>
      <c r="Q34" s="72">
        <f>546.55559+Q35</f>
        <v>1816.3750899999995</v>
      </c>
      <c r="R34" s="72">
        <v>3478.7777799999994</v>
      </c>
      <c r="S34" s="72">
        <v>2791.3858499999983</v>
      </c>
      <c r="T34" s="72">
        <v>892.25927000000001</v>
      </c>
      <c r="U34" s="72">
        <v>1466.8612200000002</v>
      </c>
      <c r="V34" s="72">
        <v>1283.3387199999997</v>
      </c>
      <c r="W34" s="72">
        <v>3050.453919999999</v>
      </c>
      <c r="X34" s="72">
        <v>5313.0523300000004</v>
      </c>
      <c r="Y34" s="72">
        <v>4414.1033100000004</v>
      </c>
    </row>
    <row r="35" spans="1:25" ht="18.75" thickTop="1" thickBot="1">
      <c r="A35" s="75" t="s">
        <v>70</v>
      </c>
      <c r="B35" s="96" t="s">
        <v>155</v>
      </c>
      <c r="C35" s="72">
        <v>0</v>
      </c>
      <c r="D35" s="72">
        <v>0</v>
      </c>
      <c r="E35" s="72">
        <v>508</v>
      </c>
      <c r="F35" s="72">
        <v>343</v>
      </c>
      <c r="G35" s="72">
        <v>1129</v>
      </c>
      <c r="H35" s="72">
        <v>0</v>
      </c>
      <c r="I35" s="72">
        <v>2472</v>
      </c>
      <c r="J35" s="72">
        <v>2846</v>
      </c>
      <c r="K35" s="72">
        <v>2275</v>
      </c>
      <c r="L35" s="72">
        <v>2121</v>
      </c>
      <c r="M35" s="72">
        <v>2019</v>
      </c>
      <c r="N35" s="72">
        <v>2569</v>
      </c>
      <c r="O35" s="72">
        <v>375.83765</v>
      </c>
      <c r="P35" s="72">
        <v>187.02983</v>
      </c>
      <c r="Q35" s="72">
        <v>1269.8194999999996</v>
      </c>
      <c r="R35" s="72">
        <f>127.2922+226.99223+63.62235</f>
        <v>417.90677999999997</v>
      </c>
      <c r="S35" s="72">
        <v>1687.5156099999999</v>
      </c>
      <c r="T35" s="72">
        <v>470.99791999999997</v>
      </c>
      <c r="U35" s="72">
        <v>540.96622000000013</v>
      </c>
      <c r="V35" s="72">
        <v>664.87616999999966</v>
      </c>
      <c r="W35" s="72">
        <v>1553.4756300000004</v>
      </c>
      <c r="X35" s="72">
        <v>2437.2406700000001</v>
      </c>
      <c r="Y35" s="72">
        <v>2179.25533</v>
      </c>
    </row>
    <row r="36" spans="1:25" ht="31.5" customHeight="1" thickTop="1" thickBot="1">
      <c r="A36" s="85">
        <v>6.3</v>
      </c>
      <c r="B36" s="95" t="s">
        <v>301</v>
      </c>
      <c r="C36" s="87">
        <v>1784</v>
      </c>
      <c r="D36" s="87">
        <v>1448</v>
      </c>
      <c r="E36" s="87">
        <v>863</v>
      </c>
      <c r="F36" s="87">
        <v>1051</v>
      </c>
      <c r="G36" s="87">
        <v>1121</v>
      </c>
      <c r="H36" s="87">
        <v>1919</v>
      </c>
      <c r="I36" s="87">
        <v>2975</v>
      </c>
      <c r="J36" s="87">
        <v>3255</v>
      </c>
      <c r="K36" s="87">
        <v>4780</v>
      </c>
      <c r="L36" s="87">
        <v>3910</v>
      </c>
      <c r="M36" s="87">
        <v>4012</v>
      </c>
      <c r="N36" s="87">
        <v>4913</v>
      </c>
      <c r="O36" s="87">
        <f>SUM(O37)</f>
        <v>2776.674</v>
      </c>
      <c r="P36" s="87">
        <v>3207.1024699999998</v>
      </c>
      <c r="Q36" s="87">
        <v>3045.2638700000002</v>
      </c>
      <c r="R36" s="87">
        <f>R37</f>
        <v>1952.654229999999</v>
      </c>
      <c r="S36" s="87">
        <f>S37</f>
        <v>2223.5734899999993</v>
      </c>
      <c r="T36" s="87">
        <f>T37</f>
        <v>2992.5044099999982</v>
      </c>
      <c r="U36" s="87">
        <f>U37</f>
        <v>2707.1669400000033</v>
      </c>
      <c r="V36" s="87">
        <f t="shared" ref="V36:X36" si="9">V37</f>
        <v>2087.3002800000004</v>
      </c>
      <c r="W36" s="87">
        <f t="shared" si="9"/>
        <v>1903.5144000000009</v>
      </c>
      <c r="X36" s="87">
        <f t="shared" si="9"/>
        <v>3043.5280400000001</v>
      </c>
      <c r="Y36" s="87">
        <v>2043.5376500000007</v>
      </c>
    </row>
    <row r="37" spans="1:25" ht="18.75" thickTop="1" thickBot="1">
      <c r="A37" s="70" t="s">
        <v>24</v>
      </c>
      <c r="B37" s="96" t="s">
        <v>290</v>
      </c>
      <c r="C37" s="72">
        <v>0</v>
      </c>
      <c r="D37" s="72">
        <v>37</v>
      </c>
      <c r="E37" s="72">
        <v>0</v>
      </c>
      <c r="F37" s="72">
        <v>0</v>
      </c>
      <c r="G37" s="72">
        <v>0</v>
      </c>
      <c r="H37" s="72">
        <v>414</v>
      </c>
      <c r="I37" s="72"/>
      <c r="J37" s="72">
        <v>2180</v>
      </c>
      <c r="K37" s="72">
        <v>1231</v>
      </c>
      <c r="L37" s="72">
        <v>1483</v>
      </c>
      <c r="M37" s="72">
        <v>1753</v>
      </c>
      <c r="N37" s="72">
        <v>2651</v>
      </c>
      <c r="O37" s="72">
        <v>2776.674</v>
      </c>
      <c r="P37" s="72">
        <v>3207.1024699999998</v>
      </c>
      <c r="Q37" s="72">
        <v>3045.2638700000002</v>
      </c>
      <c r="R37" s="72">
        <v>1952.654229999999</v>
      </c>
      <c r="S37" s="72">
        <v>2223.5734899999993</v>
      </c>
      <c r="T37" s="72">
        <v>2992.5044099999982</v>
      </c>
      <c r="U37" s="72">
        <v>2707.1669400000033</v>
      </c>
      <c r="V37" s="72">
        <v>2087.3002800000004</v>
      </c>
      <c r="W37" s="72">
        <v>1903.5144000000009</v>
      </c>
      <c r="X37" s="72">
        <v>3043.5280400000001</v>
      </c>
      <c r="Y37" s="72">
        <v>2043.5376500000007</v>
      </c>
    </row>
    <row r="38" spans="1:25" ht="18.75" thickTop="1" thickBot="1">
      <c r="A38" s="85">
        <v>6.4</v>
      </c>
      <c r="B38" s="95" t="s">
        <v>129</v>
      </c>
      <c r="C38" s="87">
        <f t="shared" ref="C38:P38" si="10">SUM(C39:C41)</f>
        <v>0</v>
      </c>
      <c r="D38" s="87">
        <f t="shared" si="10"/>
        <v>2800</v>
      </c>
      <c r="E38" s="87">
        <f t="shared" si="10"/>
        <v>1596</v>
      </c>
      <c r="F38" s="87">
        <f t="shared" si="10"/>
        <v>1650</v>
      </c>
      <c r="G38" s="87">
        <f t="shared" si="10"/>
        <v>2450</v>
      </c>
      <c r="H38" s="87">
        <f t="shared" si="10"/>
        <v>3235</v>
      </c>
      <c r="I38" s="87">
        <f t="shared" si="10"/>
        <v>4330</v>
      </c>
      <c r="J38" s="87">
        <f t="shared" si="10"/>
        <v>5624</v>
      </c>
      <c r="K38" s="87">
        <f t="shared" si="10"/>
        <v>8655</v>
      </c>
      <c r="L38" s="87">
        <f t="shared" si="10"/>
        <v>8097</v>
      </c>
      <c r="M38" s="87">
        <f t="shared" si="10"/>
        <v>10862</v>
      </c>
      <c r="N38" s="87">
        <f t="shared" si="10"/>
        <v>14381</v>
      </c>
      <c r="O38" s="87">
        <f t="shared" si="10"/>
        <v>15565.583000000001</v>
      </c>
      <c r="P38" s="87">
        <f t="shared" si="10"/>
        <v>15873.076230000001</v>
      </c>
      <c r="Q38" s="87">
        <f>SUM(Q39:Q41)</f>
        <v>14849.982189999999</v>
      </c>
      <c r="R38" s="87">
        <f t="shared" ref="R38:Y38" si="11">R39+R40+R41</f>
        <v>14419.332450000004</v>
      </c>
      <c r="S38" s="87">
        <f t="shared" si="11"/>
        <v>12955.181530000005</v>
      </c>
      <c r="T38" s="87">
        <f t="shared" si="11"/>
        <v>14227.688140000015</v>
      </c>
      <c r="U38" s="87">
        <f t="shared" si="11"/>
        <v>13911.856119999997</v>
      </c>
      <c r="V38" s="87">
        <f t="shared" si="11"/>
        <v>13412.953320000001</v>
      </c>
      <c r="W38" s="87">
        <f t="shared" si="11"/>
        <v>12613.575700000007</v>
      </c>
      <c r="X38" s="87">
        <f t="shared" si="11"/>
        <v>15321.181530000003</v>
      </c>
      <c r="Y38" s="87">
        <f t="shared" si="11"/>
        <v>17516.731200000002</v>
      </c>
    </row>
    <row r="39" spans="1:25" ht="18.75" thickTop="1" thickBot="1">
      <c r="A39" s="70" t="s">
        <v>25</v>
      </c>
      <c r="B39" s="96" t="s">
        <v>232</v>
      </c>
      <c r="C39" s="72">
        <v>0</v>
      </c>
      <c r="D39" s="72">
        <v>929</v>
      </c>
      <c r="E39" s="72">
        <v>475</v>
      </c>
      <c r="F39" s="72">
        <v>762</v>
      </c>
      <c r="G39" s="73">
        <v>1062</v>
      </c>
      <c r="H39" s="73">
        <v>1419</v>
      </c>
      <c r="I39" s="72">
        <v>1694</v>
      </c>
      <c r="J39" s="73">
        <v>4050</v>
      </c>
      <c r="K39" s="73">
        <v>2091</v>
      </c>
      <c r="L39" s="73">
        <v>1816</v>
      </c>
      <c r="M39" s="73">
        <v>2369</v>
      </c>
      <c r="N39" s="73">
        <v>3599</v>
      </c>
      <c r="O39" s="73">
        <v>3427.0369999999998</v>
      </c>
      <c r="P39" s="73">
        <v>4317.6952300000003</v>
      </c>
      <c r="Q39" s="73">
        <v>3640.47759</v>
      </c>
      <c r="R39" s="73">
        <v>1665.1687000000002</v>
      </c>
      <c r="S39" s="73">
        <v>1117.0480300000004</v>
      </c>
      <c r="T39" s="73">
        <v>1049.4751799999999</v>
      </c>
      <c r="U39" s="73">
        <v>910.49095999999975</v>
      </c>
      <c r="V39" s="73">
        <v>800.7533199999998</v>
      </c>
      <c r="W39" s="73">
        <v>651.30531999999982</v>
      </c>
      <c r="X39" s="183">
        <v>716.32874000000004</v>
      </c>
      <c r="Y39" s="183">
        <v>602.39491999999984</v>
      </c>
    </row>
    <row r="40" spans="1:25" ht="18.75" thickTop="1" thickBot="1">
      <c r="A40" s="70" t="s">
        <v>26</v>
      </c>
      <c r="B40" s="96" t="s">
        <v>130</v>
      </c>
      <c r="C40" s="72">
        <v>0</v>
      </c>
      <c r="D40" s="72">
        <v>1782</v>
      </c>
      <c r="E40" s="72">
        <v>0</v>
      </c>
      <c r="F40" s="72">
        <v>882</v>
      </c>
      <c r="G40" s="73">
        <v>1388</v>
      </c>
      <c r="H40" s="73">
        <v>1804</v>
      </c>
      <c r="I40" s="72">
        <v>2612</v>
      </c>
      <c r="J40" s="73">
        <v>0</v>
      </c>
      <c r="K40" s="73">
        <v>6454</v>
      </c>
      <c r="L40" s="73">
        <v>6229</v>
      </c>
      <c r="M40" s="73">
        <v>8434</v>
      </c>
      <c r="N40" s="73">
        <v>10633</v>
      </c>
      <c r="O40" s="73">
        <v>11964.947</v>
      </c>
      <c r="P40" s="73">
        <v>11452.41</v>
      </c>
      <c r="Q40" s="73">
        <v>11144.386859999999</v>
      </c>
      <c r="R40" s="73">
        <v>12545.574890000004</v>
      </c>
      <c r="S40" s="73">
        <v>11600.873390000006</v>
      </c>
      <c r="T40" s="73">
        <v>12911.709950000015</v>
      </c>
      <c r="U40" s="73">
        <v>12731.927409999998</v>
      </c>
      <c r="V40" s="73">
        <v>12440.86</v>
      </c>
      <c r="W40" s="73">
        <v>11878.993770000006</v>
      </c>
      <c r="X40" s="183">
        <v>14432.414850000003</v>
      </c>
      <c r="Y40" s="183">
        <v>16628.790110000002</v>
      </c>
    </row>
    <row r="41" spans="1:25" ht="18.75" thickTop="1" thickBot="1">
      <c r="A41" s="70" t="s">
        <v>27</v>
      </c>
      <c r="B41" s="96" t="s">
        <v>160</v>
      </c>
      <c r="C41" s="72">
        <v>0</v>
      </c>
      <c r="D41" s="72">
        <v>89</v>
      </c>
      <c r="E41" s="72">
        <v>1121</v>
      </c>
      <c r="F41" s="72">
        <v>6</v>
      </c>
      <c r="G41" s="73">
        <v>0</v>
      </c>
      <c r="H41" s="73">
        <v>12</v>
      </c>
      <c r="I41" s="72">
        <v>24</v>
      </c>
      <c r="J41" s="73">
        <v>1574</v>
      </c>
      <c r="K41" s="73">
        <v>110</v>
      </c>
      <c r="L41" s="73">
        <v>52</v>
      </c>
      <c r="M41" s="73">
        <v>59</v>
      </c>
      <c r="N41" s="73">
        <v>149</v>
      </c>
      <c r="O41" s="73">
        <v>173.59899999999999</v>
      </c>
      <c r="P41" s="73">
        <v>102.971</v>
      </c>
      <c r="Q41" s="73">
        <v>65.117739999999998</v>
      </c>
      <c r="R41" s="73">
        <v>208.58886000000001</v>
      </c>
      <c r="S41" s="73">
        <v>237.26011000000003</v>
      </c>
      <c r="T41" s="73">
        <v>266.50300999999996</v>
      </c>
      <c r="U41" s="73">
        <v>269.43774999999999</v>
      </c>
      <c r="V41" s="73">
        <v>171.34</v>
      </c>
      <c r="W41" s="73">
        <v>83.276610000000005</v>
      </c>
      <c r="X41" s="183">
        <v>172.43794</v>
      </c>
      <c r="Y41" s="183">
        <v>285.54616999999996</v>
      </c>
    </row>
    <row r="42" spans="1:25" ht="18.75" thickTop="1" thickBot="1">
      <c r="A42" s="80">
        <v>7</v>
      </c>
      <c r="B42" s="94" t="s">
        <v>118</v>
      </c>
      <c r="C42" s="82">
        <v>11647</v>
      </c>
      <c r="D42" s="82">
        <v>7863</v>
      </c>
      <c r="E42" s="82">
        <v>6147</v>
      </c>
      <c r="F42" s="82">
        <v>6541</v>
      </c>
      <c r="G42" s="82">
        <v>9166</v>
      </c>
      <c r="H42" s="82">
        <v>8295</v>
      </c>
      <c r="I42" s="82">
        <v>8402</v>
      </c>
      <c r="J42" s="82">
        <v>7304</v>
      </c>
      <c r="K42" s="82">
        <v>6991</v>
      </c>
      <c r="L42" s="82">
        <f t="shared" ref="L42:R42" si="12">SUM(L43:L45)</f>
        <v>6548</v>
      </c>
      <c r="M42" s="82">
        <f t="shared" si="12"/>
        <v>7072</v>
      </c>
      <c r="N42" s="82">
        <f t="shared" si="12"/>
        <v>8129</v>
      </c>
      <c r="O42" s="82">
        <f t="shared" si="12"/>
        <v>6815.1189999999997</v>
      </c>
      <c r="P42" s="82">
        <f t="shared" si="12"/>
        <v>6592.2259100000001</v>
      </c>
      <c r="Q42" s="82">
        <f t="shared" si="12"/>
        <v>5754.1946100000005</v>
      </c>
      <c r="R42" s="82">
        <f t="shared" si="12"/>
        <v>4939.6538899999996</v>
      </c>
      <c r="S42" s="82">
        <f>SUM(S43:S45)</f>
        <v>4667.3877199999997</v>
      </c>
      <c r="T42" s="82">
        <f t="shared" ref="T42:Y42" si="13">SUM(T43:T45)+T50</f>
        <v>5246.4401899999993</v>
      </c>
      <c r="U42" s="82">
        <f t="shared" si="13"/>
        <v>4694.9685899999995</v>
      </c>
      <c r="V42" s="82">
        <f t="shared" si="13"/>
        <v>4413.0510000000013</v>
      </c>
      <c r="W42" s="82">
        <f t="shared" si="13"/>
        <v>4123.6647399999974</v>
      </c>
      <c r="X42" s="82">
        <f t="shared" si="13"/>
        <v>5152.0726300000015</v>
      </c>
      <c r="Y42" s="82">
        <f t="shared" si="13"/>
        <v>4638.8524799999996</v>
      </c>
    </row>
    <row r="43" spans="1:25" ht="18.75" thickTop="1" thickBot="1">
      <c r="A43" s="85">
        <v>7.1</v>
      </c>
      <c r="B43" s="95" t="s">
        <v>233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6.79</v>
      </c>
      <c r="P43" s="87">
        <v>0</v>
      </c>
      <c r="Q43" s="87">
        <v>9.8689699999999991</v>
      </c>
      <c r="R43" s="87">
        <v>15.73813</v>
      </c>
      <c r="S43" s="87">
        <v>26.518799999999999</v>
      </c>
      <c r="T43" s="87">
        <v>33.52129</v>
      </c>
      <c r="U43" s="87">
        <v>34.127330000000001</v>
      </c>
      <c r="V43" s="87">
        <v>24.50337</v>
      </c>
      <c r="W43" s="87">
        <v>15.893469999999999</v>
      </c>
      <c r="X43" s="87">
        <v>65.54728999999999</v>
      </c>
      <c r="Y43" s="87">
        <v>20.890700000000002</v>
      </c>
    </row>
    <row r="44" spans="1:25" ht="18.75" thickTop="1" thickBot="1">
      <c r="A44" s="85">
        <v>7.2</v>
      </c>
      <c r="B44" s="95" t="s">
        <v>234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  <c r="I44" s="87">
        <v>39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</row>
    <row r="45" spans="1:25" ht="18.75" thickTop="1" thickBot="1">
      <c r="A45" s="85">
        <v>7.3</v>
      </c>
      <c r="B45" s="95" t="s">
        <v>235</v>
      </c>
      <c r="C45" s="87">
        <v>0</v>
      </c>
      <c r="D45" s="87">
        <v>7873</v>
      </c>
      <c r="E45" s="87">
        <v>6147</v>
      </c>
      <c r="F45" s="87">
        <v>6541</v>
      </c>
      <c r="G45" s="87">
        <v>9166</v>
      </c>
      <c r="H45" s="87">
        <v>8295</v>
      </c>
      <c r="I45" s="87">
        <v>8363</v>
      </c>
      <c r="J45" s="87">
        <v>7304</v>
      </c>
      <c r="K45" s="87">
        <v>6991</v>
      </c>
      <c r="L45" s="87">
        <f t="shared" ref="L45:R45" si="14">SUM(L46:L49)</f>
        <v>6548</v>
      </c>
      <c r="M45" s="87">
        <f t="shared" si="14"/>
        <v>7072</v>
      </c>
      <c r="N45" s="87">
        <f t="shared" si="14"/>
        <v>8129</v>
      </c>
      <c r="O45" s="87">
        <f t="shared" si="14"/>
        <v>6808.3289999999997</v>
      </c>
      <c r="P45" s="87">
        <f t="shared" si="14"/>
        <v>6592.2259100000001</v>
      </c>
      <c r="Q45" s="87">
        <f t="shared" si="14"/>
        <v>5744.32564</v>
      </c>
      <c r="R45" s="87">
        <f t="shared" si="14"/>
        <v>4923.9157599999999</v>
      </c>
      <c r="S45" s="87">
        <f t="shared" ref="S45:Y45" si="15">SUM(S46:S49)</f>
        <v>4640.8689199999999</v>
      </c>
      <c r="T45" s="87">
        <f t="shared" si="15"/>
        <v>5164.4074700000001</v>
      </c>
      <c r="U45" s="87">
        <f t="shared" si="15"/>
        <v>4660.8412599999992</v>
      </c>
      <c r="V45" s="87">
        <f t="shared" si="15"/>
        <v>4388.5476300000009</v>
      </c>
      <c r="W45" s="87">
        <f t="shared" si="15"/>
        <v>4022.6888699999972</v>
      </c>
      <c r="X45" s="87">
        <f t="shared" si="15"/>
        <v>4792.4456600000012</v>
      </c>
      <c r="Y45" s="87">
        <f t="shared" si="15"/>
        <v>4473.1952899999997</v>
      </c>
    </row>
    <row r="46" spans="1:25" ht="18.75" thickTop="1" thickBot="1">
      <c r="A46" s="70" t="s">
        <v>28</v>
      </c>
      <c r="B46" s="96" t="s">
        <v>291</v>
      </c>
      <c r="C46" s="72">
        <v>0</v>
      </c>
      <c r="D46" s="72">
        <v>57</v>
      </c>
      <c r="E46" s="72">
        <v>27</v>
      </c>
      <c r="F46" s="72">
        <v>3</v>
      </c>
      <c r="G46" s="73">
        <v>6</v>
      </c>
      <c r="H46" s="73">
        <v>10</v>
      </c>
      <c r="I46" s="72">
        <v>7</v>
      </c>
      <c r="J46" s="73">
        <v>10</v>
      </c>
      <c r="K46" s="73">
        <v>25</v>
      </c>
      <c r="L46" s="73">
        <v>5</v>
      </c>
      <c r="M46" s="77">
        <v>39</v>
      </c>
      <c r="N46" s="73">
        <v>3</v>
      </c>
      <c r="O46" s="73">
        <v>16.504999999999999</v>
      </c>
      <c r="P46" s="73">
        <v>0</v>
      </c>
      <c r="Q46" s="73">
        <v>7.936700000000001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183">
        <v>0</v>
      </c>
      <c r="Y46" s="183">
        <v>0</v>
      </c>
    </row>
    <row r="47" spans="1:25" ht="18.75" thickTop="1" thickBot="1">
      <c r="A47" s="70" t="s">
        <v>29</v>
      </c>
      <c r="B47" s="96" t="s">
        <v>236</v>
      </c>
      <c r="C47" s="72">
        <v>0</v>
      </c>
      <c r="D47" s="72">
        <v>7816</v>
      </c>
      <c r="E47" s="72">
        <v>6120</v>
      </c>
      <c r="F47" s="72">
        <v>6538</v>
      </c>
      <c r="G47" s="73">
        <v>9160</v>
      </c>
      <c r="H47" s="73">
        <v>8273</v>
      </c>
      <c r="I47" s="72">
        <v>8356</v>
      </c>
      <c r="J47" s="73">
        <v>7159</v>
      </c>
      <c r="K47" s="73">
        <v>6948</v>
      </c>
      <c r="L47" s="73">
        <v>6543</v>
      </c>
      <c r="M47" s="77">
        <v>7029</v>
      </c>
      <c r="N47" s="73">
        <v>8125</v>
      </c>
      <c r="O47" s="73">
        <v>6786</v>
      </c>
      <c r="P47" s="73">
        <v>6579</v>
      </c>
      <c r="Q47" s="73">
        <v>5715</v>
      </c>
      <c r="R47" s="73">
        <v>4901.0085199999994</v>
      </c>
      <c r="S47" s="73">
        <v>4633.04162</v>
      </c>
      <c r="T47" s="73">
        <v>5138.1955399999997</v>
      </c>
      <c r="U47" s="73">
        <v>4653.6105099999995</v>
      </c>
      <c r="V47" s="73">
        <v>4372.2232500000009</v>
      </c>
      <c r="W47" s="73">
        <v>4022.6888699999972</v>
      </c>
      <c r="X47" s="183">
        <v>4792.4456600000012</v>
      </c>
      <c r="Y47" s="183">
        <v>4473.1952899999997</v>
      </c>
    </row>
    <row r="48" spans="1:25" ht="18.75" thickTop="1" thickBot="1">
      <c r="A48" s="70" t="s">
        <v>30</v>
      </c>
      <c r="B48" s="96" t="s">
        <v>292</v>
      </c>
      <c r="C48" s="72">
        <v>0</v>
      </c>
      <c r="D48" s="72">
        <v>0</v>
      </c>
      <c r="E48" s="72">
        <v>0</v>
      </c>
      <c r="F48" s="72">
        <v>0</v>
      </c>
      <c r="G48" s="73">
        <v>0</v>
      </c>
      <c r="H48" s="73">
        <v>0</v>
      </c>
      <c r="I48" s="72">
        <v>0</v>
      </c>
      <c r="J48" s="73">
        <v>0</v>
      </c>
      <c r="K48" s="73">
        <v>0</v>
      </c>
      <c r="L48" s="73">
        <v>0</v>
      </c>
      <c r="M48" s="77">
        <v>0</v>
      </c>
      <c r="N48" s="73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183">
        <v>0</v>
      </c>
      <c r="Y48" s="183">
        <v>0</v>
      </c>
    </row>
    <row r="49" spans="1:27" ht="18.75" thickTop="1" thickBot="1">
      <c r="A49" s="70" t="s">
        <v>31</v>
      </c>
      <c r="B49" s="96" t="s">
        <v>254</v>
      </c>
      <c r="C49" s="72">
        <v>0</v>
      </c>
      <c r="D49" s="72">
        <v>0</v>
      </c>
      <c r="E49" s="72">
        <v>0</v>
      </c>
      <c r="F49" s="72">
        <v>0</v>
      </c>
      <c r="G49" s="73">
        <v>0</v>
      </c>
      <c r="H49" s="73">
        <v>12</v>
      </c>
      <c r="I49" s="72">
        <v>0</v>
      </c>
      <c r="J49" s="73">
        <v>135</v>
      </c>
      <c r="K49" s="73">
        <v>18</v>
      </c>
      <c r="L49" s="73">
        <v>0</v>
      </c>
      <c r="M49" s="77">
        <v>4</v>
      </c>
      <c r="N49" s="73">
        <v>1</v>
      </c>
      <c r="O49" s="73">
        <v>5.8239999999999998</v>
      </c>
      <c r="P49" s="73">
        <v>13.225910000000001</v>
      </c>
      <c r="Q49" s="73">
        <v>21.388939999999998</v>
      </c>
      <c r="R49" s="73">
        <v>22.907240000000002</v>
      </c>
      <c r="S49" s="73">
        <v>7.8273000000000001</v>
      </c>
      <c r="T49" s="73">
        <v>26.211929999999995</v>
      </c>
      <c r="U49" s="73">
        <v>7.2307499999999996</v>
      </c>
      <c r="V49" s="73">
        <v>16.324380000000001</v>
      </c>
      <c r="W49" s="174">
        <v>0</v>
      </c>
      <c r="X49" s="174">
        <v>0</v>
      </c>
      <c r="Y49" s="174">
        <v>0</v>
      </c>
    </row>
    <row r="50" spans="1:27" ht="18.75" thickTop="1" thickBot="1">
      <c r="A50" s="85">
        <v>7.4</v>
      </c>
      <c r="B50" s="95" t="s">
        <v>311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56.203279999999999</v>
      </c>
      <c r="Q50" s="87">
        <v>55.997819999999997</v>
      </c>
      <c r="R50" s="87">
        <v>0</v>
      </c>
      <c r="S50" s="87">
        <v>0</v>
      </c>
      <c r="T50" s="87">
        <v>48.511429999999997</v>
      </c>
      <c r="U50" s="87">
        <v>0</v>
      </c>
      <c r="V50" s="87">
        <v>0</v>
      </c>
      <c r="W50" s="87">
        <v>85.082399999999993</v>
      </c>
      <c r="X50" s="87">
        <v>294.07968</v>
      </c>
      <c r="Y50" s="87">
        <v>144.76649</v>
      </c>
    </row>
    <row r="51" spans="1:27" ht="18.75" thickTop="1" thickBot="1">
      <c r="A51" s="80">
        <v>8</v>
      </c>
      <c r="B51" s="94" t="s">
        <v>239</v>
      </c>
      <c r="C51" s="82">
        <v>0</v>
      </c>
      <c r="D51" s="82">
        <v>28</v>
      </c>
      <c r="E51" s="82">
        <v>3</v>
      </c>
      <c r="F51" s="82">
        <v>6</v>
      </c>
      <c r="G51" s="82">
        <v>11</v>
      </c>
      <c r="H51" s="82">
        <v>12</v>
      </c>
      <c r="I51" s="82">
        <v>13</v>
      </c>
      <c r="J51" s="82">
        <v>25</v>
      </c>
      <c r="K51" s="82">
        <v>81</v>
      </c>
      <c r="L51" s="82">
        <f t="shared" ref="L51:Q51" si="16">SUM(L52:L53)</f>
        <v>54</v>
      </c>
      <c r="M51" s="82">
        <f t="shared" si="16"/>
        <v>90</v>
      </c>
      <c r="N51" s="82">
        <f t="shared" si="16"/>
        <v>171</v>
      </c>
      <c r="O51" s="82">
        <f t="shared" si="16"/>
        <v>0.76214000000000004</v>
      </c>
      <c r="P51" s="82">
        <f t="shared" si="16"/>
        <v>244.00730999999999</v>
      </c>
      <c r="Q51" s="82">
        <f t="shared" si="16"/>
        <v>255.79599999999999</v>
      </c>
      <c r="R51" s="82">
        <f t="shared" ref="R51:Y51" si="17">SUM(R52:R53)</f>
        <v>196.36882999999997</v>
      </c>
      <c r="S51" s="82">
        <f t="shared" si="17"/>
        <v>176.39071000000001</v>
      </c>
      <c r="T51" s="82">
        <f t="shared" si="17"/>
        <v>115.93693000000002</v>
      </c>
      <c r="U51" s="82">
        <f t="shared" si="17"/>
        <v>112.78080999999999</v>
      </c>
      <c r="V51" s="82">
        <f t="shared" si="17"/>
        <v>124.85071000000001</v>
      </c>
      <c r="W51" s="82">
        <f t="shared" si="17"/>
        <v>148.20917</v>
      </c>
      <c r="X51" s="82">
        <f t="shared" si="17"/>
        <v>160.07518999999999</v>
      </c>
      <c r="Y51" s="82">
        <f t="shared" si="17"/>
        <v>193.72221000000002</v>
      </c>
    </row>
    <row r="52" spans="1:27" ht="33" thickTop="1" thickBot="1">
      <c r="A52" s="85">
        <v>8.1</v>
      </c>
      <c r="B52" s="95" t="s">
        <v>312</v>
      </c>
      <c r="C52" s="87">
        <v>0</v>
      </c>
      <c r="D52" s="87">
        <v>0</v>
      </c>
      <c r="E52" s="87">
        <v>0</v>
      </c>
      <c r="F52" s="87">
        <v>5</v>
      </c>
      <c r="G52" s="87">
        <v>1</v>
      </c>
      <c r="H52" s="87">
        <v>12</v>
      </c>
      <c r="I52" s="87">
        <v>13</v>
      </c>
      <c r="J52" s="87">
        <v>23</v>
      </c>
      <c r="K52" s="87">
        <v>61</v>
      </c>
      <c r="L52" s="87">
        <v>31</v>
      </c>
      <c r="M52" s="87">
        <v>69</v>
      </c>
      <c r="N52" s="87">
        <v>119</v>
      </c>
      <c r="O52" s="87">
        <v>0.59389999999999998</v>
      </c>
      <c r="P52" s="87">
        <v>195.08099999999999</v>
      </c>
      <c r="Q52" s="87">
        <v>225.30942999999999</v>
      </c>
      <c r="R52" s="87">
        <v>170.23454999999998</v>
      </c>
      <c r="S52" s="87">
        <v>148.53038000000001</v>
      </c>
      <c r="T52" s="87">
        <v>85.395800000000008</v>
      </c>
      <c r="U52" s="87">
        <v>96.13463999999999</v>
      </c>
      <c r="V52" s="87">
        <v>110.5946</v>
      </c>
      <c r="W52" s="87">
        <v>130.05445</v>
      </c>
      <c r="X52" s="87">
        <v>142.27956</v>
      </c>
      <c r="Y52" s="87">
        <v>172.7663</v>
      </c>
    </row>
    <row r="53" spans="1:27" ht="18.75" thickTop="1" thickBot="1">
      <c r="A53" s="85">
        <v>8.1999999999999993</v>
      </c>
      <c r="B53" s="95" t="s">
        <v>132</v>
      </c>
      <c r="C53" s="87">
        <v>0</v>
      </c>
      <c r="D53" s="87">
        <v>28</v>
      </c>
      <c r="E53" s="87">
        <v>3</v>
      </c>
      <c r="F53" s="87">
        <v>1</v>
      </c>
      <c r="G53" s="87">
        <v>10</v>
      </c>
      <c r="H53" s="87">
        <v>0</v>
      </c>
      <c r="I53" s="87">
        <v>0</v>
      </c>
      <c r="J53" s="87">
        <v>2</v>
      </c>
      <c r="K53" s="87">
        <v>20</v>
      </c>
      <c r="L53" s="87">
        <v>23</v>
      </c>
      <c r="M53" s="87">
        <v>21</v>
      </c>
      <c r="N53" s="87">
        <v>52</v>
      </c>
      <c r="O53" s="87">
        <v>0.16824</v>
      </c>
      <c r="P53" s="87">
        <v>48.926310000000001</v>
      </c>
      <c r="Q53" s="87">
        <v>30.48657</v>
      </c>
      <c r="R53" s="87">
        <v>26.13428</v>
      </c>
      <c r="S53" s="87">
        <v>27.860329999999998</v>
      </c>
      <c r="T53" s="87">
        <v>30.541130000000003</v>
      </c>
      <c r="U53" s="87">
        <v>16.646169999999998</v>
      </c>
      <c r="V53" s="87">
        <v>14.256110000000001</v>
      </c>
      <c r="W53" s="87">
        <v>18.154720000000001</v>
      </c>
      <c r="X53" s="87">
        <v>17.795629999999996</v>
      </c>
      <c r="Y53" s="87">
        <v>20.955910000000003</v>
      </c>
      <c r="Z53" s="56"/>
      <c r="AA53" s="56"/>
    </row>
    <row r="54" spans="1:27" ht="18.75" thickTop="1" thickBot="1">
      <c r="A54" s="80">
        <v>9</v>
      </c>
      <c r="B54" s="94" t="s">
        <v>120</v>
      </c>
      <c r="C54" s="82">
        <v>1092</v>
      </c>
      <c r="D54" s="82">
        <v>995</v>
      </c>
      <c r="E54" s="82">
        <v>693</v>
      </c>
      <c r="F54" s="82">
        <v>546</v>
      </c>
      <c r="G54" s="82">
        <v>441</v>
      </c>
      <c r="H54" s="82">
        <v>359</v>
      </c>
      <c r="I54" s="82">
        <v>808</v>
      </c>
      <c r="J54" s="82">
        <v>2373</v>
      </c>
      <c r="K54" s="82">
        <v>3715</v>
      </c>
      <c r="L54" s="82">
        <v>1233</v>
      </c>
      <c r="M54" s="82">
        <v>5097</v>
      </c>
      <c r="N54" s="82">
        <v>3865</v>
      </c>
      <c r="O54" s="82">
        <v>1815.31654</v>
      </c>
      <c r="P54" s="82">
        <v>1097.2969499999999</v>
      </c>
      <c r="Q54" s="82">
        <v>1200.6583600000001</v>
      </c>
      <c r="R54" s="82">
        <v>1383.6513399999994</v>
      </c>
      <c r="S54" s="82">
        <v>1204.0883300000003</v>
      </c>
      <c r="T54" s="82">
        <v>734.23766000000012</v>
      </c>
      <c r="U54" s="82">
        <v>846.91690000000006</v>
      </c>
      <c r="V54" s="82">
        <v>1559.5964699999995</v>
      </c>
      <c r="W54" s="82">
        <v>495.35606999999993</v>
      </c>
      <c r="X54" s="82">
        <v>1175.6029799999999</v>
      </c>
      <c r="Y54" s="82">
        <v>458.98906000000005</v>
      </c>
      <c r="Z54" s="56"/>
      <c r="AA54" s="56"/>
    </row>
    <row r="55" spans="1:27" ht="18.75" thickTop="1" thickBot="1">
      <c r="A55" s="80">
        <v>10</v>
      </c>
      <c r="B55" s="94" t="s">
        <v>121</v>
      </c>
      <c r="C55" s="82">
        <f t="shared" ref="C55:P55" si="18">+C56+C61+C62+C67</f>
        <v>0</v>
      </c>
      <c r="D55" s="82">
        <f t="shared" si="18"/>
        <v>28051</v>
      </c>
      <c r="E55" s="82">
        <f t="shared" si="18"/>
        <v>30904</v>
      </c>
      <c r="F55" s="82">
        <f t="shared" si="18"/>
        <v>20845</v>
      </c>
      <c r="G55" s="82">
        <f t="shared" si="18"/>
        <v>13437</v>
      </c>
      <c r="H55" s="82">
        <f t="shared" si="18"/>
        <v>45465</v>
      </c>
      <c r="I55" s="82">
        <f t="shared" si="18"/>
        <v>57793</v>
      </c>
      <c r="J55" s="82">
        <f t="shared" si="18"/>
        <v>69482</v>
      </c>
      <c r="K55" s="82">
        <f t="shared" si="18"/>
        <v>65196</v>
      </c>
      <c r="L55" s="82">
        <f t="shared" si="18"/>
        <v>68215</v>
      </c>
      <c r="M55" s="82">
        <f t="shared" si="18"/>
        <v>74865</v>
      </c>
      <c r="N55" s="82">
        <f t="shared" si="18"/>
        <v>90773</v>
      </c>
      <c r="O55" s="82">
        <f t="shared" si="18"/>
        <v>73577.786189999999</v>
      </c>
      <c r="P55" s="82">
        <f t="shared" si="18"/>
        <v>75496.403579999998</v>
      </c>
      <c r="Q55" s="82">
        <f>+Q56+Q61+Q62+Q67</f>
        <v>75362.926380000004</v>
      </c>
      <c r="R55" s="82">
        <f t="shared" ref="R55" si="19">+R56+R61+R62+R67</f>
        <v>64357.033620000009</v>
      </c>
      <c r="S55" s="82">
        <f t="shared" ref="S55:Y55" si="20">+S56+S61+S62+S67</f>
        <v>59824.422849999988</v>
      </c>
      <c r="T55" s="82">
        <f t="shared" si="20"/>
        <v>74728.499399999957</v>
      </c>
      <c r="U55" s="82">
        <f t="shared" si="20"/>
        <v>75623.959409999981</v>
      </c>
      <c r="V55" s="82">
        <f t="shared" si="20"/>
        <v>70431.026979999995</v>
      </c>
      <c r="W55" s="82">
        <f t="shared" si="20"/>
        <v>59801.274140000016</v>
      </c>
      <c r="X55" s="82">
        <f t="shared" si="20"/>
        <v>110675.6949300001</v>
      </c>
      <c r="Y55" s="82">
        <f t="shared" si="20"/>
        <v>87572.555410000015</v>
      </c>
      <c r="Z55" s="56"/>
      <c r="AA55" s="56"/>
    </row>
    <row r="56" spans="1:27" ht="18.75" thickTop="1" thickBot="1">
      <c r="A56" s="85">
        <v>10.1</v>
      </c>
      <c r="B56" s="95" t="s">
        <v>285</v>
      </c>
      <c r="C56" s="87">
        <f t="shared" ref="C56:P56" si="21">SUM(C57:C60)</f>
        <v>0</v>
      </c>
      <c r="D56" s="87">
        <f t="shared" si="21"/>
        <v>28051</v>
      </c>
      <c r="E56" s="87">
        <f t="shared" si="21"/>
        <v>14631</v>
      </c>
      <c r="F56" s="87">
        <f t="shared" si="21"/>
        <v>14273</v>
      </c>
      <c r="G56" s="87">
        <f t="shared" si="21"/>
        <v>5514</v>
      </c>
      <c r="H56" s="87">
        <f t="shared" si="21"/>
        <v>25360</v>
      </c>
      <c r="I56" s="87">
        <f t="shared" si="21"/>
        <v>28829</v>
      </c>
      <c r="J56" s="87">
        <f t="shared" si="21"/>
        <v>28035</v>
      </c>
      <c r="K56" s="87">
        <f t="shared" si="21"/>
        <v>32197</v>
      </c>
      <c r="L56" s="87">
        <f t="shared" si="21"/>
        <v>23565</v>
      </c>
      <c r="M56" s="87">
        <f t="shared" si="21"/>
        <v>33394</v>
      </c>
      <c r="N56" s="87">
        <f t="shared" si="21"/>
        <v>41229</v>
      </c>
      <c r="O56" s="87">
        <f t="shared" si="21"/>
        <v>33129.989799999996</v>
      </c>
      <c r="P56" s="87">
        <f t="shared" si="21"/>
        <v>36748.708579999999</v>
      </c>
      <c r="Q56" s="87">
        <f t="shared" ref="Q56:Y56" si="22">SUM(Q57:Q60)</f>
        <v>37108.119550000003</v>
      </c>
      <c r="R56" s="87">
        <f t="shared" si="22"/>
        <v>28635.824090000006</v>
      </c>
      <c r="S56" s="87">
        <f t="shared" si="22"/>
        <v>26642.587950000001</v>
      </c>
      <c r="T56" s="87">
        <f t="shared" si="22"/>
        <v>37616.773399999955</v>
      </c>
      <c r="U56" s="87">
        <f t="shared" si="22"/>
        <v>38427.825309999986</v>
      </c>
      <c r="V56" s="87">
        <f t="shared" si="22"/>
        <v>34512.134189999997</v>
      </c>
      <c r="W56" s="87">
        <f t="shared" si="22"/>
        <v>25872.101279999988</v>
      </c>
      <c r="X56" s="87">
        <f t="shared" si="22"/>
        <v>69321.68980000008</v>
      </c>
      <c r="Y56" s="87">
        <f t="shared" si="22"/>
        <v>41346.477880000028</v>
      </c>
      <c r="Z56" s="56"/>
      <c r="AA56" s="56"/>
    </row>
    <row r="57" spans="1:27" ht="18.75" thickTop="1" thickBot="1">
      <c r="A57" s="70" t="s">
        <v>32</v>
      </c>
      <c r="B57" s="97" t="s">
        <v>241</v>
      </c>
      <c r="C57" s="72">
        <v>0</v>
      </c>
      <c r="D57" s="72">
        <v>6941</v>
      </c>
      <c r="E57" s="72">
        <v>4077</v>
      </c>
      <c r="F57" s="72">
        <v>3529</v>
      </c>
      <c r="G57" s="73">
        <v>4727</v>
      </c>
      <c r="H57" s="73">
        <v>5823</v>
      </c>
      <c r="I57" s="72">
        <v>6259</v>
      </c>
      <c r="J57" s="73">
        <v>5588</v>
      </c>
      <c r="K57" s="73">
        <v>7985</v>
      </c>
      <c r="L57" s="73">
        <v>6113</v>
      </c>
      <c r="M57" s="73">
        <v>6045</v>
      </c>
      <c r="N57" s="73">
        <v>7132</v>
      </c>
      <c r="O57" s="73">
        <v>6256.6530000000002</v>
      </c>
      <c r="P57" s="73">
        <v>6153.0825800000002</v>
      </c>
      <c r="Q57" s="73">
        <v>5622.9032100000004</v>
      </c>
      <c r="R57" s="73">
        <v>4516.3936500000009</v>
      </c>
      <c r="S57" s="73">
        <v>3609.9161500000009</v>
      </c>
      <c r="T57" s="73">
        <v>3216.2446999999993</v>
      </c>
      <c r="U57" s="73">
        <v>3816.7031100000008</v>
      </c>
      <c r="V57" s="73">
        <v>2682</v>
      </c>
      <c r="W57" s="183">
        <v>1547.0102199999997</v>
      </c>
      <c r="X57" s="183">
        <v>1750.8690000000004</v>
      </c>
      <c r="Y57" s="183">
        <v>2793.1771699999999</v>
      </c>
      <c r="Z57" s="56"/>
      <c r="AA57" s="56"/>
    </row>
    <row r="58" spans="1:27" ht="18.75" thickTop="1" thickBot="1">
      <c r="A58" s="70" t="s">
        <v>33</v>
      </c>
      <c r="B58" s="97" t="s">
        <v>256</v>
      </c>
      <c r="C58" s="72">
        <v>0</v>
      </c>
      <c r="D58" s="72">
        <v>8529</v>
      </c>
      <c r="E58" s="72">
        <v>3247</v>
      </c>
      <c r="F58" s="72">
        <v>1856</v>
      </c>
      <c r="G58" s="73">
        <v>760</v>
      </c>
      <c r="H58" s="73">
        <v>5683</v>
      </c>
      <c r="I58" s="72">
        <v>5795</v>
      </c>
      <c r="J58" s="73">
        <v>5077</v>
      </c>
      <c r="K58" s="73">
        <v>5958</v>
      </c>
      <c r="L58" s="73">
        <v>5128</v>
      </c>
      <c r="M58" s="73">
        <v>4490</v>
      </c>
      <c r="N58" s="73">
        <v>5457</v>
      </c>
      <c r="O58" s="73">
        <v>0</v>
      </c>
      <c r="P58" s="73">
        <v>0</v>
      </c>
      <c r="Q58" s="73">
        <v>1364.902</v>
      </c>
      <c r="R58" s="73">
        <v>1352.57212</v>
      </c>
      <c r="S58" s="73">
        <v>0</v>
      </c>
      <c r="T58" s="73">
        <v>0</v>
      </c>
      <c r="U58" s="73">
        <v>0</v>
      </c>
      <c r="V58" s="183">
        <v>184.23419000000001</v>
      </c>
      <c r="W58" s="183">
        <v>231.07568999999987</v>
      </c>
      <c r="X58" s="183">
        <v>419.83964999999989</v>
      </c>
      <c r="Y58" s="183">
        <v>192.10382999999996</v>
      </c>
      <c r="Z58" s="56"/>
      <c r="AA58" s="56"/>
    </row>
    <row r="59" spans="1:27" ht="18.75" thickTop="1" thickBot="1">
      <c r="A59" s="70" t="s">
        <v>34</v>
      </c>
      <c r="B59" s="97" t="s">
        <v>257</v>
      </c>
      <c r="C59" s="72">
        <v>0</v>
      </c>
      <c r="D59" s="72">
        <v>6679</v>
      </c>
      <c r="E59" s="72">
        <v>5684</v>
      </c>
      <c r="F59" s="72">
        <v>4766</v>
      </c>
      <c r="G59" s="73">
        <v>15</v>
      </c>
      <c r="H59" s="73">
        <v>6964</v>
      </c>
      <c r="I59" s="74">
        <v>7412</v>
      </c>
      <c r="J59" s="73">
        <v>8055</v>
      </c>
      <c r="K59" s="73">
        <v>9813</v>
      </c>
      <c r="L59" s="73">
        <v>8460</v>
      </c>
      <c r="M59" s="73">
        <v>11718</v>
      </c>
      <c r="N59" s="73">
        <v>10244</v>
      </c>
      <c r="O59" s="73">
        <v>10317.0098</v>
      </c>
      <c r="P59" s="73">
        <v>10163.567999999999</v>
      </c>
      <c r="Q59" s="73">
        <v>10833.98993</v>
      </c>
      <c r="R59" s="73">
        <v>8572.9903299999987</v>
      </c>
      <c r="S59" s="73">
        <v>9091.6255799999999</v>
      </c>
      <c r="T59" s="73">
        <v>19082.27325999998</v>
      </c>
      <c r="U59" s="73">
        <v>18329.036199999988</v>
      </c>
      <c r="V59" s="73">
        <v>18166</v>
      </c>
      <c r="W59" s="183">
        <v>13752.508869999985</v>
      </c>
      <c r="X59" s="183">
        <v>14854.620460000002</v>
      </c>
      <c r="Y59" s="183">
        <v>17592.23766000001</v>
      </c>
      <c r="Z59" s="56"/>
      <c r="AA59" s="56"/>
    </row>
    <row r="60" spans="1:27" ht="18.75" thickTop="1" thickBot="1">
      <c r="A60" s="70" t="s">
        <v>35</v>
      </c>
      <c r="B60" s="97" t="s">
        <v>258</v>
      </c>
      <c r="C60" s="72">
        <v>0</v>
      </c>
      <c r="D60" s="72">
        <v>5902</v>
      </c>
      <c r="E60" s="72">
        <v>1623</v>
      </c>
      <c r="F60" s="72">
        <v>4122</v>
      </c>
      <c r="G60" s="73">
        <v>12</v>
      </c>
      <c r="H60" s="73">
        <v>6890</v>
      </c>
      <c r="I60" s="74">
        <v>9363</v>
      </c>
      <c r="J60" s="73">
        <v>9315</v>
      </c>
      <c r="K60" s="73">
        <v>8441</v>
      </c>
      <c r="L60" s="73">
        <v>3864</v>
      </c>
      <c r="M60" s="73">
        <v>11141</v>
      </c>
      <c r="N60" s="73">
        <v>18396</v>
      </c>
      <c r="O60" s="73">
        <f>1268.88693+15287.44007</f>
        <v>16556.327000000001</v>
      </c>
      <c r="P60" s="73">
        <v>20432.058000000001</v>
      </c>
      <c r="Q60" s="73">
        <v>19286.324410000001</v>
      </c>
      <c r="R60" s="73">
        <v>14193.867990000006</v>
      </c>
      <c r="S60" s="73">
        <v>13941.046219999998</v>
      </c>
      <c r="T60" s="73">
        <v>15318.255439999977</v>
      </c>
      <c r="U60" s="73">
        <v>16282.085999999994</v>
      </c>
      <c r="V60" s="73">
        <v>13479.9</v>
      </c>
      <c r="W60" s="183">
        <v>10341.506500000001</v>
      </c>
      <c r="X60" s="183">
        <v>52296.360690000074</v>
      </c>
      <c r="Y60" s="183">
        <v>20768.959220000019</v>
      </c>
      <c r="Z60" s="56"/>
      <c r="AA60" s="56"/>
    </row>
    <row r="61" spans="1:27" ht="33" thickTop="1" thickBot="1">
      <c r="A61" s="85">
        <v>10.199999999999999</v>
      </c>
      <c r="B61" s="95" t="s">
        <v>135</v>
      </c>
      <c r="C61" s="87">
        <v>0</v>
      </c>
      <c r="D61" s="87">
        <v>0</v>
      </c>
      <c r="E61" s="87">
        <v>7</v>
      </c>
      <c r="F61" s="87">
        <v>48</v>
      </c>
      <c r="G61" s="87">
        <v>905</v>
      </c>
      <c r="H61" s="87">
        <v>101</v>
      </c>
      <c r="I61" s="87">
        <v>100</v>
      </c>
      <c r="J61" s="87">
        <v>133</v>
      </c>
      <c r="K61" s="87">
        <v>6895</v>
      </c>
      <c r="L61" s="87">
        <v>4115</v>
      </c>
      <c r="M61" s="87">
        <v>3738</v>
      </c>
      <c r="N61" s="87">
        <v>120</v>
      </c>
      <c r="O61" s="87">
        <v>633.64011000000005</v>
      </c>
      <c r="P61" s="87">
        <v>988.18799999999999</v>
      </c>
      <c r="Q61" s="87">
        <v>441.21802000000002</v>
      </c>
      <c r="R61" s="87">
        <v>732</v>
      </c>
      <c r="S61" s="87">
        <v>358</v>
      </c>
      <c r="T61" s="87">
        <v>619.66641999999979</v>
      </c>
      <c r="U61" s="87">
        <v>897.06262000000061</v>
      </c>
      <c r="V61" s="87">
        <v>791.82438999999965</v>
      </c>
      <c r="W61" s="87">
        <v>1277.3445300000005</v>
      </c>
      <c r="X61" s="87">
        <v>1973.8817400000012</v>
      </c>
      <c r="Y61" s="87">
        <v>3373.1799299999993</v>
      </c>
      <c r="Z61" s="56"/>
      <c r="AA61" s="56"/>
    </row>
    <row r="62" spans="1:27" ht="18.75" thickTop="1" thickBot="1">
      <c r="A62" s="85">
        <v>10.3</v>
      </c>
      <c r="B62" s="95" t="s">
        <v>136</v>
      </c>
      <c r="C62" s="87">
        <f t="shared" ref="C62:P62" si="23">SUM(C63:C66)</f>
        <v>0</v>
      </c>
      <c r="D62" s="87">
        <f t="shared" si="23"/>
        <v>0</v>
      </c>
      <c r="E62" s="87">
        <f t="shared" si="23"/>
        <v>12165</v>
      </c>
      <c r="F62" s="87">
        <f t="shared" si="23"/>
        <v>6358</v>
      </c>
      <c r="G62" s="87">
        <f t="shared" si="23"/>
        <v>3673</v>
      </c>
      <c r="H62" s="87">
        <f t="shared" si="23"/>
        <v>17193</v>
      </c>
      <c r="I62" s="87">
        <f t="shared" si="23"/>
        <v>26431</v>
      </c>
      <c r="J62" s="87">
        <f t="shared" si="23"/>
        <v>39029</v>
      </c>
      <c r="K62" s="87">
        <f t="shared" si="23"/>
        <v>23298</v>
      </c>
      <c r="L62" s="87">
        <f t="shared" si="23"/>
        <v>38183</v>
      </c>
      <c r="M62" s="87">
        <f t="shared" si="23"/>
        <v>34923</v>
      </c>
      <c r="N62" s="87">
        <f t="shared" si="23"/>
        <v>46407</v>
      </c>
      <c r="O62" s="87">
        <f t="shared" si="23"/>
        <v>36928.929710000004</v>
      </c>
      <c r="P62" s="87">
        <f t="shared" si="23"/>
        <v>34728.716999999997</v>
      </c>
      <c r="Q62" s="87">
        <f t="shared" ref="Q62:Y62" si="24">SUM(Q63:Q66)</f>
        <v>34149.098729999998</v>
      </c>
      <c r="R62" s="87">
        <f t="shared" si="24"/>
        <v>32137.209530000004</v>
      </c>
      <c r="S62" s="87">
        <f t="shared" si="24"/>
        <v>29557.834899999987</v>
      </c>
      <c r="T62" s="87">
        <f t="shared" si="24"/>
        <v>33581.655379999989</v>
      </c>
      <c r="U62" s="87">
        <f t="shared" si="24"/>
        <v>33114.758609999997</v>
      </c>
      <c r="V62" s="87">
        <f t="shared" si="24"/>
        <v>32417.917150000001</v>
      </c>
      <c r="W62" s="87">
        <f t="shared" si="24"/>
        <v>29770.728220000026</v>
      </c>
      <c r="X62" s="87">
        <f t="shared" si="24"/>
        <v>36552.747370000026</v>
      </c>
      <c r="Y62" s="87">
        <f t="shared" si="24"/>
        <v>39872.502939999991</v>
      </c>
      <c r="Z62" s="56"/>
      <c r="AA62" s="56"/>
    </row>
    <row r="63" spans="1:27" ht="18.75" thickTop="1" thickBot="1">
      <c r="A63" s="70" t="s">
        <v>36</v>
      </c>
      <c r="B63" s="97" t="s">
        <v>308</v>
      </c>
      <c r="C63" s="72">
        <v>0</v>
      </c>
      <c r="D63" s="72">
        <v>0</v>
      </c>
      <c r="E63" s="72">
        <v>7833</v>
      </c>
      <c r="F63" s="72">
        <v>5949</v>
      </c>
      <c r="G63" s="73">
        <v>3386</v>
      </c>
      <c r="H63" s="73">
        <v>11735</v>
      </c>
      <c r="I63" s="72">
        <v>13494</v>
      </c>
      <c r="J63" s="73">
        <v>12142</v>
      </c>
      <c r="K63" s="73">
        <v>17301</v>
      </c>
      <c r="L63" s="73">
        <v>9686</v>
      </c>
      <c r="M63" s="73">
        <v>21073</v>
      </c>
      <c r="N63" s="73">
        <v>20935</v>
      </c>
      <c r="O63" s="73">
        <v>18468.202270000002</v>
      </c>
      <c r="P63" s="73">
        <v>14827.82</v>
      </c>
      <c r="Q63" s="73">
        <v>13297.627500000001</v>
      </c>
      <c r="R63" s="73">
        <v>11467.226020000007</v>
      </c>
      <c r="S63" s="73">
        <v>8748.2440899999983</v>
      </c>
      <c r="T63" s="73">
        <v>12616.031289999986</v>
      </c>
      <c r="U63" s="73">
        <v>13003.33149</v>
      </c>
      <c r="V63" s="73">
        <v>12388.14457</v>
      </c>
      <c r="W63" s="183">
        <v>9133.1646500000061</v>
      </c>
      <c r="X63" s="183">
        <v>14893.301490000013</v>
      </c>
      <c r="Y63" s="183">
        <v>17417.825679999991</v>
      </c>
      <c r="Z63" s="56"/>
      <c r="AA63" s="56"/>
    </row>
    <row r="64" spans="1:27" ht="18.75" thickTop="1" thickBot="1">
      <c r="A64" s="70" t="s">
        <v>37</v>
      </c>
      <c r="B64" s="97" t="s">
        <v>262</v>
      </c>
      <c r="C64" s="72">
        <v>0</v>
      </c>
      <c r="D64" s="72">
        <v>0</v>
      </c>
      <c r="E64" s="72">
        <v>235</v>
      </c>
      <c r="F64" s="72">
        <v>7</v>
      </c>
      <c r="G64" s="73">
        <v>23</v>
      </c>
      <c r="H64" s="73">
        <v>4089</v>
      </c>
      <c r="I64" s="72">
        <v>10505</v>
      </c>
      <c r="J64" s="73">
        <v>16705</v>
      </c>
      <c r="K64" s="73">
        <v>139</v>
      </c>
      <c r="L64" s="73">
        <v>8017</v>
      </c>
      <c r="M64" s="73">
        <v>10057</v>
      </c>
      <c r="N64" s="73">
        <v>21610</v>
      </c>
      <c r="O64" s="73">
        <v>15775.556</v>
      </c>
      <c r="P64" s="73">
        <v>16344.668</v>
      </c>
      <c r="Q64" s="73">
        <v>16468.298569999999</v>
      </c>
      <c r="R64" s="73">
        <v>15738.513509999995</v>
      </c>
      <c r="S64" s="73">
        <v>16586.881459999982</v>
      </c>
      <c r="T64" s="73">
        <v>16575.341730000007</v>
      </c>
      <c r="U64" s="73">
        <v>15365.650369999998</v>
      </c>
      <c r="V64" s="73">
        <v>15424.68</v>
      </c>
      <c r="W64" s="183">
        <v>16281.193990000018</v>
      </c>
      <c r="X64" s="183">
        <v>15892.271840000014</v>
      </c>
      <c r="Y64" s="183">
        <v>16010.802870000001</v>
      </c>
      <c r="Z64" s="56"/>
      <c r="AA64" s="56"/>
    </row>
    <row r="65" spans="1:26" ht="18.75" thickTop="1" thickBot="1">
      <c r="A65" s="70" t="s">
        <v>38</v>
      </c>
      <c r="B65" s="97" t="s">
        <v>294</v>
      </c>
      <c r="C65" s="72">
        <v>0</v>
      </c>
      <c r="D65" s="72">
        <v>0</v>
      </c>
      <c r="E65" s="72">
        <v>4097</v>
      </c>
      <c r="F65" s="72">
        <v>402</v>
      </c>
      <c r="G65" s="73">
        <v>264</v>
      </c>
      <c r="H65" s="73">
        <v>1208</v>
      </c>
      <c r="I65" s="72">
        <v>2307</v>
      </c>
      <c r="J65" s="73">
        <v>9281</v>
      </c>
      <c r="K65" s="73">
        <v>5595</v>
      </c>
      <c r="L65" s="73">
        <v>20332</v>
      </c>
      <c r="M65" s="73">
        <v>3411</v>
      </c>
      <c r="N65" s="73">
        <v>3484</v>
      </c>
      <c r="O65" s="73">
        <v>2408.0230000000001</v>
      </c>
      <c r="P65" s="73">
        <v>3231.4380000000001</v>
      </c>
      <c r="Q65" s="73">
        <v>4088.6777600000014</v>
      </c>
      <c r="R65" s="73">
        <v>4709</v>
      </c>
      <c r="S65" s="73">
        <v>3942.6818800000028</v>
      </c>
      <c r="T65" s="73">
        <v>4113.1042299999981</v>
      </c>
      <c r="U65" s="73">
        <v>4565.3972600000006</v>
      </c>
      <c r="V65" s="73">
        <v>4446.8599999999997</v>
      </c>
      <c r="W65" s="183">
        <v>4268.8652900000016</v>
      </c>
      <c r="X65" s="183">
        <v>5681.210939999999</v>
      </c>
      <c r="Y65" s="183">
        <v>6260.0461099999993</v>
      </c>
    </row>
    <row r="66" spans="1:26" ht="31.5" customHeight="1" thickTop="1" thickBot="1">
      <c r="A66" s="70" t="s">
        <v>39</v>
      </c>
      <c r="B66" s="98" t="s">
        <v>302</v>
      </c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161</v>
      </c>
      <c r="I66" s="72">
        <v>125</v>
      </c>
      <c r="J66" s="72">
        <v>901</v>
      </c>
      <c r="K66" s="72">
        <v>263</v>
      </c>
      <c r="L66" s="72">
        <v>148</v>
      </c>
      <c r="M66" s="72">
        <v>382</v>
      </c>
      <c r="N66" s="72">
        <v>378</v>
      </c>
      <c r="O66" s="72">
        <v>277.14843999999999</v>
      </c>
      <c r="P66" s="72">
        <v>324.791</v>
      </c>
      <c r="Q66" s="72">
        <v>294.49490000000003</v>
      </c>
      <c r="R66" s="72">
        <v>222.47</v>
      </c>
      <c r="S66" s="72">
        <v>280.02746999999999</v>
      </c>
      <c r="T66" s="72">
        <v>277.17813000000007</v>
      </c>
      <c r="U66" s="72">
        <v>180.37949000000006</v>
      </c>
      <c r="V66" s="72">
        <v>158.23258000000001</v>
      </c>
      <c r="W66" s="72">
        <v>87.504289999999997</v>
      </c>
      <c r="X66" s="72">
        <v>85.963100000000011</v>
      </c>
      <c r="Y66" s="72">
        <v>183.82827999999998</v>
      </c>
    </row>
    <row r="67" spans="1:26" ht="33.75" customHeight="1" thickTop="1" thickBot="1">
      <c r="A67" s="85">
        <v>10.4</v>
      </c>
      <c r="B67" s="95" t="s">
        <v>247</v>
      </c>
      <c r="C67" s="87">
        <v>0</v>
      </c>
      <c r="D67" s="87">
        <v>0</v>
      </c>
      <c r="E67" s="87">
        <v>4101</v>
      </c>
      <c r="F67" s="87">
        <v>166</v>
      </c>
      <c r="G67" s="87">
        <v>3345</v>
      </c>
      <c r="H67" s="87">
        <v>2811</v>
      </c>
      <c r="I67" s="87">
        <v>2433</v>
      </c>
      <c r="J67" s="87">
        <v>2285</v>
      </c>
      <c r="K67" s="87">
        <v>2806</v>
      </c>
      <c r="L67" s="87">
        <v>2352</v>
      </c>
      <c r="M67" s="87">
        <v>2810</v>
      </c>
      <c r="N67" s="87">
        <v>3017</v>
      </c>
      <c r="O67" s="87">
        <v>2885.2265699999998</v>
      </c>
      <c r="P67" s="87">
        <v>3030.79</v>
      </c>
      <c r="Q67" s="87">
        <v>3664.49008</v>
      </c>
      <c r="R67" s="87">
        <v>2852</v>
      </c>
      <c r="S67" s="87">
        <v>3266</v>
      </c>
      <c r="T67" s="87">
        <v>2910.404199999999</v>
      </c>
      <c r="U67" s="87">
        <v>3184.3128699999988</v>
      </c>
      <c r="V67" s="87">
        <v>2709.1512500000008</v>
      </c>
      <c r="W67" s="87">
        <v>2881.1001100000012</v>
      </c>
      <c r="X67" s="87">
        <v>2827.3760200000011</v>
      </c>
      <c r="Y67" s="87">
        <v>2980.3946600000008</v>
      </c>
    </row>
    <row r="68" spans="1:26" ht="20.25" thickTop="1" thickBot="1">
      <c r="A68" s="106"/>
      <c r="B68" s="107" t="s">
        <v>52</v>
      </c>
      <c r="C68" s="108">
        <f t="shared" ref="C68:N68" si="25">+C55+C54+C51+C42+C27+C23+C19+C18+C12</f>
        <v>24200</v>
      </c>
      <c r="D68" s="108">
        <f t="shared" si="25"/>
        <v>52867</v>
      </c>
      <c r="E68" s="108">
        <f t="shared" si="25"/>
        <v>45861</v>
      </c>
      <c r="F68" s="108">
        <f t="shared" si="25"/>
        <v>35623</v>
      </c>
      <c r="G68" s="108">
        <f t="shared" si="25"/>
        <v>35822</v>
      </c>
      <c r="H68" s="108">
        <f t="shared" si="25"/>
        <v>70861</v>
      </c>
      <c r="I68" s="108">
        <f t="shared" si="25"/>
        <v>86364</v>
      </c>
      <c r="J68" s="108">
        <f t="shared" si="25"/>
        <v>101927</v>
      </c>
      <c r="K68" s="108">
        <f t="shared" si="25"/>
        <v>107158</v>
      </c>
      <c r="L68" s="108">
        <f t="shared" si="25"/>
        <v>103071</v>
      </c>
      <c r="M68" s="108">
        <f t="shared" si="25"/>
        <v>116347.15399999999</v>
      </c>
      <c r="N68" s="108">
        <f t="shared" si="25"/>
        <v>140233.068</v>
      </c>
      <c r="O68" s="108">
        <f t="shared" ref="O68:Y68" si="26">+O55+O54+O51+O42+O27+O23+O22+O19+O18+O12</f>
        <v>111240.07697000001</v>
      </c>
      <c r="P68" s="108">
        <f t="shared" si="26"/>
        <v>115787.97997</v>
      </c>
      <c r="Q68" s="108">
        <f t="shared" si="26"/>
        <v>115445.49553000003</v>
      </c>
      <c r="R68" s="108">
        <f t="shared" si="26"/>
        <v>100465.47923000003</v>
      </c>
      <c r="S68" s="108">
        <f t="shared" si="26"/>
        <v>91842.081889999987</v>
      </c>
      <c r="T68" s="108">
        <f t="shared" si="26"/>
        <v>108573.27845999996</v>
      </c>
      <c r="U68" s="108">
        <f t="shared" si="26"/>
        <v>110273.15377999999</v>
      </c>
      <c r="V68" s="108">
        <f t="shared" si="26"/>
        <v>103141.81964000002</v>
      </c>
      <c r="W68" s="108">
        <f t="shared" si="26"/>
        <v>94549.27459000003</v>
      </c>
      <c r="X68" s="108">
        <f t="shared" si="26"/>
        <v>156364.4072300001</v>
      </c>
      <c r="Y68" s="108">
        <f t="shared" si="26"/>
        <v>137580.99608000004</v>
      </c>
      <c r="Z68" s="14"/>
    </row>
    <row r="69" spans="1:26" ht="19.5" thickTop="1">
      <c r="Y69" s="214"/>
      <c r="Z69" s="14"/>
    </row>
    <row r="70" spans="1:26" ht="15.75">
      <c r="A70" s="90"/>
      <c r="B70" s="99" t="s">
        <v>181</v>
      </c>
      <c r="C70" s="90"/>
      <c r="D70" s="90"/>
      <c r="E70" s="90"/>
      <c r="W70" s="14"/>
      <c r="X70" s="14"/>
      <c r="Y70" s="14"/>
    </row>
    <row r="72" spans="1:26" ht="18" customHeight="1">
      <c r="A72" s="222" t="s">
        <v>165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</row>
    <row r="73" spans="1:26" ht="18" thickBot="1">
      <c r="A73" s="78" t="s">
        <v>101</v>
      </c>
      <c r="B73" s="78" t="s">
        <v>102</v>
      </c>
      <c r="C73" s="78">
        <v>2000</v>
      </c>
      <c r="D73" s="78">
        <v>2001</v>
      </c>
      <c r="E73" s="78">
        <v>2002</v>
      </c>
      <c r="F73" s="78">
        <v>2003</v>
      </c>
      <c r="G73" s="78">
        <v>2004</v>
      </c>
      <c r="H73" s="78">
        <v>2005</v>
      </c>
      <c r="I73" s="78">
        <v>2006</v>
      </c>
      <c r="J73" s="78">
        <v>2007</v>
      </c>
      <c r="K73" s="78">
        <v>2008</v>
      </c>
      <c r="L73" s="78">
        <v>2009</v>
      </c>
      <c r="M73" s="78">
        <v>2010</v>
      </c>
      <c r="N73" s="78">
        <v>2011</v>
      </c>
      <c r="O73" s="78">
        <v>2012</v>
      </c>
      <c r="P73" s="78">
        <v>2013</v>
      </c>
      <c r="Q73" s="78">
        <v>2014</v>
      </c>
      <c r="R73" s="78">
        <v>2015</v>
      </c>
      <c r="S73" s="78">
        <v>2016</v>
      </c>
      <c r="T73" s="78">
        <v>2017</v>
      </c>
      <c r="U73" s="78">
        <v>2018</v>
      </c>
      <c r="V73" s="78">
        <v>2019</v>
      </c>
      <c r="W73" s="78">
        <v>2020</v>
      </c>
      <c r="X73" s="78">
        <v>2021</v>
      </c>
      <c r="Y73" s="78">
        <v>2022</v>
      </c>
    </row>
    <row r="74" spans="1:26" ht="18.75" thickTop="1" thickBot="1">
      <c r="A74" s="80">
        <v>11</v>
      </c>
      <c r="B74" s="94" t="s">
        <v>167</v>
      </c>
      <c r="C74" s="101">
        <f t="shared" ref="C74:O74" si="27">+C75+C79+C80+C81+C82</f>
        <v>0</v>
      </c>
      <c r="D74" s="101">
        <f t="shared" si="27"/>
        <v>0</v>
      </c>
      <c r="E74" s="101">
        <f t="shared" si="27"/>
        <v>2517</v>
      </c>
      <c r="F74" s="101">
        <f t="shared" si="27"/>
        <v>932</v>
      </c>
      <c r="G74" s="101">
        <f t="shared" si="27"/>
        <v>5750</v>
      </c>
      <c r="H74" s="101">
        <f t="shared" si="27"/>
        <v>18489</v>
      </c>
      <c r="I74" s="101">
        <f t="shared" si="27"/>
        <v>21618</v>
      </c>
      <c r="J74" s="101">
        <f t="shared" si="27"/>
        <v>22761</v>
      </c>
      <c r="K74" s="101">
        <f t="shared" si="27"/>
        <v>38710</v>
      </c>
      <c r="L74" s="101">
        <f t="shared" si="27"/>
        <v>32733</v>
      </c>
      <c r="M74" s="101">
        <f t="shared" si="27"/>
        <v>49718</v>
      </c>
      <c r="N74" s="101">
        <f t="shared" si="27"/>
        <v>71030</v>
      </c>
      <c r="O74" s="101">
        <f t="shared" si="27"/>
        <v>63491.096089999999</v>
      </c>
      <c r="P74" s="101">
        <f t="shared" ref="P74:Y74" si="28">+P75+P79+P80+P81+P82</f>
        <v>47158.389410000003</v>
      </c>
      <c r="Q74" s="101">
        <f t="shared" si="28"/>
        <v>84649.339110000175</v>
      </c>
      <c r="R74" s="101">
        <f t="shared" si="28"/>
        <v>83717.106490000006</v>
      </c>
      <c r="S74" s="101">
        <f t="shared" si="28"/>
        <v>76923.158810000066</v>
      </c>
      <c r="T74" s="101">
        <f t="shared" si="28"/>
        <v>79588.973999999886</v>
      </c>
      <c r="U74" s="101">
        <f t="shared" si="28"/>
        <v>81556.672680000003</v>
      </c>
      <c r="V74" s="101">
        <f t="shared" si="28"/>
        <v>74578.522010000001</v>
      </c>
      <c r="W74" s="101">
        <f t="shared" si="28"/>
        <v>93229.319539999997</v>
      </c>
      <c r="X74" s="101">
        <f t="shared" si="28"/>
        <v>57994.074419999997</v>
      </c>
      <c r="Y74" s="101">
        <f t="shared" si="28"/>
        <v>78763.82918000003</v>
      </c>
      <c r="Z74" s="14"/>
    </row>
    <row r="75" spans="1:26" ht="18.75" thickTop="1" thickBot="1">
      <c r="A75" s="85" t="s">
        <v>42</v>
      </c>
      <c r="B75" s="95" t="s">
        <v>260</v>
      </c>
      <c r="C75" s="118">
        <f t="shared" ref="C75:P75" si="29">SUM(C76:C77)</f>
        <v>0</v>
      </c>
      <c r="D75" s="102">
        <f t="shared" si="29"/>
        <v>0</v>
      </c>
      <c r="E75" s="118">
        <f t="shared" si="29"/>
        <v>721</v>
      </c>
      <c r="F75" s="102">
        <f t="shared" si="29"/>
        <v>311</v>
      </c>
      <c r="G75" s="118">
        <f t="shared" si="29"/>
        <v>820</v>
      </c>
      <c r="H75" s="102">
        <f t="shared" si="29"/>
        <v>1355</v>
      </c>
      <c r="I75" s="118">
        <f t="shared" si="29"/>
        <v>1379</v>
      </c>
      <c r="J75" s="102">
        <f t="shared" si="29"/>
        <v>1810</v>
      </c>
      <c r="K75" s="118">
        <f t="shared" si="29"/>
        <v>2947</v>
      </c>
      <c r="L75" s="102">
        <f t="shared" si="29"/>
        <v>2147</v>
      </c>
      <c r="M75" s="118">
        <f t="shared" si="29"/>
        <v>2257</v>
      </c>
      <c r="N75" s="102">
        <f t="shared" si="29"/>
        <v>2949</v>
      </c>
      <c r="O75" s="118">
        <f t="shared" si="29"/>
        <v>2737.8387000000002</v>
      </c>
      <c r="P75" s="102">
        <f t="shared" si="29"/>
        <v>2937.9389600000004</v>
      </c>
      <c r="Q75" s="118">
        <f>SUM(Q76:Q77)</f>
        <v>1798.76874</v>
      </c>
      <c r="R75" s="102">
        <f t="shared" ref="R75:Y75" si="30">R76+R77</f>
        <v>2345.41165</v>
      </c>
      <c r="S75" s="118">
        <f t="shared" si="30"/>
        <v>1339.9241299999999</v>
      </c>
      <c r="T75" s="118">
        <f t="shared" si="30"/>
        <v>1339.9241299999999</v>
      </c>
      <c r="U75" s="118">
        <f t="shared" si="30"/>
        <v>1594.9758300000003</v>
      </c>
      <c r="V75" s="118">
        <f t="shared" si="30"/>
        <v>1554.3926799999999</v>
      </c>
      <c r="W75" s="118">
        <f t="shared" si="30"/>
        <v>1750.2128399999999</v>
      </c>
      <c r="X75" s="102">
        <f t="shared" si="30"/>
        <v>2305.1752099999999</v>
      </c>
      <c r="Y75" s="102">
        <f t="shared" si="30"/>
        <v>3457.9360299999998</v>
      </c>
      <c r="Z75" s="14"/>
    </row>
    <row r="76" spans="1:26" ht="18.75" thickTop="1" thickBot="1">
      <c r="A76" s="70" t="s">
        <v>43</v>
      </c>
      <c r="B76" s="96" t="s">
        <v>125</v>
      </c>
      <c r="C76" s="105">
        <v>0</v>
      </c>
      <c r="D76" s="105">
        <v>0</v>
      </c>
      <c r="E76" s="105">
        <v>182</v>
      </c>
      <c r="F76" s="105">
        <v>14</v>
      </c>
      <c r="G76" s="105">
        <v>124</v>
      </c>
      <c r="H76" s="105">
        <v>186</v>
      </c>
      <c r="I76" s="105">
        <v>93</v>
      </c>
      <c r="J76" s="105">
        <v>123</v>
      </c>
      <c r="K76" s="105">
        <v>119</v>
      </c>
      <c r="L76" s="105">
        <v>80</v>
      </c>
      <c r="M76" s="105">
        <v>230</v>
      </c>
      <c r="N76" s="105">
        <v>406</v>
      </c>
      <c r="O76" s="105">
        <v>711.48855000000003</v>
      </c>
      <c r="P76" s="105">
        <v>765.32590000000005</v>
      </c>
      <c r="Q76" s="105">
        <v>647.64553000000012</v>
      </c>
      <c r="R76" s="105">
        <v>897.34719999999993</v>
      </c>
      <c r="S76" s="105">
        <v>585.37822999999992</v>
      </c>
      <c r="T76" s="105">
        <v>599.66662999999994</v>
      </c>
      <c r="U76" s="105">
        <v>472.1742200000001</v>
      </c>
      <c r="V76" s="105">
        <v>351.55268000000007</v>
      </c>
      <c r="W76" s="105">
        <v>410.18047000000007</v>
      </c>
      <c r="X76" s="105">
        <v>438.17520999999982</v>
      </c>
      <c r="Y76" s="105">
        <v>727.6108200000001</v>
      </c>
      <c r="Z76" s="14"/>
    </row>
    <row r="77" spans="1:26" ht="18.75" thickTop="1" thickBot="1">
      <c r="A77" s="70" t="s">
        <v>44</v>
      </c>
      <c r="B77" s="96" t="s">
        <v>126</v>
      </c>
      <c r="C77" s="105">
        <v>0</v>
      </c>
      <c r="D77" s="105">
        <v>0</v>
      </c>
      <c r="E77" s="105">
        <v>539</v>
      </c>
      <c r="F77" s="105">
        <v>297</v>
      </c>
      <c r="G77" s="105">
        <v>696</v>
      </c>
      <c r="H77" s="105">
        <v>1169</v>
      </c>
      <c r="I77" s="105">
        <v>1286</v>
      </c>
      <c r="J77" s="105">
        <v>1687</v>
      </c>
      <c r="K77" s="105">
        <v>2828</v>
      </c>
      <c r="L77" s="105">
        <v>2067</v>
      </c>
      <c r="M77" s="105">
        <v>2027</v>
      </c>
      <c r="N77" s="105">
        <v>2543</v>
      </c>
      <c r="O77" s="105">
        <v>2026.35015</v>
      </c>
      <c r="P77" s="105">
        <v>2172.6130600000001</v>
      </c>
      <c r="Q77" s="105">
        <v>1151.1232099999997</v>
      </c>
      <c r="R77" s="105">
        <f>R78+88.35</f>
        <v>1448.0644499999999</v>
      </c>
      <c r="S77" s="105">
        <v>754.54590000000007</v>
      </c>
      <c r="T77" s="105">
        <v>740.25750000000005</v>
      </c>
      <c r="U77" s="105">
        <v>1122.8016100000002</v>
      </c>
      <c r="V77" s="105">
        <v>1202.8399999999999</v>
      </c>
      <c r="W77" s="105">
        <v>1340.0323699999999</v>
      </c>
      <c r="X77" s="105">
        <v>1867</v>
      </c>
      <c r="Y77" s="105">
        <f>1801.66551+Y78</f>
        <v>2730.32521</v>
      </c>
      <c r="Z77" s="14"/>
    </row>
    <row r="78" spans="1:26" ht="18.75" thickTop="1" thickBot="1">
      <c r="A78" s="70" t="s">
        <v>164</v>
      </c>
      <c r="B78" s="96" t="s">
        <v>155</v>
      </c>
      <c r="C78" s="105">
        <v>0</v>
      </c>
      <c r="D78" s="105">
        <v>0</v>
      </c>
      <c r="E78" s="105">
        <v>539</v>
      </c>
      <c r="F78" s="105">
        <v>297</v>
      </c>
      <c r="G78" s="105">
        <v>696</v>
      </c>
      <c r="H78" s="105">
        <v>1169</v>
      </c>
      <c r="I78" s="105">
        <v>1286</v>
      </c>
      <c r="J78" s="105">
        <v>1687</v>
      </c>
      <c r="K78" s="105">
        <v>2828</v>
      </c>
      <c r="L78" s="105">
        <v>2067</v>
      </c>
      <c r="M78" s="105">
        <v>2027</v>
      </c>
      <c r="N78" s="105">
        <v>2543</v>
      </c>
      <c r="O78" s="105">
        <v>2026</v>
      </c>
      <c r="P78" s="105">
        <v>2173</v>
      </c>
      <c r="Q78" s="105">
        <v>1103.1232099999997</v>
      </c>
      <c r="R78" s="105">
        <v>1359.7144499999999</v>
      </c>
      <c r="S78" s="105">
        <v>723.27229999999997</v>
      </c>
      <c r="T78" s="105">
        <v>740.0277000000001</v>
      </c>
      <c r="U78" s="105">
        <v>1121.0530200000003</v>
      </c>
      <c r="V78" s="105">
        <v>1098.05</v>
      </c>
      <c r="W78" s="105">
        <v>1261.86799</v>
      </c>
      <c r="X78" s="105">
        <v>712.86963000000003</v>
      </c>
      <c r="Y78" s="105">
        <v>928.65969999999993</v>
      </c>
      <c r="Z78" s="14"/>
    </row>
    <row r="79" spans="1:26" ht="33" thickTop="1" thickBot="1">
      <c r="A79" s="85" t="s">
        <v>46</v>
      </c>
      <c r="B79" s="95" t="s">
        <v>261</v>
      </c>
      <c r="C79" s="118">
        <v>0</v>
      </c>
      <c r="D79" s="102">
        <v>0</v>
      </c>
      <c r="E79" s="118">
        <v>250</v>
      </c>
      <c r="F79" s="102">
        <v>316</v>
      </c>
      <c r="G79" s="118">
        <v>483</v>
      </c>
      <c r="H79" s="102">
        <v>688</v>
      </c>
      <c r="I79" s="118">
        <v>560</v>
      </c>
      <c r="J79" s="102">
        <v>339</v>
      </c>
      <c r="K79" s="118">
        <v>898</v>
      </c>
      <c r="L79" s="102">
        <v>691</v>
      </c>
      <c r="M79" s="118">
        <v>1357</v>
      </c>
      <c r="N79" s="102">
        <v>1420</v>
      </c>
      <c r="O79" s="118">
        <v>1098.39564</v>
      </c>
      <c r="P79" s="102">
        <v>1114.0236</v>
      </c>
      <c r="Q79" s="118">
        <v>1098.8564500000002</v>
      </c>
      <c r="R79" s="102">
        <v>1485.1968399999996</v>
      </c>
      <c r="S79" s="118">
        <v>883.98356000000024</v>
      </c>
      <c r="T79" s="118">
        <v>932.90645999999936</v>
      </c>
      <c r="U79" s="118">
        <v>899.69685000000015</v>
      </c>
      <c r="V79" s="118">
        <v>1231.4393300000006</v>
      </c>
      <c r="W79" s="118">
        <v>898.78096000000016</v>
      </c>
      <c r="X79" s="102">
        <v>1009.0020100000005</v>
      </c>
      <c r="Y79" s="102">
        <v>2003.3358899999987</v>
      </c>
      <c r="Z79" s="14"/>
    </row>
    <row r="80" spans="1:26" ht="36" customHeight="1" thickTop="1" thickBot="1">
      <c r="A80" s="85" t="s">
        <v>47</v>
      </c>
      <c r="B80" s="95" t="s">
        <v>272</v>
      </c>
      <c r="C80" s="118">
        <v>0</v>
      </c>
      <c r="D80" s="102">
        <v>0</v>
      </c>
      <c r="E80" s="118">
        <v>1546</v>
      </c>
      <c r="F80" s="102">
        <v>305</v>
      </c>
      <c r="G80" s="118">
        <v>1922</v>
      </c>
      <c r="H80" s="102">
        <v>2736</v>
      </c>
      <c r="I80" s="118">
        <v>1694</v>
      </c>
      <c r="J80" s="102">
        <v>1917</v>
      </c>
      <c r="K80" s="118">
        <v>2582</v>
      </c>
      <c r="L80" s="102">
        <v>2218</v>
      </c>
      <c r="M80" s="118">
        <v>3415</v>
      </c>
      <c r="N80" s="102">
        <v>4707</v>
      </c>
      <c r="O80" s="118">
        <v>4816.7279900000003</v>
      </c>
      <c r="P80" s="102">
        <v>5567.5439699999997</v>
      </c>
      <c r="Q80" s="118">
        <v>3340.9239399999997</v>
      </c>
      <c r="R80" s="102">
        <v>3994.4978000000001</v>
      </c>
      <c r="S80" s="118">
        <v>3309.8801499999972</v>
      </c>
      <c r="T80" s="118">
        <v>3787.8908800000013</v>
      </c>
      <c r="U80" s="118">
        <v>4758</v>
      </c>
      <c r="V80" s="118">
        <v>4678.84</v>
      </c>
      <c r="W80" s="118">
        <v>7251.2263800000046</v>
      </c>
      <c r="X80" s="118">
        <v>7769.1661700000031</v>
      </c>
      <c r="Y80" s="118">
        <v>2122.1974499999997</v>
      </c>
      <c r="Z80" s="14"/>
    </row>
    <row r="81" spans="1:26" ht="18.75" thickTop="1" thickBot="1">
      <c r="A81" s="85" t="s">
        <v>48</v>
      </c>
      <c r="B81" s="95" t="s">
        <v>168</v>
      </c>
      <c r="C81" s="118">
        <v>0</v>
      </c>
      <c r="D81" s="102">
        <v>0</v>
      </c>
      <c r="E81" s="118">
        <v>0</v>
      </c>
      <c r="F81" s="102">
        <v>0</v>
      </c>
      <c r="G81" s="118">
        <v>2490</v>
      </c>
      <c r="H81" s="102">
        <v>11409</v>
      </c>
      <c r="I81" s="118">
        <v>15734</v>
      </c>
      <c r="J81" s="102">
        <v>16272</v>
      </c>
      <c r="K81" s="118">
        <v>26706</v>
      </c>
      <c r="L81" s="102">
        <v>25928</v>
      </c>
      <c r="M81" s="118">
        <v>39260</v>
      </c>
      <c r="N81" s="102">
        <v>48733</v>
      </c>
      <c r="O81" s="118">
        <v>43952.117789999997</v>
      </c>
      <c r="P81" s="102">
        <v>20384.59534</v>
      </c>
      <c r="Q81" s="118">
        <v>51549.856930000155</v>
      </c>
      <c r="R81" s="102">
        <v>61721.14087000001</v>
      </c>
      <c r="S81" s="118">
        <v>51879.500290000055</v>
      </c>
      <c r="T81" s="118">
        <v>58744.011199999899</v>
      </c>
      <c r="U81" s="118">
        <v>62491</v>
      </c>
      <c r="V81" s="118">
        <v>52429.23</v>
      </c>
      <c r="W81" s="118">
        <v>55941.089679999975</v>
      </c>
      <c r="X81" s="102">
        <v>46527.866529999992</v>
      </c>
      <c r="Y81" s="102">
        <v>70688.305250000034</v>
      </c>
      <c r="Z81" s="14"/>
    </row>
    <row r="82" spans="1:26" ht="18.75" thickTop="1" thickBot="1">
      <c r="A82" s="85" t="s">
        <v>49</v>
      </c>
      <c r="B82" s="95" t="s">
        <v>169</v>
      </c>
      <c r="C82" s="118">
        <v>0</v>
      </c>
      <c r="D82" s="102">
        <v>0</v>
      </c>
      <c r="E82" s="118">
        <v>0</v>
      </c>
      <c r="F82" s="102">
        <v>0</v>
      </c>
      <c r="G82" s="118">
        <v>35</v>
      </c>
      <c r="H82" s="102">
        <v>2301</v>
      </c>
      <c r="I82" s="118">
        <v>2251</v>
      </c>
      <c r="J82" s="102">
        <v>2423</v>
      </c>
      <c r="K82" s="118">
        <v>5577</v>
      </c>
      <c r="L82" s="102">
        <v>1749</v>
      </c>
      <c r="M82" s="118">
        <v>3429</v>
      </c>
      <c r="N82" s="102">
        <v>13221</v>
      </c>
      <c r="O82" s="118">
        <v>10886.01597</v>
      </c>
      <c r="P82" s="102">
        <v>17154.287540000001</v>
      </c>
      <c r="Q82" s="118">
        <v>26860.933050000025</v>
      </c>
      <c r="R82" s="102">
        <v>14170.859329999994</v>
      </c>
      <c r="S82" s="118">
        <v>19509.870680000018</v>
      </c>
      <c r="T82" s="118">
        <v>14784.241329999995</v>
      </c>
      <c r="U82" s="118">
        <v>11813</v>
      </c>
      <c r="V82" s="118">
        <v>14684.62</v>
      </c>
      <c r="W82" s="118">
        <v>27388.00968000001</v>
      </c>
      <c r="X82" s="102">
        <v>382.86450000000002</v>
      </c>
      <c r="Y82" s="102">
        <v>492.05455999999998</v>
      </c>
      <c r="Z82" s="14"/>
    </row>
    <row r="83" spans="1:26" ht="18.75" thickTop="1" thickBot="1">
      <c r="A83" s="80">
        <v>12</v>
      </c>
      <c r="B83" s="94" t="s">
        <v>170</v>
      </c>
      <c r="C83" s="101">
        <f t="shared" ref="C83:W83" si="31">+C84+C85+C86+C87+C88+C89+C90</f>
        <v>0</v>
      </c>
      <c r="D83" s="101">
        <f t="shared" si="31"/>
        <v>0</v>
      </c>
      <c r="E83" s="101">
        <f t="shared" si="31"/>
        <v>29181</v>
      </c>
      <c r="F83" s="101">
        <f t="shared" si="31"/>
        <v>29454</v>
      </c>
      <c r="G83" s="101">
        <f t="shared" si="31"/>
        <v>34505</v>
      </c>
      <c r="H83" s="101">
        <f t="shared" si="31"/>
        <v>48207</v>
      </c>
      <c r="I83" s="101">
        <f t="shared" si="31"/>
        <v>45368</v>
      </c>
      <c r="J83" s="101">
        <f t="shared" si="31"/>
        <v>51954</v>
      </c>
      <c r="K83" s="101">
        <f t="shared" si="31"/>
        <v>63498</v>
      </c>
      <c r="L83" s="101">
        <f t="shared" si="31"/>
        <v>60110</v>
      </c>
      <c r="M83" s="101">
        <f t="shared" si="31"/>
        <v>73662</v>
      </c>
      <c r="N83" s="101">
        <f t="shared" si="31"/>
        <v>98278</v>
      </c>
      <c r="O83" s="101">
        <f t="shared" si="31"/>
        <v>68047.328470000008</v>
      </c>
      <c r="P83" s="101">
        <f t="shared" si="31"/>
        <v>75365.000039999999</v>
      </c>
      <c r="Q83" s="101">
        <f t="shared" si="31"/>
        <v>81067.629189999978</v>
      </c>
      <c r="R83" s="101">
        <f t="shared" si="31"/>
        <v>80997.716879999978</v>
      </c>
      <c r="S83" s="101">
        <f t="shared" si="31"/>
        <v>83475.231879999745</v>
      </c>
      <c r="T83" s="101">
        <f t="shared" si="31"/>
        <v>87502.074139999968</v>
      </c>
      <c r="U83" s="101">
        <f t="shared" si="31"/>
        <v>92492.666089999999</v>
      </c>
      <c r="V83" s="101">
        <f>+V84+V85+V86+V87+V88+V89+V90</f>
        <v>86752.995090000011</v>
      </c>
      <c r="W83" s="101">
        <f t="shared" si="31"/>
        <v>81822.720709999863</v>
      </c>
      <c r="X83" s="101">
        <f>+X84+X85+X86+X87+X88+X89+X90</f>
        <v>90558.309799999959</v>
      </c>
      <c r="Y83" s="101">
        <f>+Y84+Y85+Y86+Y87+Y88+Y89+Y90</f>
        <v>102585.29192</v>
      </c>
      <c r="Z83" s="14"/>
    </row>
    <row r="84" spans="1:26" ht="18.75" thickTop="1" thickBot="1">
      <c r="A84" s="85">
        <v>12.1</v>
      </c>
      <c r="B84" s="95" t="s">
        <v>171</v>
      </c>
      <c r="C84" s="118">
        <v>0</v>
      </c>
      <c r="D84" s="102">
        <v>0</v>
      </c>
      <c r="E84" s="118">
        <v>16</v>
      </c>
      <c r="F84" s="102">
        <v>15</v>
      </c>
      <c r="G84" s="118">
        <v>35</v>
      </c>
      <c r="H84" s="102">
        <v>66</v>
      </c>
      <c r="I84" s="118">
        <v>123</v>
      </c>
      <c r="J84" s="102">
        <v>197</v>
      </c>
      <c r="K84" s="118">
        <v>285</v>
      </c>
      <c r="L84" s="102">
        <v>182</v>
      </c>
      <c r="M84" s="118">
        <v>107</v>
      </c>
      <c r="N84" s="102">
        <v>181</v>
      </c>
      <c r="O84" s="118">
        <v>279.29019</v>
      </c>
      <c r="P84" s="102">
        <v>141.53385</v>
      </c>
      <c r="Q84" s="118">
        <v>232.37313999999998</v>
      </c>
      <c r="R84" s="102">
        <v>243.81432999999996</v>
      </c>
      <c r="S84" s="118">
        <v>212.08767000000003</v>
      </c>
      <c r="T84" s="118">
        <v>140.86669000000001</v>
      </c>
      <c r="U84" s="118">
        <v>158.42117000000002</v>
      </c>
      <c r="V84" s="118">
        <v>293.84398999999996</v>
      </c>
      <c r="W84" s="118">
        <v>171.17800999999997</v>
      </c>
      <c r="X84" s="102">
        <v>229.44753999999998</v>
      </c>
      <c r="Y84" s="102">
        <v>226.67483000000001</v>
      </c>
      <c r="Z84" s="14"/>
    </row>
    <row r="85" spans="1:26" ht="37.5" customHeight="1" thickTop="1" thickBot="1">
      <c r="A85" s="85">
        <v>12.2</v>
      </c>
      <c r="B85" s="95" t="s">
        <v>313</v>
      </c>
      <c r="C85" s="118">
        <v>0</v>
      </c>
      <c r="D85" s="102">
        <v>0</v>
      </c>
      <c r="E85" s="118">
        <v>1646</v>
      </c>
      <c r="F85" s="102">
        <v>2386</v>
      </c>
      <c r="G85" s="118">
        <v>1197</v>
      </c>
      <c r="H85" s="102">
        <v>12026</v>
      </c>
      <c r="I85" s="118">
        <v>3961</v>
      </c>
      <c r="J85" s="102">
        <v>4109</v>
      </c>
      <c r="K85" s="118">
        <v>5008</v>
      </c>
      <c r="L85" s="102">
        <v>4984</v>
      </c>
      <c r="M85" s="118">
        <v>6085</v>
      </c>
      <c r="N85" s="102">
        <v>6683</v>
      </c>
      <c r="O85" s="118">
        <v>6845.5850700000001</v>
      </c>
      <c r="P85" s="102">
        <v>7259.5187400000004</v>
      </c>
      <c r="Q85" s="118">
        <v>3627.9493199999979</v>
      </c>
      <c r="R85" s="102">
        <v>7585.038929999997</v>
      </c>
      <c r="S85" s="118">
        <v>3037.1780899999999</v>
      </c>
      <c r="T85" s="118">
        <v>4029.1435799999963</v>
      </c>
      <c r="U85" s="118">
        <v>5207.8537800000022</v>
      </c>
      <c r="V85" s="118">
        <v>4777.87</v>
      </c>
      <c r="W85" s="118">
        <v>7154.2291700000023</v>
      </c>
      <c r="X85" s="102">
        <v>8288.2153199999884</v>
      </c>
      <c r="Y85" s="102">
        <v>10997.959529999996</v>
      </c>
      <c r="Z85" s="14"/>
    </row>
    <row r="86" spans="1:26" ht="18.75" thickTop="1" thickBot="1">
      <c r="A86" s="85">
        <v>12.3</v>
      </c>
      <c r="B86" s="95" t="s">
        <v>274</v>
      </c>
      <c r="C86" s="118">
        <v>0</v>
      </c>
      <c r="D86" s="102">
        <v>0</v>
      </c>
      <c r="E86" s="118">
        <v>383</v>
      </c>
      <c r="F86" s="102">
        <v>395</v>
      </c>
      <c r="G86" s="118">
        <v>505</v>
      </c>
      <c r="H86" s="102">
        <v>257</v>
      </c>
      <c r="I86" s="118">
        <v>420</v>
      </c>
      <c r="J86" s="102">
        <v>411</v>
      </c>
      <c r="K86" s="118">
        <v>521</v>
      </c>
      <c r="L86" s="102">
        <v>578</v>
      </c>
      <c r="M86" s="118">
        <v>743</v>
      </c>
      <c r="N86" s="102">
        <v>769</v>
      </c>
      <c r="O86" s="118">
        <v>456.40958999999998</v>
      </c>
      <c r="P86" s="102">
        <v>389.86259999999999</v>
      </c>
      <c r="Q86" s="118">
        <v>302.93279999999993</v>
      </c>
      <c r="R86" s="102">
        <v>219.15244999999999</v>
      </c>
      <c r="S86" s="118">
        <v>132.98805999999999</v>
      </c>
      <c r="T86" s="118">
        <v>194.74059</v>
      </c>
      <c r="U86" s="118">
        <v>149.99241999999998</v>
      </c>
      <c r="V86" s="118">
        <v>183.69755999999998</v>
      </c>
      <c r="W86" s="118">
        <v>107.18692999999999</v>
      </c>
      <c r="X86" s="102">
        <v>194.81579000000013</v>
      </c>
      <c r="Y86" s="102">
        <v>219.52477000000002</v>
      </c>
      <c r="Z86" s="14"/>
    </row>
    <row r="87" spans="1:26" ht="18.75" thickTop="1" thickBot="1">
      <c r="A87" s="85">
        <v>12.4</v>
      </c>
      <c r="B87" s="95" t="s">
        <v>172</v>
      </c>
      <c r="C87" s="118">
        <v>0</v>
      </c>
      <c r="D87" s="102">
        <v>0</v>
      </c>
      <c r="E87" s="118">
        <v>14237</v>
      </c>
      <c r="F87" s="102">
        <v>10355</v>
      </c>
      <c r="G87" s="118">
        <v>10684</v>
      </c>
      <c r="H87" s="102">
        <v>11730</v>
      </c>
      <c r="I87" s="118">
        <v>13277</v>
      </c>
      <c r="J87" s="102">
        <v>14041</v>
      </c>
      <c r="K87" s="118">
        <v>19066</v>
      </c>
      <c r="L87" s="102">
        <v>18719</v>
      </c>
      <c r="M87" s="118">
        <v>22916</v>
      </c>
      <c r="N87" s="102">
        <v>30960</v>
      </c>
      <c r="O87" s="118">
        <v>8936.6555200000003</v>
      </c>
      <c r="P87" s="102">
        <v>11644.756380000001</v>
      </c>
      <c r="Q87" s="118">
        <v>12560.058739999991</v>
      </c>
      <c r="R87" s="102">
        <v>9997.0366399999893</v>
      </c>
      <c r="S87" s="118">
        <v>10980.553640000004</v>
      </c>
      <c r="T87" s="118">
        <v>13764.133170000012</v>
      </c>
      <c r="U87" s="118">
        <v>14632.798040000022</v>
      </c>
      <c r="V87" s="118">
        <v>15027.32</v>
      </c>
      <c r="W87" s="118">
        <v>13571.400589999992</v>
      </c>
      <c r="X87" s="102">
        <v>16572.511090000029</v>
      </c>
      <c r="Y87" s="102">
        <v>23685.013880000013</v>
      </c>
      <c r="Z87" s="14"/>
    </row>
    <row r="88" spans="1:26" ht="18.75" thickTop="1" thickBot="1">
      <c r="A88" s="85">
        <v>12.5</v>
      </c>
      <c r="B88" s="95" t="s">
        <v>314</v>
      </c>
      <c r="C88" s="118">
        <v>0</v>
      </c>
      <c r="D88" s="102">
        <v>0</v>
      </c>
      <c r="E88" s="118">
        <v>6273</v>
      </c>
      <c r="F88" s="102">
        <v>10536</v>
      </c>
      <c r="G88" s="118">
        <v>12132</v>
      </c>
      <c r="H88" s="102">
        <v>12955</v>
      </c>
      <c r="I88" s="118">
        <v>15621</v>
      </c>
      <c r="J88" s="102">
        <v>18165</v>
      </c>
      <c r="K88" s="118">
        <v>20924</v>
      </c>
      <c r="L88" s="102">
        <v>19537</v>
      </c>
      <c r="M88" s="118">
        <v>27928</v>
      </c>
      <c r="N88" s="102">
        <v>36309</v>
      </c>
      <c r="O88" s="118">
        <v>28606.000469999999</v>
      </c>
      <c r="P88" s="102">
        <v>31454.577280000001</v>
      </c>
      <c r="Q88" s="118">
        <v>35799.225439999995</v>
      </c>
      <c r="R88" s="102">
        <v>33506.37743</v>
      </c>
      <c r="S88" s="118">
        <v>30467.020869999928</v>
      </c>
      <c r="T88" s="118">
        <v>33030.472939999963</v>
      </c>
      <c r="U88" s="118">
        <v>33621.038579999971</v>
      </c>
      <c r="V88" s="118">
        <v>29712.81354000001</v>
      </c>
      <c r="W88" s="118">
        <v>30460.98702</v>
      </c>
      <c r="X88" s="102">
        <v>41809.522839999932</v>
      </c>
      <c r="Y88" s="102">
        <v>36536.148840000089</v>
      </c>
      <c r="Z88" s="14"/>
    </row>
    <row r="89" spans="1:26" ht="33" thickTop="1" thickBot="1">
      <c r="A89" s="85">
        <v>12.6</v>
      </c>
      <c r="B89" s="95" t="s">
        <v>276</v>
      </c>
      <c r="C89" s="118">
        <v>0</v>
      </c>
      <c r="D89" s="102">
        <v>0</v>
      </c>
      <c r="E89" s="118">
        <v>6626</v>
      </c>
      <c r="F89" s="102">
        <v>5767</v>
      </c>
      <c r="G89" s="118">
        <v>6839</v>
      </c>
      <c r="H89" s="102">
        <v>6789</v>
      </c>
      <c r="I89" s="118">
        <v>6822</v>
      </c>
      <c r="J89" s="102">
        <v>7676</v>
      </c>
      <c r="K89" s="118">
        <v>8893</v>
      </c>
      <c r="L89" s="102">
        <v>8028</v>
      </c>
      <c r="M89" s="118">
        <v>4149</v>
      </c>
      <c r="N89" s="102">
        <v>10889</v>
      </c>
      <c r="O89" s="118">
        <v>11337.79321</v>
      </c>
      <c r="P89" s="102">
        <v>11231.453310000001</v>
      </c>
      <c r="Q89" s="118">
        <v>15077.659439999999</v>
      </c>
      <c r="R89" s="102">
        <v>14994.117850000001</v>
      </c>
      <c r="S89" s="102">
        <v>12055.542900000017</v>
      </c>
      <c r="T89" s="102">
        <v>14652</v>
      </c>
      <c r="U89" s="102">
        <v>14234</v>
      </c>
      <c r="V89" s="102">
        <v>14295.99</v>
      </c>
      <c r="W89" s="102">
        <v>13843.598089999967</v>
      </c>
      <c r="X89" s="102">
        <v>3849.13384</v>
      </c>
      <c r="Y89" s="102">
        <v>3569.872720000003</v>
      </c>
      <c r="Z89" s="14"/>
    </row>
    <row r="90" spans="1:26" ht="33" thickTop="1" thickBot="1">
      <c r="A90" s="85">
        <v>12.7</v>
      </c>
      <c r="B90" s="95" t="s">
        <v>174</v>
      </c>
      <c r="C90" s="118">
        <v>0</v>
      </c>
      <c r="D90" s="102">
        <v>0</v>
      </c>
      <c r="E90" s="118">
        <v>0</v>
      </c>
      <c r="F90" s="102">
        <v>0</v>
      </c>
      <c r="G90" s="118">
        <v>3113</v>
      </c>
      <c r="H90" s="102">
        <v>4384</v>
      </c>
      <c r="I90" s="118">
        <v>5144</v>
      </c>
      <c r="J90" s="102">
        <v>7355</v>
      </c>
      <c r="K90" s="118">
        <v>8801</v>
      </c>
      <c r="L90" s="102">
        <v>8082</v>
      </c>
      <c r="M90" s="118">
        <v>11734</v>
      </c>
      <c r="N90" s="102">
        <v>12487</v>
      </c>
      <c r="O90" s="118">
        <v>11585.594420000001</v>
      </c>
      <c r="P90" s="102">
        <v>13243.29788</v>
      </c>
      <c r="Q90" s="118">
        <v>13467.43031</v>
      </c>
      <c r="R90" s="102">
        <v>14452.179249999999</v>
      </c>
      <c r="S90" s="118">
        <v>26589.860649999791</v>
      </c>
      <c r="T90" s="118">
        <v>21690.71717</v>
      </c>
      <c r="U90" s="118">
        <v>24488.562099999999</v>
      </c>
      <c r="V90" s="118">
        <v>22461.46</v>
      </c>
      <c r="W90" s="118">
        <f>16483.9408999999+30.2</f>
        <v>16514.1408999999</v>
      </c>
      <c r="X90" s="102">
        <v>19614.66338000002</v>
      </c>
      <c r="Y90" s="102">
        <v>27350.097349999913</v>
      </c>
      <c r="Z90" s="14"/>
    </row>
    <row r="91" spans="1:26" ht="20.25" thickTop="1" thickBot="1">
      <c r="A91" s="106"/>
      <c r="B91" s="107" t="s">
        <v>52</v>
      </c>
      <c r="C91" s="108">
        <f t="shared" ref="C91:T91" si="32">+C83+C74</f>
        <v>0</v>
      </c>
      <c r="D91" s="108">
        <f t="shared" si="32"/>
        <v>0</v>
      </c>
      <c r="E91" s="108">
        <f t="shared" si="32"/>
        <v>31698</v>
      </c>
      <c r="F91" s="108">
        <f t="shared" si="32"/>
        <v>30386</v>
      </c>
      <c r="G91" s="108">
        <f t="shared" si="32"/>
        <v>40255</v>
      </c>
      <c r="H91" s="108">
        <f t="shared" si="32"/>
        <v>66696</v>
      </c>
      <c r="I91" s="108">
        <f t="shared" si="32"/>
        <v>66986</v>
      </c>
      <c r="J91" s="108">
        <f t="shared" si="32"/>
        <v>74715</v>
      </c>
      <c r="K91" s="108">
        <f t="shared" si="32"/>
        <v>102208</v>
      </c>
      <c r="L91" s="108">
        <f t="shared" si="32"/>
        <v>92843</v>
      </c>
      <c r="M91" s="108">
        <f t="shared" si="32"/>
        <v>123380</v>
      </c>
      <c r="N91" s="108">
        <f t="shared" si="32"/>
        <v>169308</v>
      </c>
      <c r="O91" s="108">
        <f t="shared" si="32"/>
        <v>131538.42456000001</v>
      </c>
      <c r="P91" s="108">
        <f t="shared" si="32"/>
        <v>122523.38945</v>
      </c>
      <c r="Q91" s="108">
        <f t="shared" si="32"/>
        <v>165716.96830000015</v>
      </c>
      <c r="R91" s="108">
        <f t="shared" si="32"/>
        <v>164714.82337</v>
      </c>
      <c r="S91" s="108">
        <f t="shared" si="32"/>
        <v>160398.3906899998</v>
      </c>
      <c r="T91" s="108">
        <f t="shared" si="32"/>
        <v>167091.04813999985</v>
      </c>
      <c r="U91" s="108">
        <f>+U83+U74</f>
        <v>174049.33877</v>
      </c>
      <c r="V91" s="108">
        <f>+V83+V74</f>
        <v>161331.5171</v>
      </c>
      <c r="W91" s="108">
        <f>+W83+W74</f>
        <v>175052.04024999985</v>
      </c>
      <c r="X91" s="108">
        <f>+X83+X74</f>
        <v>148552.38421999995</v>
      </c>
      <c r="Y91" s="108">
        <f>+Y83+Y74</f>
        <v>181349.12110000005</v>
      </c>
    </row>
    <row r="92" spans="1:26" ht="13.5" thickTop="1">
      <c r="R92" s="14"/>
      <c r="S92" s="14"/>
      <c r="T92" s="134"/>
      <c r="U92" s="208"/>
      <c r="V92" s="208"/>
      <c r="W92" s="14"/>
      <c r="X92" s="14"/>
      <c r="Y92" s="14"/>
    </row>
    <row r="93" spans="1:26">
      <c r="V93" s="177"/>
      <c r="W93" s="177"/>
    </row>
    <row r="94" spans="1:26" ht="19.5" thickBot="1">
      <c r="A94" s="109"/>
      <c r="B94" s="109" t="s">
        <v>51</v>
      </c>
      <c r="C94" s="108">
        <f t="shared" ref="C94:T94" si="33">+C91+C68</f>
        <v>24200</v>
      </c>
      <c r="D94" s="108">
        <f t="shared" si="33"/>
        <v>52867</v>
      </c>
      <c r="E94" s="108">
        <f t="shared" si="33"/>
        <v>77559</v>
      </c>
      <c r="F94" s="108">
        <f t="shared" si="33"/>
        <v>66009</v>
      </c>
      <c r="G94" s="108">
        <f t="shared" si="33"/>
        <v>76077</v>
      </c>
      <c r="H94" s="108">
        <f t="shared" si="33"/>
        <v>137557</v>
      </c>
      <c r="I94" s="108">
        <f t="shared" si="33"/>
        <v>153350</v>
      </c>
      <c r="J94" s="108">
        <f t="shared" si="33"/>
        <v>176642</v>
      </c>
      <c r="K94" s="108">
        <f t="shared" si="33"/>
        <v>209366</v>
      </c>
      <c r="L94" s="108">
        <f t="shared" si="33"/>
        <v>195914</v>
      </c>
      <c r="M94" s="108">
        <f t="shared" si="33"/>
        <v>239727.15399999998</v>
      </c>
      <c r="N94" s="108">
        <f t="shared" si="33"/>
        <v>309541.06799999997</v>
      </c>
      <c r="O94" s="108">
        <f t="shared" si="33"/>
        <v>242778.50153000001</v>
      </c>
      <c r="P94" s="108">
        <f t="shared" si="33"/>
        <v>238311.36942</v>
      </c>
      <c r="Q94" s="108">
        <f t="shared" si="33"/>
        <v>281162.4638300002</v>
      </c>
      <c r="R94" s="108">
        <f t="shared" si="33"/>
        <v>265180.30260000005</v>
      </c>
      <c r="S94" s="108">
        <f t="shared" si="33"/>
        <v>252240.47257999977</v>
      </c>
      <c r="T94" s="108">
        <f t="shared" si="33"/>
        <v>275664.3265999998</v>
      </c>
      <c r="U94" s="108">
        <f>+U91+U68</f>
        <v>284322.49254999997</v>
      </c>
      <c r="V94" s="108">
        <f>+V91+V68</f>
        <v>264473.33674</v>
      </c>
      <c r="W94" s="108">
        <f>+W91+W68</f>
        <v>269601.31483999989</v>
      </c>
      <c r="X94" s="108">
        <f>+X91+X68</f>
        <v>304916.79145000002</v>
      </c>
      <c r="Y94" s="108">
        <f>+Y91+Y68</f>
        <v>318930.11718000006</v>
      </c>
    </row>
    <row r="95" spans="1:26" ht="13.5" thickTop="1"/>
    <row r="96" spans="1:26" ht="15.75">
      <c r="B96" s="99" t="s">
        <v>181</v>
      </c>
    </row>
  </sheetData>
  <mergeCells count="4">
    <mergeCell ref="C5:K5"/>
    <mergeCell ref="E7:I7"/>
    <mergeCell ref="A10:Y10"/>
    <mergeCell ref="A72:Y72"/>
  </mergeCells>
  <pageMargins left="0.7" right="0.7" top="0.75" bottom="0.75" header="0.3" footer="0.3"/>
  <pageSetup paperSize="9" orientation="portrait" r:id="rId1"/>
  <ignoredErrors>
    <ignoredError sqref="D75 C62:T62 C56:R56 L45:X45 C38:K38 C32:W32 T14 C14:S14 U14:W14 V28:W28 U62:X62 X14:Y14" formulaRange="1"/>
    <ignoredError sqref="S75:T75 S55:T55 C55:R55 U55 L42:W42 C27:U27 V27:W27 D19:N19 L12:R12 V75:W75 W90 U12:W12 S12:T12 Y12" unlockedFormula="1"/>
    <ignoredError sqref="U75 E75:R75 C75 L51:S51 C28:U28 C23:W23 O19:W19 X12" formulaRange="1" unlockedFormula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X32"/>
  <sheetViews>
    <sheetView showGridLines="0" zoomScale="87" zoomScaleNormal="87" workbookViewId="0">
      <pane xSplit="1" topLeftCell="E1" activePane="topRight" state="frozen"/>
      <selection pane="topRight" activeCell="A25" sqref="A25"/>
    </sheetView>
  </sheetViews>
  <sheetFormatPr baseColWidth="10" defaultRowHeight="12.75"/>
  <cols>
    <col min="1" max="1" width="62.85546875" bestFit="1" customWidth="1"/>
    <col min="2" max="2" width="10" customWidth="1"/>
    <col min="3" max="3" width="7.7109375" customWidth="1"/>
    <col min="4" max="4" width="8.7109375" customWidth="1"/>
    <col min="5" max="5" width="10.140625" customWidth="1"/>
    <col min="6" max="6" width="11.5703125" customWidth="1"/>
    <col min="7" max="7" width="11.7109375" customWidth="1"/>
    <col min="8" max="8" width="10.28515625" customWidth="1"/>
    <col min="9" max="9" width="11" customWidth="1"/>
    <col min="10" max="10" width="14.28515625" customWidth="1"/>
    <col min="11" max="11" width="13.28515625" customWidth="1"/>
    <col min="12" max="13" width="12.7109375" customWidth="1"/>
    <col min="14" max="14" width="11.28515625" customWidth="1"/>
    <col min="15" max="16" width="12" customWidth="1"/>
    <col min="17" max="17" width="13.42578125" customWidth="1"/>
    <col min="18" max="19" width="13.28515625" customWidth="1"/>
    <col min="23" max="23" width="13.85546875" customWidth="1"/>
  </cols>
  <sheetData>
    <row r="1" spans="1:24" ht="18" thickBot="1">
      <c r="A1" s="40"/>
      <c r="B1" s="78">
        <v>2000</v>
      </c>
      <c r="C1" s="78">
        <v>2001</v>
      </c>
      <c r="D1" s="78">
        <v>2002</v>
      </c>
      <c r="E1" s="78">
        <v>2003</v>
      </c>
      <c r="F1" s="78">
        <v>2004</v>
      </c>
      <c r="G1" s="78">
        <v>2005</v>
      </c>
      <c r="H1" s="78">
        <v>2006</v>
      </c>
      <c r="I1" s="78">
        <v>2007</v>
      </c>
      <c r="J1" s="78">
        <v>2008</v>
      </c>
      <c r="K1" s="78">
        <v>2009</v>
      </c>
      <c r="L1" s="78">
        <v>2010</v>
      </c>
      <c r="M1" s="78">
        <v>2011</v>
      </c>
      <c r="N1" s="78">
        <v>2012</v>
      </c>
      <c r="O1" s="78">
        <v>2013</v>
      </c>
      <c r="P1" s="78">
        <v>2014</v>
      </c>
      <c r="Q1" s="78">
        <v>2015</v>
      </c>
      <c r="R1" s="78">
        <v>2016</v>
      </c>
      <c r="S1" s="78">
        <v>2017</v>
      </c>
      <c r="T1" s="78">
        <v>2018</v>
      </c>
      <c r="U1" s="78">
        <v>2019</v>
      </c>
      <c r="V1" s="78">
        <v>2020</v>
      </c>
      <c r="W1" s="78">
        <v>2021</v>
      </c>
      <c r="X1" s="78">
        <v>2022</v>
      </c>
    </row>
    <row r="2" spans="1:24" ht="19.5" thickTop="1" thickBot="1">
      <c r="A2" s="112" t="s">
        <v>328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4" ht="18.75" thickTop="1" thickBot="1">
      <c r="A3" s="115" t="s">
        <v>84</v>
      </c>
      <c r="B3" s="116">
        <v>426</v>
      </c>
      <c r="C3" s="178">
        <v>667</v>
      </c>
      <c r="D3" s="178">
        <v>667</v>
      </c>
      <c r="E3" s="178">
        <v>10865</v>
      </c>
      <c r="F3" s="178">
        <v>32694</v>
      </c>
      <c r="G3" s="178">
        <v>62286</v>
      </c>
      <c r="H3" s="178">
        <v>69015</v>
      </c>
      <c r="I3" s="178">
        <v>65394</v>
      </c>
      <c r="J3" s="178">
        <v>165848</v>
      </c>
      <c r="K3" s="178">
        <v>79696</v>
      </c>
      <c r="L3" s="178">
        <v>130234</v>
      </c>
      <c r="M3" s="182">
        <v>161328.58631999997</v>
      </c>
      <c r="N3" s="182">
        <v>68511.094129999983</v>
      </c>
      <c r="O3" s="182">
        <v>79055.850540000014</v>
      </c>
      <c r="P3" s="180">
        <v>64804.723489999997</v>
      </c>
      <c r="Q3" s="180">
        <v>56515.903880000005</v>
      </c>
      <c r="R3" s="180">
        <v>82012.199090000024</v>
      </c>
      <c r="S3" s="180">
        <v>62623.106430000014</v>
      </c>
      <c r="T3" s="180">
        <v>97752.759609999994</v>
      </c>
      <c r="U3" s="180">
        <v>102155.20870000002</v>
      </c>
      <c r="V3" s="181">
        <v>20911.383880000001</v>
      </c>
      <c r="W3" s="181">
        <v>73947.345880000008</v>
      </c>
      <c r="X3" s="181">
        <v>112950.73021999997</v>
      </c>
    </row>
    <row r="4" spans="1:24" ht="18.75" thickTop="1" thickBot="1">
      <c r="A4" s="115" t="s">
        <v>343</v>
      </c>
      <c r="B4" s="116">
        <v>17</v>
      </c>
      <c r="C4" s="178">
        <v>25</v>
      </c>
      <c r="D4" s="178">
        <v>12</v>
      </c>
      <c r="E4" s="178">
        <v>262</v>
      </c>
      <c r="F4" s="178">
        <v>836</v>
      </c>
      <c r="G4" s="178">
        <v>1298</v>
      </c>
      <c r="H4" s="178">
        <v>1383</v>
      </c>
      <c r="I4" s="178">
        <v>1280</v>
      </c>
      <c r="J4" s="178">
        <v>2283</v>
      </c>
      <c r="K4" s="178">
        <v>1146</v>
      </c>
      <c r="L4" s="178">
        <v>2274</v>
      </c>
      <c r="M4" s="182">
        <v>1565.73575478</v>
      </c>
      <c r="N4" s="182">
        <v>624.15444820000005</v>
      </c>
      <c r="O4" s="182">
        <v>738.55825003999996</v>
      </c>
      <c r="P4" s="180">
        <v>665.08235000000002</v>
      </c>
      <c r="Q4" s="180">
        <v>537.12199299999997</v>
      </c>
      <c r="R4" s="180">
        <v>798.35564470000008</v>
      </c>
      <c r="S4" s="180">
        <v>602.7269399999999</v>
      </c>
      <c r="T4" s="180">
        <v>976.77515476999997</v>
      </c>
      <c r="U4" s="180">
        <v>943.54625650000003</v>
      </c>
      <c r="V4" s="180">
        <v>184.35901999999999</v>
      </c>
      <c r="W4" s="180">
        <v>773.3388576000001</v>
      </c>
    </row>
    <row r="5" spans="1:24" ht="18.75" thickTop="1" thickBot="1">
      <c r="A5" s="113" t="s">
        <v>87</v>
      </c>
      <c r="B5" s="114">
        <f t="shared" ref="B5:X5" si="0">B3/B4</f>
        <v>25.058823529411764</v>
      </c>
      <c r="C5" s="179">
        <f t="shared" si="0"/>
        <v>26.68</v>
      </c>
      <c r="D5" s="179">
        <f t="shared" si="0"/>
        <v>55.583333333333336</v>
      </c>
      <c r="E5" s="179">
        <f t="shared" si="0"/>
        <v>41.469465648854964</v>
      </c>
      <c r="F5" s="179">
        <f t="shared" si="0"/>
        <v>39.107655502392348</v>
      </c>
      <c r="G5" s="179">
        <f t="shared" si="0"/>
        <v>47.986132511556242</v>
      </c>
      <c r="H5" s="179">
        <f t="shared" si="0"/>
        <v>49.902386117136658</v>
      </c>
      <c r="I5" s="179">
        <f t="shared" si="0"/>
        <v>51.089062499999997</v>
      </c>
      <c r="J5" s="179">
        <f t="shared" si="0"/>
        <v>72.644765659220326</v>
      </c>
      <c r="K5" s="179">
        <f t="shared" si="0"/>
        <v>69.542757417102962</v>
      </c>
      <c r="L5" s="179">
        <f t="shared" si="0"/>
        <v>57.270888302550574</v>
      </c>
      <c r="M5" s="182">
        <f t="shared" si="0"/>
        <v>103.03691783717879</v>
      </c>
      <c r="N5" s="182">
        <f t="shared" si="0"/>
        <v>109.76625149044315</v>
      </c>
      <c r="O5" s="182">
        <f t="shared" si="0"/>
        <v>107.0407791609103</v>
      </c>
      <c r="P5" s="180">
        <f t="shared" si="0"/>
        <v>97.438645740636474</v>
      </c>
      <c r="Q5" s="180">
        <f t="shared" si="0"/>
        <v>105.21986553620792</v>
      </c>
      <c r="R5" s="180">
        <f t="shared" si="0"/>
        <v>102.72639723217331</v>
      </c>
      <c r="S5" s="180">
        <f t="shared" si="0"/>
        <v>103.89963061880066</v>
      </c>
      <c r="T5" s="180">
        <f t="shared" si="0"/>
        <v>100.07703321755528</v>
      </c>
      <c r="U5" s="180">
        <f t="shared" si="0"/>
        <v>108.26730326813608</v>
      </c>
      <c r="V5" s="180">
        <f t="shared" si="0"/>
        <v>113.42750617789139</v>
      </c>
      <c r="W5" s="180">
        <f t="shared" si="0"/>
        <v>95.620884885430584</v>
      </c>
      <c r="X5" s="180" t="e">
        <f t="shared" si="0"/>
        <v>#DIV/0!</v>
      </c>
    </row>
    <row r="6" spans="1:24" ht="13.5" thickTop="1">
      <c r="A6" s="50"/>
      <c r="B6" s="49"/>
      <c r="C6" s="49"/>
      <c r="D6" s="49"/>
      <c r="E6" s="49"/>
      <c r="F6" s="48"/>
      <c r="G6" s="48"/>
      <c r="H6" s="49"/>
      <c r="I6" s="48"/>
      <c r="J6" s="48"/>
      <c r="K6" s="48"/>
      <c r="L6" s="40"/>
      <c r="M6" s="48"/>
      <c r="R6" s="40"/>
      <c r="S6" s="40"/>
    </row>
    <row r="7" spans="1:24" ht="18.75" thickBot="1">
      <c r="A7" s="112" t="s">
        <v>329</v>
      </c>
      <c r="B7" s="46"/>
      <c r="C7" s="47"/>
      <c r="D7" s="46"/>
      <c r="E7" s="46"/>
      <c r="F7" s="46"/>
      <c r="G7" s="46"/>
      <c r="H7" s="46"/>
      <c r="I7" s="46"/>
      <c r="J7" s="46"/>
      <c r="K7" s="40"/>
      <c r="L7" s="40"/>
      <c r="M7" s="41"/>
      <c r="N7" s="41"/>
      <c r="O7" s="41"/>
      <c r="P7" s="41"/>
      <c r="Q7" s="41"/>
      <c r="R7" s="41"/>
      <c r="S7" s="41"/>
    </row>
    <row r="8" spans="1:24" ht="18.75" thickTop="1" thickBot="1">
      <c r="A8" s="115" t="s">
        <v>89</v>
      </c>
      <c r="B8" s="116">
        <v>5565</v>
      </c>
      <c r="C8" s="116">
        <v>5173</v>
      </c>
      <c r="D8" s="116">
        <v>1031</v>
      </c>
      <c r="E8" s="116">
        <v>6688</v>
      </c>
      <c r="F8" s="116">
        <v>8530</v>
      </c>
      <c r="G8" s="116">
        <v>7907</v>
      </c>
      <c r="H8" s="116">
        <v>10058</v>
      </c>
      <c r="I8" s="116">
        <v>10969</v>
      </c>
      <c r="J8" s="116">
        <v>10567</v>
      </c>
      <c r="K8" s="116">
        <v>9843</v>
      </c>
      <c r="L8" s="116">
        <v>16740</v>
      </c>
      <c r="M8" s="116">
        <v>17320</v>
      </c>
      <c r="N8" s="116">
        <v>18051.190009999998</v>
      </c>
      <c r="O8" s="116">
        <v>24570.11</v>
      </c>
      <c r="P8" s="116">
        <v>25263</v>
      </c>
      <c r="Q8" s="116">
        <v>25253.56633999999</v>
      </c>
      <c r="R8" s="116">
        <v>28989.731909999991</v>
      </c>
      <c r="S8" s="116">
        <v>46453.841779999981</v>
      </c>
      <c r="T8" s="116">
        <v>62466.714560000088</v>
      </c>
      <c r="U8" s="116">
        <v>51478.051329999995</v>
      </c>
      <c r="V8" s="116">
        <f>'EXPORT VALOR Sin Zona Franca'!W28</f>
        <v>62218.844070000006</v>
      </c>
      <c r="W8" s="116">
        <v>93552.528539999912</v>
      </c>
      <c r="X8" s="116">
        <v>102635.15036999996</v>
      </c>
    </row>
    <row r="9" spans="1:24" ht="18.75" thickTop="1" thickBot="1">
      <c r="A9" s="115" t="s">
        <v>86</v>
      </c>
      <c r="B9" s="116">
        <v>53</v>
      </c>
      <c r="C9" s="116">
        <v>44</v>
      </c>
      <c r="D9" s="116">
        <v>8</v>
      </c>
      <c r="E9" s="116">
        <v>34</v>
      </c>
      <c r="F9" s="116">
        <v>30</v>
      </c>
      <c r="G9" s="116">
        <v>33</v>
      </c>
      <c r="H9" s="116">
        <v>35</v>
      </c>
      <c r="I9" s="116">
        <v>39</v>
      </c>
      <c r="J9" s="116">
        <v>42</v>
      </c>
      <c r="K9" s="116">
        <v>41</v>
      </c>
      <c r="L9" s="116">
        <v>59</v>
      </c>
      <c r="M9" s="116">
        <v>57</v>
      </c>
      <c r="N9" s="116">
        <v>55.873272999999998</v>
      </c>
      <c r="O9" s="116">
        <v>73.73</v>
      </c>
      <c r="P9" s="116">
        <v>76.312367181818189</v>
      </c>
      <c r="Q9" s="116">
        <v>74.977283636363637</v>
      </c>
      <c r="R9" s="116">
        <v>98</v>
      </c>
      <c r="S9" s="116">
        <v>178</v>
      </c>
      <c r="T9" s="116">
        <v>235.60079727272728</v>
      </c>
      <c r="U9" s="116">
        <v>272</v>
      </c>
      <c r="V9" s="116">
        <f>'EXPORT VOL Sin Zona Franca'!X27</f>
        <v>333.37750742499998</v>
      </c>
      <c r="W9" s="116">
        <v>378.13663282499999</v>
      </c>
      <c r="X9" s="116">
        <v>424.8810231999999</v>
      </c>
    </row>
    <row r="10" spans="1:24" ht="19.5" thickTop="1" thickBot="1">
      <c r="A10" s="112" t="s">
        <v>330</v>
      </c>
      <c r="B10" s="114">
        <f t="shared" ref="B10:X10" si="1">B8/B9</f>
        <v>105</v>
      </c>
      <c r="C10" s="114">
        <f t="shared" si="1"/>
        <v>117.56818181818181</v>
      </c>
      <c r="D10" s="114">
        <f t="shared" si="1"/>
        <v>128.875</v>
      </c>
      <c r="E10" s="114">
        <f t="shared" si="1"/>
        <v>196.70588235294119</v>
      </c>
      <c r="F10" s="114">
        <f t="shared" si="1"/>
        <v>284.33333333333331</v>
      </c>
      <c r="G10" s="114">
        <f t="shared" si="1"/>
        <v>239.60606060606059</v>
      </c>
      <c r="H10" s="114">
        <f t="shared" si="1"/>
        <v>287.37142857142857</v>
      </c>
      <c r="I10" s="114">
        <f t="shared" si="1"/>
        <v>281.25641025641028</v>
      </c>
      <c r="J10" s="114">
        <f t="shared" si="1"/>
        <v>251.5952380952381</v>
      </c>
      <c r="K10" s="114">
        <f t="shared" si="1"/>
        <v>240.07317073170731</v>
      </c>
      <c r="L10" s="114">
        <f t="shared" si="1"/>
        <v>283.72881355932202</v>
      </c>
      <c r="M10" s="114">
        <f t="shared" si="1"/>
        <v>303.85964912280701</v>
      </c>
      <c r="N10" s="114">
        <f t="shared" si="1"/>
        <v>323.07378896525353</v>
      </c>
      <c r="O10" s="114">
        <f t="shared" si="1"/>
        <v>333.24440526244405</v>
      </c>
      <c r="P10" s="114">
        <f t="shared" si="1"/>
        <v>331.04725921828094</v>
      </c>
      <c r="Q10" s="114">
        <f t="shared" si="1"/>
        <v>336.81623440079028</v>
      </c>
      <c r="R10" s="114">
        <f t="shared" si="1"/>
        <v>295.81359091836725</v>
      </c>
      <c r="S10" s="114">
        <f t="shared" si="1"/>
        <v>260.97663921348305</v>
      </c>
      <c r="T10" s="114">
        <f t="shared" si="1"/>
        <v>265.13795913725085</v>
      </c>
      <c r="U10" s="114">
        <f t="shared" si="1"/>
        <v>189.25754165441174</v>
      </c>
      <c r="V10" s="114">
        <f t="shared" si="1"/>
        <v>186.63179933936425</v>
      </c>
      <c r="W10" s="114">
        <f t="shared" si="1"/>
        <v>247.40403446522365</v>
      </c>
      <c r="X10" s="114">
        <f t="shared" si="1"/>
        <v>241.56209565915952</v>
      </c>
    </row>
    <row r="11" spans="1:24" ht="18.75" thickTop="1" thickBot="1">
      <c r="A11" s="115" t="s">
        <v>88</v>
      </c>
      <c r="B11" s="116">
        <v>2228</v>
      </c>
      <c r="C11" s="116">
        <v>1838</v>
      </c>
      <c r="D11" s="116">
        <v>7728</v>
      </c>
      <c r="E11" s="116">
        <v>6105</v>
      </c>
      <c r="F11" s="116">
        <v>9607</v>
      </c>
      <c r="G11" s="116">
        <v>14827</v>
      </c>
      <c r="H11" s="116">
        <v>15521</v>
      </c>
      <c r="I11" s="116">
        <v>19679</v>
      </c>
      <c r="J11" s="116">
        <v>18879</v>
      </c>
      <c r="K11" s="116">
        <v>15607</v>
      </c>
      <c r="L11" s="116">
        <v>21760</v>
      </c>
      <c r="M11" s="116">
        <v>32592</v>
      </c>
      <c r="N11" s="116">
        <v>31798.524229999999</v>
      </c>
      <c r="O11" s="116">
        <v>38836.385999999999</v>
      </c>
      <c r="P11" s="116">
        <v>50910</v>
      </c>
      <c r="Q11" s="116">
        <v>42272.553419999953</v>
      </c>
      <c r="R11" s="116">
        <v>38461</v>
      </c>
      <c r="S11" s="116">
        <v>46577.241490000022</v>
      </c>
      <c r="T11" s="116">
        <v>52987.894409999979</v>
      </c>
      <c r="U11" s="116">
        <v>45910.855289999978</v>
      </c>
      <c r="V11" s="116">
        <f>'EXPORT VALOR Sin Zona Franca'!W29</f>
        <v>45047.980669999975</v>
      </c>
      <c r="W11" s="116">
        <v>66172.063100000101</v>
      </c>
      <c r="X11" s="116">
        <v>80899.166980000038</v>
      </c>
    </row>
    <row r="12" spans="1:24" ht="18.75" thickTop="1" thickBot="1">
      <c r="A12" s="115" t="s">
        <v>86</v>
      </c>
      <c r="B12" s="116">
        <v>19</v>
      </c>
      <c r="C12" s="116">
        <v>14</v>
      </c>
      <c r="D12" s="116">
        <v>69</v>
      </c>
      <c r="E12" s="116">
        <v>62</v>
      </c>
      <c r="F12" s="116">
        <v>90</v>
      </c>
      <c r="G12" s="116">
        <v>107</v>
      </c>
      <c r="H12" s="116">
        <v>95</v>
      </c>
      <c r="I12" s="116">
        <v>105</v>
      </c>
      <c r="J12" s="116">
        <v>67</v>
      </c>
      <c r="K12" s="116">
        <v>51</v>
      </c>
      <c r="L12" s="116">
        <v>66</v>
      </c>
      <c r="M12" s="116">
        <v>100</v>
      </c>
      <c r="N12" s="116">
        <v>90.495999999999995</v>
      </c>
      <c r="O12" s="116">
        <v>115.473956</v>
      </c>
      <c r="P12" s="116">
        <v>136</v>
      </c>
      <c r="Q12" s="116">
        <v>118.17122397142856</v>
      </c>
      <c r="R12" s="116">
        <v>101</v>
      </c>
      <c r="S12" s="116">
        <v>155.25198989090907</v>
      </c>
      <c r="T12" s="116">
        <v>153.51828819999994</v>
      </c>
      <c r="U12" s="116">
        <v>140.75104136363635</v>
      </c>
      <c r="V12" s="116">
        <f>'EXPORT VOL Sin Zona Franca'!X28</f>
        <v>136.26013359999999</v>
      </c>
      <c r="W12" s="116">
        <v>179.10991394545451</v>
      </c>
      <c r="X12" s="116">
        <v>183.3388469090909</v>
      </c>
    </row>
    <row r="13" spans="1:24" ht="19.5" thickTop="1" thickBot="1">
      <c r="A13" s="113" t="s">
        <v>331</v>
      </c>
      <c r="B13" s="114">
        <f t="shared" ref="B13:X13" si="2">B11/B12</f>
        <v>117.26315789473684</v>
      </c>
      <c r="C13" s="114">
        <f t="shared" si="2"/>
        <v>131.28571428571428</v>
      </c>
      <c r="D13" s="114">
        <f t="shared" si="2"/>
        <v>112</v>
      </c>
      <c r="E13" s="114">
        <f t="shared" si="2"/>
        <v>98.467741935483872</v>
      </c>
      <c r="F13" s="114">
        <f t="shared" si="2"/>
        <v>106.74444444444444</v>
      </c>
      <c r="G13" s="114">
        <f t="shared" si="2"/>
        <v>138.57009345794393</v>
      </c>
      <c r="H13" s="114">
        <f t="shared" si="2"/>
        <v>163.37894736842105</v>
      </c>
      <c r="I13" s="114">
        <f t="shared" si="2"/>
        <v>187.41904761904763</v>
      </c>
      <c r="J13" s="114">
        <f t="shared" si="2"/>
        <v>281.7761194029851</v>
      </c>
      <c r="K13" s="114">
        <f t="shared" si="2"/>
        <v>306.01960784313724</v>
      </c>
      <c r="L13" s="114">
        <f t="shared" si="2"/>
        <v>329.69696969696969</v>
      </c>
      <c r="M13" s="114">
        <f t="shared" si="2"/>
        <v>325.92</v>
      </c>
      <c r="N13" s="114">
        <f t="shared" si="2"/>
        <v>351.38043924593353</v>
      </c>
      <c r="O13" s="114">
        <f t="shared" si="2"/>
        <v>336.32160311542458</v>
      </c>
      <c r="P13" s="114">
        <f t="shared" si="2"/>
        <v>374.33823529411762</v>
      </c>
      <c r="Q13" s="114">
        <f t="shared" si="2"/>
        <v>357.7229040990606</v>
      </c>
      <c r="R13" s="114">
        <f t="shared" si="2"/>
        <v>380.80198019801981</v>
      </c>
      <c r="S13" s="114">
        <f t="shared" si="2"/>
        <v>300.01059260321529</v>
      </c>
      <c r="T13" s="114">
        <f t="shared" si="2"/>
        <v>345.15688672198206</v>
      </c>
      <c r="U13" s="114">
        <f t="shared" si="2"/>
        <v>326.18483561615233</v>
      </c>
      <c r="V13" s="114">
        <f t="shared" si="2"/>
        <v>330.60279246636509</v>
      </c>
      <c r="W13" s="114">
        <f t="shared" si="2"/>
        <v>369.44947179278921</v>
      </c>
      <c r="X13" s="114">
        <f t="shared" si="2"/>
        <v>441.25491320513282</v>
      </c>
    </row>
    <row r="14" spans="1:24" ht="13.5" thickTop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2"/>
      <c r="N14" s="42"/>
      <c r="O14" s="42"/>
      <c r="P14" s="40"/>
      <c r="Q14" s="40"/>
      <c r="R14" s="40"/>
      <c r="S14" s="40"/>
    </row>
    <row r="15" spans="1:24" ht="18.75" thickBot="1">
      <c r="A15" s="112" t="s">
        <v>332</v>
      </c>
      <c r="B15" s="46"/>
      <c r="C15" s="47"/>
      <c r="D15" s="46"/>
      <c r="E15" s="46"/>
      <c r="F15" s="46"/>
      <c r="G15" s="46"/>
      <c r="H15" s="46"/>
      <c r="I15" s="46"/>
      <c r="J15" s="46"/>
      <c r="K15" s="40"/>
      <c r="L15" s="40"/>
      <c r="M15" s="41"/>
      <c r="N15" s="41"/>
      <c r="O15" s="41"/>
      <c r="P15" s="41"/>
      <c r="Q15" s="41"/>
      <c r="R15" s="41"/>
      <c r="S15" s="41"/>
    </row>
    <row r="16" spans="1:24" ht="18.75" thickTop="1" thickBot="1">
      <c r="A16" s="115" t="s">
        <v>84</v>
      </c>
      <c r="B16" s="116"/>
      <c r="C16" s="116"/>
      <c r="D16" s="116"/>
      <c r="E16" s="116"/>
      <c r="F16" s="116"/>
      <c r="G16" s="116">
        <v>555</v>
      </c>
      <c r="H16" s="116">
        <v>13940</v>
      </c>
      <c r="I16" s="116">
        <v>33516</v>
      </c>
      <c r="J16" s="116">
        <v>47541</v>
      </c>
      <c r="K16" s="116">
        <v>30242</v>
      </c>
      <c r="L16" s="116">
        <v>40394</v>
      </c>
      <c r="M16" s="116">
        <v>44127</v>
      </c>
      <c r="N16" s="116">
        <v>65246.344730000004</v>
      </c>
      <c r="O16" s="116">
        <v>74439.038159999996</v>
      </c>
      <c r="P16" s="116">
        <v>67795.271480000098</v>
      </c>
      <c r="Q16" s="116">
        <v>62164.486289999957</v>
      </c>
      <c r="R16" s="116">
        <v>42944.87448999998</v>
      </c>
      <c r="S16" s="116">
        <v>63669.317450000017</v>
      </c>
      <c r="T16" s="116">
        <v>76312.837689999869</v>
      </c>
      <c r="U16" s="116">
        <v>55497.840189999944</v>
      </c>
      <c r="V16" s="116">
        <f>'EXPORT VALOR Sin Zona Franca'!W34</f>
        <v>70507.658410000018</v>
      </c>
      <c r="W16" s="116">
        <v>105948.55727000002</v>
      </c>
      <c r="X16" s="116">
        <v>101931.27552</v>
      </c>
    </row>
    <row r="17" spans="1:24" ht="18.75" thickTop="1" thickBot="1">
      <c r="A17" s="115" t="s">
        <v>86</v>
      </c>
      <c r="B17" s="116"/>
      <c r="C17" s="116"/>
      <c r="D17" s="116"/>
      <c r="E17" s="116"/>
      <c r="F17" s="116"/>
      <c r="G17" s="116">
        <v>3</v>
      </c>
      <c r="H17" s="116">
        <v>49</v>
      </c>
      <c r="I17" s="116">
        <v>112</v>
      </c>
      <c r="J17" s="116">
        <v>137</v>
      </c>
      <c r="K17" s="116">
        <v>104</v>
      </c>
      <c r="L17" s="116">
        <v>113</v>
      </c>
      <c r="M17" s="116">
        <v>125</v>
      </c>
      <c r="N17" s="116">
        <v>160.71800000000002</v>
      </c>
      <c r="O17" s="116">
        <v>226.65459999999999</v>
      </c>
      <c r="P17" s="116">
        <v>178</v>
      </c>
      <c r="Q17" s="116">
        <v>155.83890259999995</v>
      </c>
      <c r="R17" s="116">
        <v>229</v>
      </c>
      <c r="S17" s="116">
        <v>224.36099999999999</v>
      </c>
      <c r="T17" s="116">
        <v>186.04125009230793</v>
      </c>
      <c r="U17" s="116">
        <v>215</v>
      </c>
      <c r="V17" s="116">
        <f>'EXPORT VOL Sin Zona Franca'!X33</f>
        <v>191</v>
      </c>
      <c r="W17" s="116">
        <v>183</v>
      </c>
      <c r="X17" s="116">
        <v>194.49787087692221</v>
      </c>
    </row>
    <row r="18" spans="1:24" ht="18.75" thickTop="1" thickBot="1">
      <c r="A18" s="113" t="s">
        <v>87</v>
      </c>
      <c r="B18" s="114"/>
      <c r="C18" s="114"/>
      <c r="D18" s="114"/>
      <c r="E18" s="114"/>
      <c r="F18" s="114"/>
      <c r="G18" s="114">
        <f>G16/G17</f>
        <v>185</v>
      </c>
      <c r="H18" s="114">
        <f>H16/H17</f>
        <v>284.48979591836735</v>
      </c>
      <c r="I18" s="114">
        <f>I16/I17</f>
        <v>299.25</v>
      </c>
      <c r="J18" s="114">
        <f>J16/J17</f>
        <v>347.01459854014598</v>
      </c>
      <c r="K18" s="114">
        <f>K16/L17</f>
        <v>267.62831858407077</v>
      </c>
      <c r="L18" s="114">
        <f>L16/M17</f>
        <v>323.15199999999999</v>
      </c>
      <c r="M18" s="114">
        <f>M16/N17</f>
        <v>274.56165457509422</v>
      </c>
      <c r="N18" s="114">
        <f>N16/O17</f>
        <v>287.86684554383635</v>
      </c>
      <c r="O18" s="114">
        <f>O16/P17</f>
        <v>418.19684359550558</v>
      </c>
      <c r="P18" s="114">
        <f t="shared" ref="P18:X18" si="3">P16/P17</f>
        <v>380.87231168539381</v>
      </c>
      <c r="Q18" s="114">
        <f t="shared" si="3"/>
        <v>398.90223335030066</v>
      </c>
      <c r="R18" s="114">
        <f t="shared" si="3"/>
        <v>187.53220301310034</v>
      </c>
      <c r="S18" s="114">
        <f t="shared" si="3"/>
        <v>283.78068135727699</v>
      </c>
      <c r="T18" s="114">
        <f t="shared" si="3"/>
        <v>410.19310315392846</v>
      </c>
      <c r="U18" s="114">
        <f t="shared" si="3"/>
        <v>258.12948925581367</v>
      </c>
      <c r="V18" s="114">
        <f t="shared" si="3"/>
        <v>369.1500440314137</v>
      </c>
      <c r="W18" s="114">
        <f t="shared" si="3"/>
        <v>578.95386486338805</v>
      </c>
      <c r="X18" s="114">
        <f t="shared" si="3"/>
        <v>524.07399145516547</v>
      </c>
    </row>
    <row r="19" spans="1:24" ht="13.5" thickTop="1">
      <c r="A19" s="4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</row>
    <row r="20" spans="1:24" ht="18.75" thickBot="1">
      <c r="A20" s="112" t="s">
        <v>333</v>
      </c>
      <c r="B20" s="40"/>
      <c r="C20" s="40"/>
      <c r="D20" s="40"/>
      <c r="E20" s="40"/>
      <c r="F20" s="40"/>
      <c r="H20" s="40"/>
      <c r="I20" s="40"/>
      <c r="J20" s="40"/>
      <c r="K20" s="44"/>
      <c r="L20" s="44"/>
      <c r="M20" s="44"/>
      <c r="N20" s="44"/>
      <c r="O20" s="44"/>
      <c r="P20" s="44"/>
      <c r="Q20" s="40"/>
      <c r="R20" s="40"/>
      <c r="S20" s="40"/>
    </row>
    <row r="21" spans="1:24" ht="18.75" thickTop="1" thickBot="1">
      <c r="A21" s="115" t="s">
        <v>84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>
        <v>1649</v>
      </c>
      <c r="L21" s="116">
        <v>13078</v>
      </c>
      <c r="M21" s="116">
        <v>9084</v>
      </c>
      <c r="N21" s="116">
        <v>5921.9088099999999</v>
      </c>
      <c r="O21" s="116">
        <v>10445.98828</v>
      </c>
      <c r="P21" s="116">
        <v>6664.1898300000021</v>
      </c>
      <c r="Q21" s="116">
        <v>393.20118999999988</v>
      </c>
      <c r="R21" s="116">
        <v>68.891490000000005</v>
      </c>
      <c r="S21" s="116">
        <v>6.9213000000000031</v>
      </c>
      <c r="T21" s="116">
        <v>1.1798700000000002</v>
      </c>
      <c r="U21" s="116">
        <v>0</v>
      </c>
      <c r="V21" s="116">
        <v>0</v>
      </c>
      <c r="W21" s="116">
        <v>0</v>
      </c>
      <c r="X21" s="116">
        <v>0</v>
      </c>
    </row>
    <row r="22" spans="1:24" ht="18.75" thickTop="1" thickBot="1">
      <c r="A22" s="115" t="s">
        <v>86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>
        <v>5.9</v>
      </c>
      <c r="L22" s="116">
        <v>41</v>
      </c>
      <c r="M22" s="116">
        <v>32</v>
      </c>
      <c r="N22" s="116">
        <v>16.581309999999998</v>
      </c>
      <c r="O22" s="116">
        <v>30.194769999999998</v>
      </c>
      <c r="P22" s="116">
        <v>19.520961000000028</v>
      </c>
      <c r="Q22" s="116">
        <v>1.5</v>
      </c>
      <c r="R22" s="116">
        <v>0.26482499999999998</v>
      </c>
      <c r="S22" s="116">
        <v>0.26482499999999998</v>
      </c>
      <c r="T22" s="116">
        <v>1.1042350000000001E-2</v>
      </c>
      <c r="U22" s="116">
        <v>0</v>
      </c>
      <c r="V22" s="116">
        <v>0</v>
      </c>
      <c r="W22" s="116">
        <v>0</v>
      </c>
      <c r="X22" s="116">
        <v>0</v>
      </c>
    </row>
    <row r="23" spans="1:24" ht="18.75" thickTop="1" thickBot="1">
      <c r="A23" s="113" t="s">
        <v>85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>
        <f t="shared" ref="K23:T23" si="4">K21/K22</f>
        <v>279.49152542372877</v>
      </c>
      <c r="L23" s="114">
        <f t="shared" si="4"/>
        <v>318.97560975609758</v>
      </c>
      <c r="M23" s="114">
        <f t="shared" si="4"/>
        <v>283.875</v>
      </c>
      <c r="N23" s="114">
        <f t="shared" si="4"/>
        <v>357.14360385277161</v>
      </c>
      <c r="O23" s="114">
        <f t="shared" si="4"/>
        <v>345.95356348135789</v>
      </c>
      <c r="P23" s="114">
        <f t="shared" si="4"/>
        <v>341.38636053829481</v>
      </c>
      <c r="Q23" s="114">
        <f t="shared" si="4"/>
        <v>262.13412666666659</v>
      </c>
      <c r="R23" s="114">
        <f t="shared" si="4"/>
        <v>260.13967714528468</v>
      </c>
      <c r="S23" s="114">
        <f t="shared" si="4"/>
        <v>26.135372415746261</v>
      </c>
      <c r="T23" s="114">
        <f t="shared" si="4"/>
        <v>106.84953836819156</v>
      </c>
      <c r="U23" s="114">
        <v>0</v>
      </c>
      <c r="V23" s="114">
        <v>0</v>
      </c>
      <c r="W23" s="114">
        <v>0</v>
      </c>
      <c r="X23" s="114">
        <v>0</v>
      </c>
    </row>
    <row r="24" spans="1:24" ht="13.5" thickTop="1">
      <c r="A24" s="43"/>
      <c r="B24" s="40"/>
      <c r="C24" s="40"/>
      <c r="D24" s="40"/>
      <c r="E24" s="40"/>
      <c r="F24" s="40"/>
      <c r="G24" s="40"/>
      <c r="H24" s="40"/>
      <c r="I24" s="40"/>
      <c r="J24" s="40"/>
      <c r="K24" s="42"/>
      <c r="L24" s="42"/>
      <c r="M24" s="42"/>
      <c r="N24" s="42"/>
      <c r="O24" s="42"/>
      <c r="P24" s="40"/>
      <c r="Q24" s="40"/>
      <c r="R24" s="40"/>
      <c r="S24" s="40"/>
    </row>
    <row r="25" spans="1:24" ht="16.5" thickBot="1">
      <c r="A25" s="112" t="s">
        <v>182</v>
      </c>
      <c r="B25" s="39"/>
      <c r="C25" s="39"/>
      <c r="D25" s="39"/>
      <c r="E25" s="39"/>
      <c r="F25" s="39"/>
      <c r="G25" s="39"/>
      <c r="H25" s="39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</row>
    <row r="26" spans="1:24" ht="18.75" thickTop="1" thickBot="1">
      <c r="A26" s="115" t="s">
        <v>84</v>
      </c>
      <c r="B26" s="116"/>
      <c r="C26" s="116"/>
      <c r="D26" s="116"/>
      <c r="E26" s="116"/>
      <c r="F26" s="116"/>
      <c r="G26" s="116"/>
      <c r="H26" s="116"/>
      <c r="I26" s="116">
        <v>75123.120999999999</v>
      </c>
      <c r="J26" s="116">
        <v>740338.26100000006</v>
      </c>
      <c r="K26" s="116">
        <v>567251.29500000004</v>
      </c>
      <c r="L26" s="116">
        <v>919541.80700000003</v>
      </c>
      <c r="M26" s="116">
        <v>907665.93200000003</v>
      </c>
      <c r="N26" s="116">
        <v>831723</v>
      </c>
      <c r="O26" s="116">
        <v>776892</v>
      </c>
      <c r="P26" s="116">
        <v>902742</v>
      </c>
      <c r="Q26" s="116">
        <v>1291686</v>
      </c>
      <c r="R26" s="116">
        <v>1237373.0009999999</v>
      </c>
      <c r="S26" s="116">
        <v>1334290.973</v>
      </c>
      <c r="T26" s="116">
        <v>1684874.59036</v>
      </c>
      <c r="U26" s="116">
        <v>1415990.0690000001</v>
      </c>
      <c r="V26" s="116">
        <f>'EXPORT VALOR Con Zona Franca'!K41</f>
        <v>1136380</v>
      </c>
      <c r="W26" s="116">
        <v>1602664.5247223</v>
      </c>
      <c r="X26" s="116">
        <v>1913547.62379087</v>
      </c>
    </row>
    <row r="27" spans="1:24" ht="18.75" thickTop="1" thickBot="1">
      <c r="A27" s="115" t="s">
        <v>83</v>
      </c>
      <c r="B27" s="116"/>
      <c r="C27" s="116"/>
      <c r="D27" s="116"/>
      <c r="E27" s="116"/>
      <c r="F27" s="116"/>
      <c r="G27" s="116"/>
      <c r="H27" s="116"/>
      <c r="I27" s="116">
        <v>103</v>
      </c>
      <c r="J27" s="116">
        <v>930</v>
      </c>
      <c r="K27" s="116">
        <v>1064</v>
      </c>
      <c r="L27" s="116">
        <v>1124</v>
      </c>
      <c r="M27" s="116">
        <v>1106</v>
      </c>
      <c r="N27" s="116">
        <v>1123.156334</v>
      </c>
      <c r="O27" s="116">
        <v>1224.942</v>
      </c>
      <c r="P27" s="116">
        <v>1910</v>
      </c>
      <c r="Q27" s="116">
        <v>2361</v>
      </c>
      <c r="R27" s="116">
        <v>2567.0709999999999</v>
      </c>
      <c r="S27" s="116">
        <v>2640.67</v>
      </c>
      <c r="T27" s="116">
        <v>2539.46</v>
      </c>
      <c r="U27" s="116">
        <v>2599.2200000000003</v>
      </c>
      <c r="V27" s="116">
        <f>'[1]EXPORT VOL Con zona Franca'!L37</f>
        <v>2782.6669999999999</v>
      </c>
      <c r="W27" s="116">
        <v>2763.5239919999995</v>
      </c>
      <c r="X27" s="116">
        <v>2697.1675049999999</v>
      </c>
    </row>
    <row r="28" spans="1:24" ht="18.75" thickTop="1" thickBot="1">
      <c r="A28" s="113" t="s">
        <v>82</v>
      </c>
      <c r="B28" s="114"/>
      <c r="C28" s="114"/>
      <c r="D28" s="114"/>
      <c r="E28" s="114"/>
      <c r="F28" s="114"/>
      <c r="G28" s="114"/>
      <c r="H28" s="114"/>
      <c r="I28" s="114">
        <f>I26/I27</f>
        <v>729.35068932038837</v>
      </c>
      <c r="J28" s="114">
        <f t="shared" ref="J28:X28" si="5">J26/J27</f>
        <v>796.0626462365592</v>
      </c>
      <c r="K28" s="114">
        <f t="shared" si="5"/>
        <v>533.13091635338355</v>
      </c>
      <c r="L28" s="114">
        <f t="shared" si="5"/>
        <v>818.09769306049827</v>
      </c>
      <c r="M28" s="114">
        <f t="shared" si="5"/>
        <v>820.6744412296564</v>
      </c>
      <c r="N28" s="114">
        <f t="shared" si="5"/>
        <v>740.52291281473549</v>
      </c>
      <c r="O28" s="114">
        <f t="shared" si="5"/>
        <v>634.22757975479658</v>
      </c>
      <c r="P28" s="114">
        <f t="shared" si="5"/>
        <v>472.63979057591621</v>
      </c>
      <c r="Q28" s="114">
        <f t="shared" si="5"/>
        <v>547.09275730622619</v>
      </c>
      <c r="R28" s="114">
        <f t="shared" si="5"/>
        <v>482.01744361570053</v>
      </c>
      <c r="S28" s="114">
        <f t="shared" si="5"/>
        <v>505.28501213707125</v>
      </c>
      <c r="T28" s="114">
        <f t="shared" si="5"/>
        <v>663.4775071708159</v>
      </c>
      <c r="U28" s="114">
        <f t="shared" si="5"/>
        <v>544.77499749924982</v>
      </c>
      <c r="V28" s="114">
        <f t="shared" si="5"/>
        <v>408.37800570459922</v>
      </c>
      <c r="W28" s="114">
        <f t="shared" si="5"/>
        <v>579.93508627454696</v>
      </c>
      <c r="X28" s="114">
        <f t="shared" si="5"/>
        <v>709.46562282229115</v>
      </c>
    </row>
    <row r="29" spans="1:24" ht="16.5" thickTop="1">
      <c r="A29" s="36"/>
      <c r="B29" s="36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spans="1:24" ht="18.75" thickBot="1">
      <c r="A30" s="112" t="s">
        <v>334</v>
      </c>
      <c r="B30" s="39"/>
      <c r="C30" s="39"/>
      <c r="D30" s="39"/>
      <c r="E30" s="39"/>
      <c r="F30" s="39"/>
      <c r="G30" s="39"/>
      <c r="H30" s="39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  <row r="31" spans="1:24" ht="19.5" thickTop="1" thickBot="1">
      <c r="A31" s="113" t="s">
        <v>335</v>
      </c>
      <c r="B31" s="114"/>
      <c r="C31" s="114"/>
      <c r="D31" s="114"/>
      <c r="E31" s="114"/>
      <c r="F31" s="114"/>
      <c r="G31" s="114"/>
      <c r="H31" s="114"/>
      <c r="I31" s="114">
        <v>44</v>
      </c>
      <c r="J31" s="114">
        <v>46</v>
      </c>
      <c r="K31" s="114">
        <v>48</v>
      </c>
      <c r="L31" s="114">
        <v>43</v>
      </c>
      <c r="M31" s="114">
        <v>56</v>
      </c>
      <c r="N31" s="114">
        <v>64</v>
      </c>
      <c r="O31" s="114">
        <v>65</v>
      </c>
      <c r="P31" s="114">
        <v>65</v>
      </c>
      <c r="Q31" s="114">
        <v>65</v>
      </c>
      <c r="R31" s="114">
        <v>56</v>
      </c>
      <c r="S31" s="114">
        <v>67</v>
      </c>
      <c r="T31" s="114">
        <v>71</v>
      </c>
      <c r="U31" s="114">
        <v>68.183695940222677</v>
      </c>
      <c r="V31" s="114">
        <v>59.379931709300777</v>
      </c>
      <c r="W31" s="114">
        <v>61</v>
      </c>
      <c r="X31" s="114">
        <v>62.529106892708811</v>
      </c>
    </row>
    <row r="32" spans="1:24" ht="13.5" thickTop="1"/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V122"/>
  <sheetViews>
    <sheetView showGridLines="0" zoomScale="60" zoomScaleNormal="60" workbookViewId="0">
      <selection activeCell="D16" sqref="D16"/>
    </sheetView>
  </sheetViews>
  <sheetFormatPr baseColWidth="10" defaultRowHeight="12.75"/>
  <cols>
    <col min="2" max="2" width="91.7109375" bestFit="1" customWidth="1"/>
    <col min="3" max="3" width="27.7109375" customWidth="1"/>
    <col min="4" max="4" width="18.7109375" customWidth="1"/>
    <col min="5" max="5" width="17.7109375" customWidth="1"/>
    <col min="7" max="7" width="83.42578125" customWidth="1"/>
    <col min="8" max="8" width="22" customWidth="1"/>
    <col min="9" max="9" width="16.7109375" customWidth="1"/>
    <col min="12" max="12" width="117.28515625" bestFit="1" customWidth="1"/>
    <col min="13" max="13" width="32.42578125" customWidth="1"/>
    <col min="14" max="14" width="19.7109375" customWidth="1"/>
  </cols>
  <sheetData>
    <row r="2" spans="2:14" ht="31.5">
      <c r="C2" s="219" t="s">
        <v>347</v>
      </c>
      <c r="D2" s="219"/>
      <c r="E2" s="219"/>
    </row>
    <row r="6" spans="2:14" ht="23.25" customHeight="1">
      <c r="B6" s="218" t="s">
        <v>75</v>
      </c>
      <c r="C6" s="218"/>
      <c r="D6" s="218"/>
      <c r="G6" s="218" t="s">
        <v>79</v>
      </c>
      <c r="H6" s="218"/>
      <c r="I6" s="218"/>
      <c r="L6" s="218" t="s">
        <v>80</v>
      </c>
      <c r="M6" s="218"/>
      <c r="N6" s="218"/>
    </row>
    <row r="7" spans="2:14" ht="23.25" customHeight="1">
      <c r="B7" s="218" t="s">
        <v>77</v>
      </c>
      <c r="C7" s="218"/>
      <c r="D7" s="218"/>
      <c r="G7" s="218" t="s">
        <v>77</v>
      </c>
      <c r="H7" s="218"/>
      <c r="I7" s="218"/>
      <c r="L7" s="218" t="s">
        <v>77</v>
      </c>
      <c r="M7" s="218"/>
      <c r="N7" s="218"/>
    </row>
    <row r="8" spans="2:14" ht="24.75" customHeight="1" thickBot="1">
      <c r="B8" s="119" t="s">
        <v>1</v>
      </c>
      <c r="C8" s="120">
        <v>2022</v>
      </c>
      <c r="D8" s="120" t="s">
        <v>76</v>
      </c>
      <c r="G8" s="119" t="s">
        <v>1</v>
      </c>
      <c r="H8" s="120">
        <v>2022</v>
      </c>
      <c r="I8" s="120" t="s">
        <v>76</v>
      </c>
      <c r="L8" s="119" t="s">
        <v>1</v>
      </c>
      <c r="M8" s="120">
        <v>2022</v>
      </c>
      <c r="N8" s="120" t="s">
        <v>76</v>
      </c>
    </row>
    <row r="9" spans="2:14" ht="17.25" thickTop="1" thickBot="1">
      <c r="B9" s="123" t="str">
        <f>'EXPORT VALOR Con Zona Franca'!B38</f>
        <v>PULPA DE MADERA / WOOD PULP</v>
      </c>
      <c r="C9" s="215">
        <f>'EXPORT VALOR Con Zona Franca'!M38</f>
        <v>1913547.62379087</v>
      </c>
      <c r="D9" s="132">
        <f>+C9*100/($C$19)</f>
        <v>76.44024628868415</v>
      </c>
      <c r="G9" s="123" t="str">
        <f>B10</f>
        <v>MADERA EN ROLLO / ROUNDWOOD</v>
      </c>
      <c r="H9" s="124">
        <f>'EXPORT VALOR Sin Zona Franca'!Y17</f>
        <v>721176.68356999964</v>
      </c>
      <c r="I9" s="132">
        <f>+H9*100/($H$18)</f>
        <v>61.592423903547072</v>
      </c>
      <c r="L9" s="123" t="str">
        <f>G16</f>
        <v>Productos madereros secundarios / Secondary wood products</v>
      </c>
      <c r="M9" s="124">
        <f>'IMPORT VALOR  Sin ZF_NUM &gt;'!Y75</f>
        <v>78880.120840000003</v>
      </c>
      <c r="N9" s="132">
        <f>+M9*100/($M$21)</f>
        <v>24.749048084999643</v>
      </c>
    </row>
    <row r="10" spans="2:14" ht="17.25" thickTop="1" thickBot="1">
      <c r="B10" s="123" t="str">
        <f>'EXPORT VALOR Con Zona Franca'!B14</f>
        <v>MADERA EN ROLLO / ROUNDWOOD</v>
      </c>
      <c r="C10" s="215">
        <f>'EXPORT VALOR Con Zona Franca'!M14</f>
        <v>156556.40642000004</v>
      </c>
      <c r="D10" s="132">
        <f t="shared" ref="D10:D17" si="0">+C10*100/($C$19)</f>
        <v>6.2539390794509027</v>
      </c>
      <c r="G10" s="123" t="str">
        <f>B11</f>
        <v>MADERA ASERRADA / SAWNWOOD</v>
      </c>
      <c r="H10" s="124">
        <f>'EXPORT VALOR Sin Zona Franca'!Y27</f>
        <v>183572.58491999999</v>
      </c>
      <c r="I10" s="132">
        <f>+H10*100/($H$18)</f>
        <v>15.678100422620043</v>
      </c>
      <c r="L10" s="123" t="str">
        <f>G13</f>
        <v>Productos papeleros secundarios / Secondary paper products</v>
      </c>
      <c r="M10" s="124">
        <f>'IMPORT VALOR  Sin ZF_NUM &gt;'!Y84</f>
        <v>103089.62529000001</v>
      </c>
      <c r="N10" s="132">
        <f t="shared" ref="N10:N20" si="1">+M10*100/($M$21)</f>
        <v>32.344905994020856</v>
      </c>
    </row>
    <row r="11" spans="2:14" ht="17.25" thickTop="1" thickBot="1">
      <c r="B11" s="123" t="str">
        <f>'EXPORT VALOR Con Zona Franca'!B24</f>
        <v>MADERA ASERRADA / SAWNWOOD</v>
      </c>
      <c r="C11" s="215">
        <f>'EXPORT VALOR Con Zona Franca'!M24</f>
        <v>183534.31735</v>
      </c>
      <c r="D11" s="132">
        <f t="shared" si="0"/>
        <v>7.3316222947544354</v>
      </c>
      <c r="G11" s="123" t="str">
        <f>B13</f>
        <v>TABLEROS DE MADERA Y HOJAS DE CHAPA / WOOD-BASED PANELS AND VENEERS</v>
      </c>
      <c r="H11" s="124">
        <f>'EXPORT VALOR Sin Zona Franca'!Y30</f>
        <v>104103.17702</v>
      </c>
      <c r="I11" s="132">
        <f t="shared" ref="I11:I17" si="2">+H11*100/($H$18)</f>
        <v>8.8909793602602996</v>
      </c>
      <c r="L11" s="123" t="s">
        <v>183</v>
      </c>
      <c r="M11" s="124">
        <f>'IMPORT VALOR  Sin ZF_NUM &gt;'!Y56</f>
        <v>87603.932260000016</v>
      </c>
      <c r="N11" s="132">
        <f t="shared" si="1"/>
        <v>27.486189281271283</v>
      </c>
    </row>
    <row r="12" spans="2:14" ht="17.25" thickTop="1" thickBot="1">
      <c r="B12" s="123" t="str">
        <f>'EXPORT VALOR Con Zona Franca'!B21</f>
        <v>ASTILLAS Y PARTÍCULAS (CHIPS) / WOOD CHIPS AND PARTICLES</v>
      </c>
      <c r="C12" s="215">
        <f>'EXPORT VALOR Con Zona Franca'!M21</f>
        <v>112950.73021999997</v>
      </c>
      <c r="D12" s="132">
        <f>+C12*100/($C$19)</f>
        <v>4.5120286159374503</v>
      </c>
      <c r="G12" s="123" t="str">
        <f>B12</f>
        <v>ASTILLAS Y PARTÍCULAS (CHIPS) / WOOD CHIPS AND PARTICLES</v>
      </c>
      <c r="H12" s="124">
        <f>'EXPORT VALOR Sin Zona Franca'!Y24</f>
        <v>120169.68204999999</v>
      </c>
      <c r="I12" s="132">
        <f t="shared" si="2"/>
        <v>10.26314655728835</v>
      </c>
      <c r="L12" s="123" t="s">
        <v>340</v>
      </c>
      <c r="M12" s="124">
        <f>'IMPORT VALOR  Sin ZF_NUM &gt;'!Y28</f>
        <v>30671.300400000007</v>
      </c>
      <c r="N12" s="132">
        <f t="shared" si="1"/>
        <v>9.6232799892484149</v>
      </c>
    </row>
    <row r="13" spans="2:14" ht="17.25" thickTop="1" thickBot="1">
      <c r="B13" s="123" t="str">
        <f>'EXPORT VALOR Con Zona Franca'!B27</f>
        <v>TABLEROS DE MADERA Y HOJAS DE CHAPA / WOOD-BASED PANELS AND VENEERS</v>
      </c>
      <c r="C13" s="215">
        <f>'EXPORT VALOR Con Zona Franca'!M27</f>
        <v>104103.17702</v>
      </c>
      <c r="D13" s="132">
        <f t="shared" si="0"/>
        <v>4.1585965208843794</v>
      </c>
      <c r="G13" s="123" t="str">
        <f>B14</f>
        <v>Productos papeleros secundarios / Secondary paper products</v>
      </c>
      <c r="H13" s="124">
        <f>'EXPORT VALOR Sin Zona Franca'!Y83</f>
        <v>32016.976600000013</v>
      </c>
      <c r="I13" s="132">
        <f t="shared" si="2"/>
        <v>2.7344245034313275</v>
      </c>
      <c r="L13" s="123" t="str">
        <f>B9</f>
        <v>PULPA DE MADERA / WOOD PULP</v>
      </c>
      <c r="M13" s="124">
        <f>'IMPORT VALOR  Sin ZF_NUM &gt;'!Y43</f>
        <v>4638.8524799999996</v>
      </c>
      <c r="N13" s="132">
        <f t="shared" si="1"/>
        <v>1.4554640873283406</v>
      </c>
    </row>
    <row r="14" spans="2:14" ht="17.25" thickTop="1" thickBot="1">
      <c r="B14" s="123" t="str">
        <f>'EXPORT VALOR Con Zona Franca'!B79</f>
        <v>Productos papeleros secundarios / Secondary paper products</v>
      </c>
      <c r="C14" s="215">
        <f>'EXPORT VALOR Con Zona Franca'!M79</f>
        <v>24271.513810000008</v>
      </c>
      <c r="D14" s="132">
        <f t="shared" si="0"/>
        <v>0.96957110989486706</v>
      </c>
      <c r="E14" s="216">
        <f>SUM(C14:C18)</f>
        <v>32632.520690000001</v>
      </c>
      <c r="G14" s="123" t="str">
        <f>B15</f>
        <v>PAPEL RECUPERADO / RECOVERED PAPER</v>
      </c>
      <c r="H14" s="124">
        <f>'EXPORT VALOR Sin Zona Franca'!Y53</f>
        <v>4839.0574799999958</v>
      </c>
      <c r="I14" s="132">
        <f t="shared" si="2"/>
        <v>0.41328191328423669</v>
      </c>
      <c r="L14" s="123" t="str">
        <f>G10</f>
        <v>MADERA ASERRADA / SAWNWOOD</v>
      </c>
      <c r="M14" s="124">
        <f>'IMPORT VALOR  Sin ZF_NUM &gt;'!Y24</f>
        <v>8444.4372100000001</v>
      </c>
      <c r="N14" s="132">
        <f t="shared" si="1"/>
        <v>2.649486085156588</v>
      </c>
    </row>
    <row r="15" spans="2:14" ht="17.25" thickTop="1" thickBot="1">
      <c r="B15" s="123" t="str">
        <f>'EXPORT VALOR Con Zona Franca'!B50</f>
        <v>PAPEL RECUPERADO / RECOVERED PAPER</v>
      </c>
      <c r="C15" s="215">
        <f>'EXPORT VALOR Con Zona Franca'!M50</f>
        <v>4839.0574799999958</v>
      </c>
      <c r="D15" s="132">
        <f t="shared" si="0"/>
        <v>0.19330522061609523</v>
      </c>
      <c r="E15">
        <f>(E14*100)/C19</f>
        <v>1.3035672002887115</v>
      </c>
      <c r="G15" s="123" t="str">
        <f>B16</f>
        <v>PAPEL Y CARTÓN / PAPER AND PAPERBOARD</v>
      </c>
      <c r="H15" s="124">
        <f>'EXPORT VALOR Sin Zona Franca'!Y54</f>
        <v>467.29692</v>
      </c>
      <c r="I15" s="217">
        <f t="shared" si="2"/>
        <v>3.9909706790552751E-2</v>
      </c>
      <c r="L15" s="123" t="str">
        <f>G9</f>
        <v>MADERA EN ROLLO / ROUNDWOOD</v>
      </c>
      <c r="M15" s="124">
        <f>'IMPORT VALOR  Sin ZF_NUM &gt;'!Y13</f>
        <v>3074.3533899999993</v>
      </c>
      <c r="N15" s="132">
        <f t="shared" si="1"/>
        <v>0.96459436254828679</v>
      </c>
    </row>
    <row r="16" spans="2:14" ht="17.25" thickTop="1" thickBot="1">
      <c r="B16" s="123" t="str">
        <f>'EXPORT VALOR Con Zona Franca'!B51</f>
        <v>PAPEL Y CARTÓN / PAPER AND PAPERBOARD</v>
      </c>
      <c r="C16" s="215">
        <f>'EXPORT VALOR Con Zona Franca'!M51</f>
        <v>247.81652000000003</v>
      </c>
      <c r="D16" s="217">
        <f t="shared" si="0"/>
        <v>9.8994953601817988E-3</v>
      </c>
      <c r="G16" s="123" t="str">
        <f>B17</f>
        <v>Productos madereros secundarios / Secondary wood products</v>
      </c>
      <c r="H16" s="124">
        <f>'EXPORT VALOR Sin Zona Franca'!Y75</f>
        <v>4539.9163999999973</v>
      </c>
      <c r="I16" s="132">
        <f t="shared" si="2"/>
        <v>0.38773363277810963</v>
      </c>
      <c r="L16" s="123" t="str">
        <f>'IMPORT VALOR  Sin ZF_NUM &gt;'!B19</f>
        <v>CARBÓN VEGETAL / WOOD CHARCOAL</v>
      </c>
      <c r="M16" s="124">
        <f>'IMPORT VALOR  Sin ZF_NUM &gt;'!Y19</f>
        <v>1521.9973000000009</v>
      </c>
      <c r="N16" s="132">
        <f t="shared" si="1"/>
        <v>0.47753456716103637</v>
      </c>
    </row>
    <row r="17" spans="2:14" ht="17.25" thickTop="1" thickBot="1">
      <c r="B17" s="123" t="str">
        <f>'EXPORT VALOR Con Zona Franca'!B71</f>
        <v>Productos madereros secundarios / Secondary wood products</v>
      </c>
      <c r="C17" s="215">
        <f>'EXPORT VALOR Con Zona Franca'!M71</f>
        <v>3274.1328799999974</v>
      </c>
      <c r="D17" s="132">
        <f t="shared" si="0"/>
        <v>0.13079137441756764</v>
      </c>
      <c r="G17" s="123" t="str">
        <f>B18</f>
        <v>RESIDUOS DE MADERA / WOOD RESIDUES</v>
      </c>
      <c r="H17" s="124">
        <f>'EXPORT VALOR Sin Zona Franca'!Y25</f>
        <v>0</v>
      </c>
      <c r="I17" s="132">
        <f t="shared" si="2"/>
        <v>0</v>
      </c>
      <c r="L17" s="123" t="s">
        <v>341</v>
      </c>
      <c r="M17" s="124">
        <f>'IMPORT VALOR  Sin ZF_NUM &gt;'!Y55</f>
        <v>458.98906000000005</v>
      </c>
      <c r="N17" s="132">
        <f t="shared" si="1"/>
        <v>0.14401020428797792</v>
      </c>
    </row>
    <row r="18" spans="2:14" ht="22.5" thickTop="1" thickBot="1">
      <c r="B18" s="123" t="str">
        <f>'EXPORT VALOR Con Zona Franca'!B22</f>
        <v>RESIDUOS DE MADERA / WOOD RESIDUES</v>
      </c>
      <c r="C18" s="215">
        <f>'EXPORT VALOR Con Zona Franca'!M22</f>
        <v>0</v>
      </c>
      <c r="D18" s="124">
        <f>+C18*100/($C$19)</f>
        <v>0</v>
      </c>
      <c r="G18" s="121" t="s">
        <v>51</v>
      </c>
      <c r="H18" s="122">
        <f>SUM(H9:H17)</f>
        <v>1170885.3749599997</v>
      </c>
      <c r="I18" s="122">
        <f>SUM(I9:I17)</f>
        <v>100</v>
      </c>
      <c r="L18" s="123" t="s">
        <v>321</v>
      </c>
      <c r="M18" s="124">
        <f>'IMPORT VALOR  Sin ZF_NUM &gt;'!Y21</f>
        <v>83.61281000000001</v>
      </c>
      <c r="N18" s="132">
        <f t="shared" si="1"/>
        <v>2.6233953918622557E-2</v>
      </c>
    </row>
    <row r="19" spans="2:14" ht="22.5" thickTop="1" thickBot="1">
      <c r="B19" s="121" t="s">
        <v>51</v>
      </c>
      <c r="C19" s="122">
        <f>SUM(C9:C18)</f>
        <v>2503324.7754908693</v>
      </c>
      <c r="D19" s="122">
        <f>SUM(D9:D18)</f>
        <v>100.00000000000004</v>
      </c>
      <c r="H19" s="14"/>
      <c r="L19" s="123" t="str">
        <f>'IMPORT VALOR  Sin ZF_NUM &gt;'!B52</f>
        <v>OTROS TIPOS DE PULPA / OTHER PULP</v>
      </c>
      <c r="M19" s="124">
        <f>'IMPORT VALOR  Sin ZF_NUM &gt;'!Y52</f>
        <v>193.72221000000002</v>
      </c>
      <c r="N19" s="132">
        <f t="shared" si="1"/>
        <v>6.0781350730273534E-2</v>
      </c>
    </row>
    <row r="20" spans="2:14" ht="17.25" thickTop="1" thickBot="1">
      <c r="C20" s="14"/>
      <c r="L20" s="123" t="s">
        <v>180</v>
      </c>
      <c r="M20" s="124">
        <f>'IMPORT VALOR  Sin ZF_NUM &gt;'!Y22</f>
        <v>58.874050000000004</v>
      </c>
      <c r="N20" s="132">
        <f t="shared" si="1"/>
        <v>1.8472039328694737E-2</v>
      </c>
    </row>
    <row r="21" spans="2:14" ht="22.5" thickTop="1" thickBot="1">
      <c r="L21" s="121" t="s">
        <v>51</v>
      </c>
      <c r="M21" s="122">
        <f>SUM(M9:M20)</f>
        <v>318719.8173</v>
      </c>
      <c r="N21" s="122">
        <f>SUM(N9:N20)</f>
        <v>100</v>
      </c>
    </row>
    <row r="22" spans="2:14" ht="13.5" thickTop="1"/>
    <row r="62" spans="2:12" ht="15.75">
      <c r="G62" s="99" t="s">
        <v>175</v>
      </c>
    </row>
    <row r="63" spans="2:12" ht="15.75">
      <c r="B63" s="99" t="s">
        <v>175</v>
      </c>
      <c r="L63" s="99" t="s">
        <v>175</v>
      </c>
    </row>
    <row r="66" spans="2:14" ht="23.25">
      <c r="G66" s="218" t="s">
        <v>79</v>
      </c>
      <c r="H66" s="218"/>
      <c r="I66" s="218"/>
      <c r="L66" s="218" t="s">
        <v>80</v>
      </c>
      <c r="M66" s="218"/>
      <c r="N66" s="218"/>
    </row>
    <row r="67" spans="2:14" ht="23.25">
      <c r="B67" s="218" t="s">
        <v>75</v>
      </c>
      <c r="C67" s="218"/>
      <c r="D67" s="218"/>
      <c r="G67" s="218" t="s">
        <v>78</v>
      </c>
      <c r="H67" s="218"/>
      <c r="I67" s="218"/>
      <c r="L67" s="218" t="s">
        <v>78</v>
      </c>
      <c r="M67" s="218"/>
      <c r="N67" s="218"/>
    </row>
    <row r="68" spans="2:14" ht="24" thickBot="1">
      <c r="B68" s="218" t="s">
        <v>78</v>
      </c>
      <c r="C68" s="218"/>
      <c r="D68" s="218"/>
      <c r="G68" s="119" t="s">
        <v>1</v>
      </c>
      <c r="H68" s="120">
        <v>2022</v>
      </c>
      <c r="I68" s="120" t="s">
        <v>76</v>
      </c>
      <c r="L68" s="119" t="s">
        <v>1</v>
      </c>
      <c r="M68" s="120">
        <v>2022</v>
      </c>
      <c r="N68" s="120" t="s">
        <v>76</v>
      </c>
    </row>
    <row r="69" spans="2:14" ht="22.5" thickTop="1" thickBot="1">
      <c r="B69" s="119" t="s">
        <v>1</v>
      </c>
      <c r="C69" s="120">
        <v>2022</v>
      </c>
      <c r="D69" s="120" t="s">
        <v>76</v>
      </c>
      <c r="G69" s="123" t="str">
        <f>B74</f>
        <v>PAPEL RECUPERADO / RECOVERED PAPER</v>
      </c>
      <c r="H69" s="124">
        <f>H14</f>
        <v>4839.0574799999958</v>
      </c>
      <c r="I69" s="132">
        <f>+H69*100/($H$75)</f>
        <v>1.1712541247205477</v>
      </c>
      <c r="L69" s="123" t="str">
        <f t="shared" ref="L69:L71" si="3">L12</f>
        <v>TABLEROS DE MADERA Y HOJAS DE CHAPA / WOOD-BASED PANELS AND VENEERS</v>
      </c>
      <c r="M69" s="124">
        <f>M12</f>
        <v>30671.300400000007</v>
      </c>
      <c r="N69" s="132">
        <f t="shared" ref="N69:N77" si="4">+M69*100/($M$78)</f>
        <v>62.40836224421929</v>
      </c>
    </row>
    <row r="70" spans="2:14" ht="17.25" thickTop="1" thickBot="1">
      <c r="B70" s="123" t="str">
        <f>B9</f>
        <v>PULPA DE MADERA / WOOD PULP</v>
      </c>
      <c r="C70" s="124">
        <f>C9</f>
        <v>1913547.62379087</v>
      </c>
      <c r="D70" s="132">
        <f>+C70*100/($C$77)</f>
        <v>82.508144014148783</v>
      </c>
      <c r="G70" s="123" t="str">
        <f>B71</f>
        <v>MADERA ASERRADA / SAWNWOOD</v>
      </c>
      <c r="H70" s="124">
        <f>H10</f>
        <v>183572.58491999999</v>
      </c>
      <c r="I70" s="132">
        <f t="shared" ref="I70:I74" si="5">+H70*100/($H$75)</f>
        <v>44.432236682826755</v>
      </c>
      <c r="L70" s="123" t="str">
        <f t="shared" si="3"/>
        <v>PULPA DE MADERA / WOOD PULP</v>
      </c>
      <c r="M70" s="124">
        <f t="shared" ref="M70:M77" si="6">M13</f>
        <v>4638.8524799999996</v>
      </c>
      <c r="N70" s="132">
        <f t="shared" si="4"/>
        <v>9.4388950645644911</v>
      </c>
    </row>
    <row r="71" spans="2:14" ht="17.25" thickTop="1" thickBot="1">
      <c r="B71" s="123" t="str">
        <f t="shared" ref="B71:B73" si="7">B11</f>
        <v>MADERA ASERRADA / SAWNWOOD</v>
      </c>
      <c r="C71" s="124">
        <f>C11</f>
        <v>183534.31735</v>
      </c>
      <c r="D71" s="132">
        <f t="shared" ref="D71:D76" si="8">+C71*100/($C$77)</f>
        <v>7.9136132799521377</v>
      </c>
      <c r="G71" s="123" t="str">
        <f>B72</f>
        <v>ASTILLAS Y PARTÍCULAS (CHIPS) / WOOD CHIPS AND PARTICLES</v>
      </c>
      <c r="H71" s="124">
        <f>H12</f>
        <v>120169.68204999999</v>
      </c>
      <c r="I71" s="132">
        <f t="shared" si="5"/>
        <v>29.086084707433432</v>
      </c>
      <c r="L71" s="123" t="str">
        <f t="shared" si="3"/>
        <v>MADERA ASERRADA / SAWNWOOD</v>
      </c>
      <c r="M71" s="124">
        <f t="shared" si="6"/>
        <v>8444.4372100000001</v>
      </c>
      <c r="N71" s="132">
        <f t="shared" si="4"/>
        <v>17.182300374530069</v>
      </c>
    </row>
    <row r="72" spans="2:14" ht="17.25" thickTop="1" thickBot="1">
      <c r="B72" s="123" t="str">
        <f t="shared" si="7"/>
        <v>ASTILLAS Y PARTÍCULAS (CHIPS) / WOOD CHIPS AND PARTICLES</v>
      </c>
      <c r="C72" s="124">
        <f>C12</f>
        <v>112950.73021999997</v>
      </c>
      <c r="D72" s="132">
        <f t="shared" si="8"/>
        <v>4.8701976369068563</v>
      </c>
      <c r="G72" s="123" t="str">
        <f>B73</f>
        <v>TABLEROS DE MADERA Y HOJAS DE CHAPA / WOOD-BASED PANELS AND VENEERS</v>
      </c>
      <c r="H72" s="124">
        <f>H11</f>
        <v>104103.17702</v>
      </c>
      <c r="I72" s="132">
        <f t="shared" si="5"/>
        <v>25.197319102973012</v>
      </c>
      <c r="L72" s="123" t="s">
        <v>184</v>
      </c>
      <c r="M72" s="124">
        <f t="shared" si="6"/>
        <v>3074.3533899999993</v>
      </c>
      <c r="N72" s="132">
        <f t="shared" si="4"/>
        <v>6.2555339202332441</v>
      </c>
    </row>
    <row r="73" spans="2:14" ht="17.25" thickTop="1" thickBot="1">
      <c r="B73" s="123" t="str">
        <f t="shared" si="7"/>
        <v>TABLEROS DE MADERA Y HOJAS DE CHAPA / WOOD-BASED PANELS AND VENEERS</v>
      </c>
      <c r="C73" s="124">
        <f>C13</f>
        <v>104103.17702</v>
      </c>
      <c r="D73" s="132">
        <f t="shared" si="8"/>
        <v>4.4887097739853834</v>
      </c>
      <c r="G73" s="123" t="str">
        <f>B75</f>
        <v>PAPEL Y CARTÓN / PAPER AND PAPERBOARD</v>
      </c>
      <c r="H73" s="124">
        <f>H15</f>
        <v>467.29692</v>
      </c>
      <c r="I73" s="132">
        <f t="shared" si="5"/>
        <v>0.11310538204625921</v>
      </c>
      <c r="L73" s="123" t="str">
        <f>L16</f>
        <v>CARBÓN VEGETAL / WOOD CHARCOAL</v>
      </c>
      <c r="M73" s="124">
        <f t="shared" si="6"/>
        <v>1521.9973000000009</v>
      </c>
      <c r="N73" s="132">
        <f t="shared" si="4"/>
        <v>3.096880718925231</v>
      </c>
    </row>
    <row r="74" spans="2:14" ht="17.25" thickTop="1" thickBot="1">
      <c r="B74" s="123" t="str">
        <f>B15</f>
        <v>PAPEL RECUPERADO / RECOVERED PAPER</v>
      </c>
      <c r="C74" s="124">
        <f>C15</f>
        <v>4839.0574799999958</v>
      </c>
      <c r="D74" s="132">
        <f t="shared" si="8"/>
        <v>0.2086499685132574</v>
      </c>
      <c r="G74" s="123" t="str">
        <f>B76</f>
        <v>RESIDUOS DE MADERA / WOOD RESIDUES</v>
      </c>
      <c r="H74" s="124">
        <f>H17</f>
        <v>0</v>
      </c>
      <c r="I74" s="132">
        <f t="shared" si="5"/>
        <v>0</v>
      </c>
      <c r="L74" s="123" t="str">
        <f>L17</f>
        <v>PAPEL RECUPERADO / RECOVERED PAPER</v>
      </c>
      <c r="M74" s="124">
        <f t="shared" si="6"/>
        <v>458.98906000000005</v>
      </c>
      <c r="N74" s="132">
        <f t="shared" si="4"/>
        <v>0.93392699849836469</v>
      </c>
    </row>
    <row r="75" spans="2:14" ht="22.5" thickTop="1" thickBot="1">
      <c r="B75" s="123" t="str">
        <f>B16</f>
        <v>PAPEL Y CARTÓN / PAPER AND PAPERBOARD</v>
      </c>
      <c r="C75" s="124">
        <f>C16</f>
        <v>247.81652000000003</v>
      </c>
      <c r="D75" s="132">
        <f t="shared" si="8"/>
        <v>1.068532649359335E-2</v>
      </c>
      <c r="G75" s="121" t="s">
        <v>51</v>
      </c>
      <c r="H75" s="122">
        <f>SUM(H69:H74)</f>
        <v>413151.79838999995</v>
      </c>
      <c r="I75" s="122">
        <f>SUM(I69:I74)</f>
        <v>100</v>
      </c>
      <c r="L75" s="123" t="str">
        <f>L18</f>
        <v>ASTILLAS, PARTÍCULAS (CHIPS)</v>
      </c>
      <c r="M75" s="124">
        <f t="shared" si="6"/>
        <v>83.61281000000001</v>
      </c>
      <c r="N75" s="132">
        <f t="shared" si="4"/>
        <v>0.1701309845583554</v>
      </c>
    </row>
    <row r="76" spans="2:14" ht="17.25" thickTop="1" thickBot="1">
      <c r="B76" s="123" t="str">
        <f>B18</f>
        <v>RESIDUOS DE MADERA / WOOD RESIDUES</v>
      </c>
      <c r="C76" s="124">
        <f>C18</f>
        <v>0</v>
      </c>
      <c r="D76" s="132">
        <f t="shared" si="8"/>
        <v>0</v>
      </c>
      <c r="L76" s="123" t="str">
        <f>L19</f>
        <v>OTROS TIPOS DE PULPA / OTHER PULP</v>
      </c>
      <c r="M76" s="124">
        <f t="shared" si="6"/>
        <v>193.72221000000002</v>
      </c>
      <c r="N76" s="132">
        <f t="shared" si="4"/>
        <v>0.39417584839117931</v>
      </c>
    </row>
    <row r="77" spans="2:14" ht="22.5" thickTop="1" thickBot="1">
      <c r="B77" s="121" t="s">
        <v>51</v>
      </c>
      <c r="C77" s="122">
        <f>SUM(C70:C76)</f>
        <v>2319222.7223808696</v>
      </c>
      <c r="D77" s="122">
        <f>SUM(D70:D76)</f>
        <v>100</v>
      </c>
      <c r="H77" s="14"/>
      <c r="L77" s="123" t="str">
        <f>L20</f>
        <v>RESIDUOS DE MADERA / WOOD WASTE</v>
      </c>
      <c r="M77" s="124">
        <f t="shared" si="6"/>
        <v>58.874050000000004</v>
      </c>
      <c r="N77" s="132">
        <f t="shared" si="4"/>
        <v>0.11979384607977944</v>
      </c>
    </row>
    <row r="78" spans="2:14" ht="22.5" thickTop="1" thickBot="1">
      <c r="L78" s="121" t="s">
        <v>51</v>
      </c>
      <c r="M78" s="122">
        <f>SUM(M69:M77)</f>
        <v>49146.138910000009</v>
      </c>
      <c r="N78" s="122">
        <f>SUM(N69:N77)</f>
        <v>100.00000000000001</v>
      </c>
    </row>
    <row r="79" spans="2:14" ht="13.5" thickTop="1">
      <c r="C79" s="14"/>
    </row>
    <row r="82" spans="22:22" ht="20.25">
      <c r="V82" s="34"/>
    </row>
    <row r="83" spans="22:22" ht="18">
      <c r="V83" s="33"/>
    </row>
    <row r="120" spans="2:12">
      <c r="G120" s="11"/>
    </row>
    <row r="122" spans="2:12" ht="15.75">
      <c r="B122" s="11" t="s">
        <v>175</v>
      </c>
      <c r="G122" s="99" t="s">
        <v>175</v>
      </c>
      <c r="L122" s="99" t="s">
        <v>175</v>
      </c>
    </row>
  </sheetData>
  <sortState ref="B9:D18">
    <sortCondition descending="1" ref="C9:C18"/>
  </sortState>
  <mergeCells count="13">
    <mergeCell ref="C2:E2"/>
    <mergeCell ref="G6:I6"/>
    <mergeCell ref="G7:I7"/>
    <mergeCell ref="L6:N6"/>
    <mergeCell ref="L7:N7"/>
    <mergeCell ref="B6:D6"/>
    <mergeCell ref="B7:D7"/>
    <mergeCell ref="B67:D67"/>
    <mergeCell ref="B68:D68"/>
    <mergeCell ref="G66:I66"/>
    <mergeCell ref="G67:I67"/>
    <mergeCell ref="L66:N66"/>
    <mergeCell ref="L67:N67"/>
  </mergeCells>
  <pageMargins left="0" right="0" top="0" bottom="0" header="0" footer="0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G24:I42"/>
  <sheetViews>
    <sheetView topLeftCell="B1" workbookViewId="0">
      <selection activeCell="H33" sqref="H33"/>
    </sheetView>
  </sheetViews>
  <sheetFormatPr baseColWidth="10" defaultRowHeight="12.75"/>
  <cols>
    <col min="7" max="7" width="59.42578125" customWidth="1"/>
  </cols>
  <sheetData>
    <row r="24" spans="7:8" ht="13.5" thickBot="1"/>
    <row r="25" spans="7:8" ht="13.5" thickBot="1">
      <c r="G25" s="165" t="s">
        <v>322</v>
      </c>
      <c r="H25" s="166" t="s">
        <v>323</v>
      </c>
    </row>
    <row r="26" spans="7:8" ht="13.5" thickBot="1">
      <c r="G26" s="167" t="s">
        <v>324</v>
      </c>
      <c r="H26" s="168">
        <f>'Extrac-prod Sin Zona Franca'!Z27</f>
        <v>10608.177667364685</v>
      </c>
    </row>
    <row r="27" spans="7:8" ht="13.5" thickBot="1">
      <c r="G27" s="169" t="s">
        <v>325</v>
      </c>
      <c r="H27" s="170">
        <f>'Extrac- Prod Con Zona Franca'!N16</f>
        <v>2352.3178000000007</v>
      </c>
    </row>
    <row r="28" spans="7:8" ht="13.5" thickBot="1">
      <c r="G28" s="171" t="s">
        <v>326</v>
      </c>
      <c r="H28" s="172">
        <f>'Extrac- Prod Con Zona Franca'!N22</f>
        <v>3995.5148031400004</v>
      </c>
    </row>
    <row r="29" spans="7:8" ht="13.5" thickBot="1">
      <c r="G29" s="167" t="s">
        <v>327</v>
      </c>
      <c r="H29" s="175">
        <f>'Extrac- Prod Con Zona Franca'!N28</f>
        <v>50</v>
      </c>
    </row>
    <row r="30" spans="7:8">
      <c r="G30" s="184" t="s">
        <v>345</v>
      </c>
      <c r="H30" s="198">
        <f>SUM(H26:H29)</f>
        <v>17006.010270504688</v>
      </c>
    </row>
    <row r="37" spans="7:9" ht="15">
      <c r="G37" s="185" t="s">
        <v>322</v>
      </c>
      <c r="H37" s="185" t="s">
        <v>346</v>
      </c>
      <c r="I37" s="185" t="s">
        <v>76</v>
      </c>
    </row>
    <row r="38" spans="7:9" ht="15">
      <c r="G38" s="188" t="s">
        <v>324</v>
      </c>
      <c r="H38" s="186">
        <v>10608.177667364685</v>
      </c>
      <c r="I38" s="186">
        <f>+H38*100/H42</f>
        <v>62.37899130146689</v>
      </c>
    </row>
    <row r="39" spans="7:9" ht="15">
      <c r="G39" s="188" t="s">
        <v>325</v>
      </c>
      <c r="H39" s="186">
        <v>2352.3178000000007</v>
      </c>
      <c r="I39" s="186">
        <f>+H39*100/H42</f>
        <v>13.832273193906468</v>
      </c>
    </row>
    <row r="40" spans="7:9" ht="15">
      <c r="G40" s="188" t="s">
        <v>326</v>
      </c>
      <c r="H40" s="186">
        <v>3995.5148031400004</v>
      </c>
      <c r="I40" s="186">
        <f>+H40*100/H42</f>
        <v>23.494721804736539</v>
      </c>
    </row>
    <row r="41" spans="7:9" ht="15">
      <c r="G41" s="188" t="s">
        <v>327</v>
      </c>
      <c r="H41" s="186">
        <v>50</v>
      </c>
      <c r="I41" s="186">
        <f>+H41*100/H42</f>
        <v>0.29401369989009274</v>
      </c>
    </row>
    <row r="42" spans="7:9" ht="15">
      <c r="G42" s="189" t="s">
        <v>345</v>
      </c>
      <c r="H42" s="187">
        <f>SUM(H38:H41)</f>
        <v>17006.010270504688</v>
      </c>
      <c r="I42" s="187">
        <f>SUM(I38:I41)</f>
        <v>99.999999999999986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72"/>
  <sheetViews>
    <sheetView showGridLines="0" zoomScale="60" zoomScaleNormal="60" workbookViewId="0">
      <pane xSplit="3" topLeftCell="T1" activePane="topRight" state="frozen"/>
      <selection pane="topRight" activeCell="AB15" sqref="AB15:AE15"/>
    </sheetView>
  </sheetViews>
  <sheetFormatPr baseColWidth="10" defaultRowHeight="12.75"/>
  <cols>
    <col min="1" max="1" width="22.42578125" customWidth="1"/>
    <col min="2" max="2" width="125.42578125" customWidth="1"/>
    <col min="3" max="3" width="22.28515625" customWidth="1"/>
    <col min="4" max="21" width="11.42578125" customWidth="1"/>
    <col min="22" max="26" width="13" customWidth="1"/>
    <col min="28" max="28" width="18" customWidth="1"/>
    <col min="29" max="29" width="17.5703125" bestFit="1" customWidth="1"/>
    <col min="30" max="30" width="15.28515625" customWidth="1"/>
    <col min="33" max="33" width="21" customWidth="1"/>
    <col min="34" max="34" width="26" customWidth="1"/>
    <col min="35" max="35" width="26.140625" customWidth="1"/>
    <col min="36" max="36" width="18.28515625" customWidth="1"/>
    <col min="38" max="38" width="21" customWidth="1"/>
    <col min="39" max="39" width="26" customWidth="1"/>
    <col min="40" max="40" width="26.140625" customWidth="1"/>
    <col min="41" max="41" width="18.28515625" customWidth="1"/>
  </cols>
  <sheetData>
    <row r="1" spans="1:41" ht="15.75">
      <c r="B1" s="7"/>
      <c r="C1" s="5"/>
    </row>
    <row r="2" spans="1:41">
      <c r="B2" s="4"/>
      <c r="C2" s="10"/>
      <c r="D2" s="2"/>
      <c r="E2" s="2"/>
      <c r="F2" s="2"/>
      <c r="G2" s="2"/>
      <c r="H2" s="2"/>
      <c r="I2" s="1"/>
      <c r="J2" s="1"/>
    </row>
    <row r="3" spans="1:41">
      <c r="B3" s="4"/>
      <c r="C3" s="10"/>
      <c r="D3" s="2"/>
      <c r="E3" s="2"/>
      <c r="F3" s="2"/>
      <c r="G3" s="2"/>
      <c r="H3" s="2"/>
      <c r="I3" s="1"/>
      <c r="J3" s="1"/>
    </row>
    <row r="4" spans="1:41">
      <c r="B4" s="4"/>
      <c r="C4" s="10"/>
      <c r="D4" s="2"/>
      <c r="E4" s="2"/>
      <c r="F4" s="2"/>
      <c r="G4" s="2"/>
      <c r="H4" s="2"/>
      <c r="I4" s="1"/>
      <c r="J4" s="1"/>
    </row>
    <row r="5" spans="1:41">
      <c r="B5" s="4"/>
      <c r="C5" s="10"/>
      <c r="D5" s="2"/>
      <c r="E5" s="2"/>
      <c r="F5" s="2"/>
      <c r="G5" s="2"/>
      <c r="H5" s="2"/>
      <c r="I5" s="1"/>
      <c r="J5" s="1"/>
    </row>
    <row r="6" spans="1:41">
      <c r="B6" s="4"/>
      <c r="C6" s="10"/>
      <c r="D6" s="2"/>
      <c r="E6" s="2"/>
      <c r="F6" s="2"/>
      <c r="G6" s="2"/>
      <c r="H6" s="2"/>
      <c r="I6" s="1"/>
      <c r="J6" s="1"/>
    </row>
    <row r="7" spans="1:41" ht="36">
      <c r="B7" s="4"/>
      <c r="C7" s="24"/>
      <c r="E7" s="25"/>
      <c r="F7" s="25"/>
      <c r="G7" s="25"/>
      <c r="H7" s="25"/>
      <c r="I7" s="26"/>
      <c r="J7" s="26"/>
      <c r="K7" s="27"/>
      <c r="L7" s="27"/>
      <c r="M7" s="28"/>
      <c r="N7" s="28"/>
    </row>
    <row r="8" spans="1:41">
      <c r="B8" s="4"/>
      <c r="C8" s="10"/>
      <c r="D8" s="2"/>
      <c r="E8" s="2"/>
      <c r="F8" s="2"/>
      <c r="G8" s="2"/>
      <c r="H8" s="2"/>
      <c r="I8" s="1"/>
      <c r="J8" s="1"/>
    </row>
    <row r="9" spans="1:41" ht="23.25">
      <c r="B9" s="4"/>
      <c r="C9" s="10"/>
      <c r="D9" s="2"/>
      <c r="E9" s="220"/>
      <c r="F9" s="220"/>
      <c r="G9" s="220"/>
      <c r="H9" s="220"/>
      <c r="I9" s="220"/>
      <c r="J9" s="220"/>
      <c r="K9" s="220"/>
    </row>
    <row r="10" spans="1:41" ht="18" customHeight="1">
      <c r="B10" s="4"/>
      <c r="C10" s="10"/>
      <c r="D10" s="23"/>
      <c r="E10" s="2"/>
      <c r="F10" s="2"/>
      <c r="G10" s="2"/>
      <c r="H10" s="2"/>
      <c r="I10" s="1"/>
      <c r="J10" s="1"/>
    </row>
    <row r="11" spans="1:41" ht="17.25" customHeight="1">
      <c r="B11" s="4"/>
      <c r="C11" s="10"/>
      <c r="D11" s="2"/>
      <c r="E11" s="2"/>
      <c r="F11" s="2"/>
      <c r="G11" s="2"/>
      <c r="H11" s="2"/>
      <c r="I11" s="1"/>
      <c r="J11" s="1"/>
    </row>
    <row r="12" spans="1:41" ht="23.25">
      <c r="A12" s="222" t="s">
        <v>162</v>
      </c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M12">
        <v>2022</v>
      </c>
    </row>
    <row r="13" spans="1:41" ht="18" thickBot="1">
      <c r="A13" s="78" t="s">
        <v>101</v>
      </c>
      <c r="B13" s="78" t="s">
        <v>102</v>
      </c>
      <c r="C13" s="79" t="s">
        <v>103</v>
      </c>
      <c r="D13" s="78">
        <v>2000</v>
      </c>
      <c r="E13" s="78">
        <v>2001</v>
      </c>
      <c r="F13" s="78">
        <v>2002</v>
      </c>
      <c r="G13" s="78">
        <v>2003</v>
      </c>
      <c r="H13" s="78">
        <v>2004</v>
      </c>
      <c r="I13" s="78">
        <v>2005</v>
      </c>
      <c r="J13" s="78">
        <v>2006</v>
      </c>
      <c r="K13" s="78">
        <v>2007</v>
      </c>
      <c r="L13" s="78">
        <v>2008</v>
      </c>
      <c r="M13" s="78">
        <v>2009</v>
      </c>
      <c r="N13" s="78">
        <v>2010</v>
      </c>
      <c r="O13" s="78">
        <v>2011</v>
      </c>
      <c r="P13" s="78">
        <v>2012</v>
      </c>
      <c r="Q13" s="78">
        <v>2013</v>
      </c>
      <c r="R13" s="78">
        <v>2014</v>
      </c>
      <c r="S13" s="78">
        <v>2015</v>
      </c>
      <c r="T13" s="78">
        <v>2016</v>
      </c>
      <c r="U13" s="78">
        <v>2017</v>
      </c>
      <c r="V13" s="78">
        <v>2018</v>
      </c>
      <c r="W13" s="78">
        <v>2019</v>
      </c>
      <c r="X13" s="78">
        <v>2020</v>
      </c>
      <c r="Y13" s="78">
        <v>2021</v>
      </c>
      <c r="Z13" s="78">
        <v>2022</v>
      </c>
      <c r="AL13" s="78" t="s">
        <v>90</v>
      </c>
      <c r="AM13" t="s">
        <v>352</v>
      </c>
      <c r="AN13" s="78" t="s">
        <v>91</v>
      </c>
      <c r="AO13" s="78" t="s">
        <v>92</v>
      </c>
    </row>
    <row r="14" spans="1:41" ht="31.5" customHeight="1" thickTop="1" thickBot="1">
      <c r="A14" s="80">
        <v>1</v>
      </c>
      <c r="B14" s="94" t="s">
        <v>122</v>
      </c>
      <c r="C14" s="81" t="s">
        <v>41</v>
      </c>
      <c r="D14" s="82">
        <f>SUM(D15:D16)</f>
        <v>2654.8235532004369</v>
      </c>
      <c r="E14" s="82">
        <f>SUM(E15:E16)</f>
        <v>2626.05167419998</v>
      </c>
      <c r="F14" s="82">
        <v>2698.2060005941366</v>
      </c>
      <c r="G14" s="83">
        <v>4668.984931189796</v>
      </c>
      <c r="H14" s="83">
        <f t="shared" ref="H14:W14" si="0">SUM(H15:H16)</f>
        <v>3776.6909205344809</v>
      </c>
      <c r="I14" s="93">
        <f t="shared" si="0"/>
        <v>4437.7933930811269</v>
      </c>
      <c r="J14" s="83">
        <f t="shared" si="0"/>
        <v>4719.3880168108499</v>
      </c>
      <c r="K14" s="162">
        <f t="shared" si="0"/>
        <v>5118.6597722964689</v>
      </c>
      <c r="L14" s="162">
        <f t="shared" si="0"/>
        <v>5786.6383255979435</v>
      </c>
      <c r="M14" s="162">
        <f t="shared" si="0"/>
        <v>4522.6161378103916</v>
      </c>
      <c r="N14" s="163">
        <f t="shared" si="0"/>
        <v>6216.4241730245167</v>
      </c>
      <c r="O14" s="163">
        <f t="shared" si="0"/>
        <v>6235.3060028440268</v>
      </c>
      <c r="P14" s="193">
        <f t="shared" si="0"/>
        <v>5269.4960056919945</v>
      </c>
      <c r="Q14" s="163">
        <f t="shared" si="0"/>
        <v>5643.9865061470246</v>
      </c>
      <c r="R14" s="163">
        <f t="shared" si="0"/>
        <v>5551.1717116802511</v>
      </c>
      <c r="S14" s="163">
        <f t="shared" si="0"/>
        <v>4524.5277935283593</v>
      </c>
      <c r="T14" s="163">
        <f t="shared" si="0"/>
        <v>4509.3999999999996</v>
      </c>
      <c r="U14" s="163">
        <f t="shared" si="0"/>
        <v>5449.2714597490922</v>
      </c>
      <c r="V14" s="163">
        <f t="shared" si="0"/>
        <v>5776.101150272727</v>
      </c>
      <c r="W14" s="163">
        <f t="shared" si="0"/>
        <v>5338</v>
      </c>
      <c r="X14" s="162">
        <f t="shared" ref="X14:Z14" si="1">SUM(X15:X16)</f>
        <v>4782.0791193900004</v>
      </c>
      <c r="Y14" s="162">
        <f t="shared" si="1"/>
        <v>5529.6125200000006</v>
      </c>
      <c r="Z14" s="162">
        <f t="shared" si="1"/>
        <v>6065.842089364668</v>
      </c>
      <c r="AL14" s="87">
        <f>SUM(AL15:AL16)</f>
        <v>17006.010270504688</v>
      </c>
      <c r="AM14" s="87">
        <v>8.5470513000000015</v>
      </c>
      <c r="AN14" s="83">
        <v>10948.715232440019</v>
      </c>
      <c r="AO14" s="83">
        <f t="shared" ref="AO14:AO19" si="2">+AL14+AM14-AN14</f>
        <v>6065.8420893646689</v>
      </c>
    </row>
    <row r="15" spans="1:41" ht="35.25" customHeight="1" thickTop="1" thickBot="1">
      <c r="A15" s="85">
        <v>1.1000000000000001</v>
      </c>
      <c r="B15" s="95" t="s">
        <v>287</v>
      </c>
      <c r="C15" s="86" t="s">
        <v>41</v>
      </c>
      <c r="D15" s="87">
        <v>1987.8235532004369</v>
      </c>
      <c r="E15" s="87">
        <v>1939.0516741999802</v>
      </c>
      <c r="F15" s="87">
        <v>1962.2060005941364</v>
      </c>
      <c r="G15" s="87">
        <v>2043.492465594898</v>
      </c>
      <c r="H15" s="87">
        <v>2063.6909205344809</v>
      </c>
      <c r="I15" s="87">
        <v>2190.7933930811264</v>
      </c>
      <c r="J15" s="87">
        <v>2452.3880168108494</v>
      </c>
      <c r="K15" s="87">
        <v>2534.6597722964684</v>
      </c>
      <c r="L15" s="87">
        <v>2368.6383255979431</v>
      </c>
      <c r="M15" s="87">
        <v>2403.616137810392</v>
      </c>
      <c r="N15" s="87">
        <v>2617.4241730245167</v>
      </c>
      <c r="O15" s="87">
        <v>2759.3060028440264</v>
      </c>
      <c r="P15" s="87">
        <v>2704.1297356919949</v>
      </c>
      <c r="Q15" s="87">
        <v>2755.8574861470247</v>
      </c>
      <c r="R15" s="87">
        <v>2755.8574861470247</v>
      </c>
      <c r="S15" s="87">
        <v>2777</v>
      </c>
      <c r="T15" s="87">
        <v>2785.4</v>
      </c>
      <c r="U15" s="87">
        <v>2566.1200880000001</v>
      </c>
      <c r="V15" s="87">
        <v>2566.1200880000001</v>
      </c>
      <c r="W15" s="87">
        <v>2629</v>
      </c>
      <c r="X15" s="87">
        <v>2629.1769840000002</v>
      </c>
      <c r="Y15" s="87">
        <v>2332.6125200000006</v>
      </c>
      <c r="Z15" s="176">
        <v>2352.3178000000007</v>
      </c>
      <c r="AB15" s="221">
        <v>2020</v>
      </c>
      <c r="AC15" s="221"/>
      <c r="AD15" s="221"/>
      <c r="AE15" s="221"/>
      <c r="AG15" s="221">
        <v>2021</v>
      </c>
      <c r="AH15" s="221"/>
      <c r="AI15" s="221"/>
      <c r="AJ15" s="221"/>
      <c r="AL15" s="87">
        <v>2352.3178000000007</v>
      </c>
      <c r="AM15" s="87">
        <v>0</v>
      </c>
      <c r="AN15" s="83">
        <v>0</v>
      </c>
      <c r="AO15" s="83">
        <f t="shared" si="2"/>
        <v>2352.3178000000007</v>
      </c>
    </row>
    <row r="16" spans="1:41" ht="18.75" thickTop="1" thickBot="1">
      <c r="A16" s="85">
        <v>1.2</v>
      </c>
      <c r="B16" s="95" t="s">
        <v>124</v>
      </c>
      <c r="C16" s="86" t="s">
        <v>41</v>
      </c>
      <c r="D16" s="87">
        <f>SUM(D17:D18)</f>
        <v>667</v>
      </c>
      <c r="E16" s="87">
        <f t="shared" ref="E16:J16" si="3">SUM(E17:E18)</f>
        <v>687</v>
      </c>
      <c r="F16" s="87">
        <f t="shared" si="3"/>
        <v>736</v>
      </c>
      <c r="G16" s="87">
        <f t="shared" si="3"/>
        <v>2625.492465594898</v>
      </c>
      <c r="H16" s="87">
        <f t="shared" si="3"/>
        <v>1713</v>
      </c>
      <c r="I16" s="87">
        <f t="shared" si="3"/>
        <v>2247</v>
      </c>
      <c r="J16" s="87">
        <f t="shared" si="3"/>
        <v>2267</v>
      </c>
      <c r="K16" s="176">
        <f>SUM(K17:K18)</f>
        <v>2584</v>
      </c>
      <c r="L16" s="176">
        <f t="shared" ref="L16:N16" si="4">SUM(L17:L18)</f>
        <v>3418</v>
      </c>
      <c r="M16" s="176">
        <f t="shared" si="4"/>
        <v>2119</v>
      </c>
      <c r="N16" s="176">
        <f t="shared" si="4"/>
        <v>3599</v>
      </c>
      <c r="O16" s="176">
        <f>SUM(O17:O18)</f>
        <v>3476</v>
      </c>
      <c r="P16" s="176">
        <f t="shared" ref="P16:Q16" si="5">SUM(P17:P18)</f>
        <v>2565.3662699999995</v>
      </c>
      <c r="Q16" s="176">
        <f t="shared" si="5"/>
        <v>2888.1290200000003</v>
      </c>
      <c r="R16" s="176">
        <f t="shared" ref="R16" si="6">SUM(R17:R18)</f>
        <v>2795.3142255332264</v>
      </c>
      <c r="S16" s="176">
        <f t="shared" ref="S16" si="7">SUM(S17:S18)</f>
        <v>1747.5277935283598</v>
      </c>
      <c r="T16" s="176">
        <f t="shared" ref="T16" si="8">SUM(T17:T18)</f>
        <v>1724</v>
      </c>
      <c r="U16" s="176">
        <f t="shared" ref="U16" si="9">SUM(U17:U18)</f>
        <v>2883.151371749092</v>
      </c>
      <c r="V16" s="176">
        <f t="shared" ref="V16" si="10">SUM(V17:V18)</f>
        <v>3209.9810622727273</v>
      </c>
      <c r="W16" s="176">
        <f t="shared" ref="W16" si="11">SUM(W17:W18)</f>
        <v>2709</v>
      </c>
      <c r="X16" s="176">
        <f>SUM(X17:X18)</f>
        <v>2152.9021353899998</v>
      </c>
      <c r="Y16" s="176">
        <f>SUM(Y17:Y18)</f>
        <v>3197</v>
      </c>
      <c r="Z16" s="176">
        <f>SUM(Z17:Z18)</f>
        <v>3713.5242893646673</v>
      </c>
      <c r="AL16" s="87">
        <f>AL17+AL18</f>
        <v>14653.692470504686</v>
      </c>
      <c r="AM16" s="87">
        <v>8.5470513000000015</v>
      </c>
      <c r="AN16" s="83">
        <v>10948.715232440019</v>
      </c>
      <c r="AO16" s="83">
        <f t="shared" si="2"/>
        <v>3713.5242893646664</v>
      </c>
    </row>
    <row r="17" spans="1:41" ht="18.75" thickTop="1" thickBot="1">
      <c r="A17" s="70" t="s">
        <v>6</v>
      </c>
      <c r="B17" s="96" t="s">
        <v>125</v>
      </c>
      <c r="C17" s="71" t="s">
        <v>41</v>
      </c>
      <c r="D17" s="72">
        <v>263</v>
      </c>
      <c r="E17" s="72">
        <v>257</v>
      </c>
      <c r="F17" s="72">
        <v>304</v>
      </c>
      <c r="G17" s="72">
        <v>2037.492465594898</v>
      </c>
      <c r="H17" s="72">
        <v>210</v>
      </c>
      <c r="I17" s="72">
        <v>220</v>
      </c>
      <c r="J17" s="72">
        <v>354</v>
      </c>
      <c r="K17" s="72">
        <v>514</v>
      </c>
      <c r="L17" s="72">
        <v>495</v>
      </c>
      <c r="M17" s="72">
        <v>434</v>
      </c>
      <c r="N17" s="72">
        <v>680</v>
      </c>
      <c r="O17" s="72">
        <v>726</v>
      </c>
      <c r="P17" s="72">
        <v>624.75049999999987</v>
      </c>
      <c r="Q17" s="72">
        <v>612.89598000000001</v>
      </c>
      <c r="R17" s="72">
        <v>739.13536553324104</v>
      </c>
      <c r="S17" s="72">
        <v>757.28760220609593</v>
      </c>
      <c r="T17" s="72">
        <v>750</v>
      </c>
      <c r="U17" s="72">
        <v>995.42396212121594</v>
      </c>
      <c r="V17" s="72">
        <v>1114.9810622727273</v>
      </c>
      <c r="W17" s="72">
        <v>1184</v>
      </c>
      <c r="X17" s="192">
        <v>1165.9021353899998</v>
      </c>
      <c r="Y17" s="192">
        <v>1252</v>
      </c>
      <c r="Z17" s="192">
        <v>1475.4993899999999</v>
      </c>
      <c r="AB17" s="72">
        <v>3487.0263917386364</v>
      </c>
      <c r="AC17" s="72">
        <v>1.4135389999999999E-2</v>
      </c>
      <c r="AD17" s="72">
        <v>2321.1383917386365</v>
      </c>
      <c r="AE17" s="72">
        <f t="shared" ref="AE17:AE18" si="12">+AB17+AC17-AD17</f>
        <v>1165.9021353899998</v>
      </c>
      <c r="AG17" s="72">
        <v>3903.9713199999997</v>
      </c>
      <c r="AH17" s="72">
        <v>0</v>
      </c>
      <c r="AI17" s="72">
        <v>2652.2493199999999</v>
      </c>
      <c r="AJ17" s="72">
        <f t="shared" ref="AJ17:AJ18" si="13">+AG17+AH17-AI17</f>
        <v>1251.7219999999998</v>
      </c>
      <c r="AL17" s="87">
        <v>3111.1378724400001</v>
      </c>
      <c r="AM17" s="87">
        <v>0</v>
      </c>
      <c r="AN17" s="83">
        <v>1635.6384824400002</v>
      </c>
      <c r="AO17" s="83">
        <f t="shared" si="2"/>
        <v>1475.4993899999999</v>
      </c>
    </row>
    <row r="18" spans="1:41" ht="18.75" thickTop="1" thickBot="1">
      <c r="A18" s="70" t="s">
        <v>7</v>
      </c>
      <c r="B18" s="96" t="s">
        <v>126</v>
      </c>
      <c r="C18" s="71" t="s">
        <v>41</v>
      </c>
      <c r="D18" s="72">
        <v>404</v>
      </c>
      <c r="E18" s="72">
        <v>430</v>
      </c>
      <c r="F18" s="72">
        <v>432</v>
      </c>
      <c r="G18" s="72">
        <v>588</v>
      </c>
      <c r="H18" s="72">
        <v>1503</v>
      </c>
      <c r="I18" s="72">
        <v>2027</v>
      </c>
      <c r="J18" s="72">
        <v>1913</v>
      </c>
      <c r="K18" s="72">
        <v>2070</v>
      </c>
      <c r="L18" s="72">
        <v>2923</v>
      </c>
      <c r="M18" s="72">
        <v>1685</v>
      </c>
      <c r="N18" s="72">
        <v>2919</v>
      </c>
      <c r="O18" s="72">
        <v>2750</v>
      </c>
      <c r="P18" s="72">
        <v>1940.6157699999994</v>
      </c>
      <c r="Q18" s="72">
        <v>2275.2330400000001</v>
      </c>
      <c r="R18" s="72">
        <v>2056.1788599999854</v>
      </c>
      <c r="S18" s="72">
        <v>990.24019132226385</v>
      </c>
      <c r="T18" s="72">
        <v>974</v>
      </c>
      <c r="U18" s="72">
        <v>1887.7274096278761</v>
      </c>
      <c r="V18" s="72">
        <v>2095</v>
      </c>
      <c r="W18" s="72">
        <v>1525</v>
      </c>
      <c r="X18" s="192">
        <v>987</v>
      </c>
      <c r="Y18" s="192">
        <v>1945</v>
      </c>
      <c r="Z18" s="192">
        <v>2238.0248993646674</v>
      </c>
      <c r="AB18" s="72">
        <v>11858.828081719999</v>
      </c>
      <c r="AC18" s="72">
        <v>5.39014974</v>
      </c>
      <c r="AD18" s="72">
        <v>10877.260729999989</v>
      </c>
      <c r="AE18" s="72">
        <f t="shared" si="12"/>
        <v>986.95750146001046</v>
      </c>
      <c r="AG18" s="72">
        <v>11842.59420172</v>
      </c>
      <c r="AH18" s="72">
        <v>6.1512276000000004</v>
      </c>
      <c r="AI18" s="72">
        <v>9903.8252600000105</v>
      </c>
      <c r="AJ18" s="72">
        <f t="shared" si="13"/>
        <v>1944.9201693199884</v>
      </c>
      <c r="AL18" s="87">
        <v>11542.554598064686</v>
      </c>
      <c r="AM18" s="72">
        <v>8.5470513000000015</v>
      </c>
      <c r="AN18" s="83">
        <v>9313.0767500000184</v>
      </c>
      <c r="AO18" s="83">
        <f>+AL18+AM18-AN18</f>
        <v>2238.0248993646674</v>
      </c>
    </row>
    <row r="19" spans="1:41" ht="18.75" thickTop="1" thickBot="1">
      <c r="A19" s="117" t="s">
        <v>63</v>
      </c>
      <c r="B19" s="96" t="s">
        <v>155</v>
      </c>
      <c r="C19" s="71" t="s">
        <v>40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7</v>
      </c>
      <c r="L19" s="72">
        <v>6</v>
      </c>
      <c r="M19" s="72">
        <v>5</v>
      </c>
      <c r="N19" s="72">
        <v>5</v>
      </c>
      <c r="O19" s="72">
        <v>9</v>
      </c>
      <c r="P19" s="72">
        <v>6</v>
      </c>
      <c r="Q19" s="72">
        <v>6</v>
      </c>
      <c r="R19" s="72">
        <v>2.4763000000000002</v>
      </c>
      <c r="S19" s="72">
        <v>2.8369</v>
      </c>
      <c r="T19" s="72">
        <v>4</v>
      </c>
      <c r="U19" s="72">
        <v>3.7707773699999998</v>
      </c>
      <c r="V19" s="72">
        <v>2.6275454599999999</v>
      </c>
      <c r="W19" s="72">
        <v>3.1864302499999999</v>
      </c>
      <c r="X19" s="72">
        <v>5.1738843799999996</v>
      </c>
      <c r="Y19" s="72">
        <v>6.1512276000000004</v>
      </c>
      <c r="Z19" s="192">
        <v>8.5470513000000015</v>
      </c>
      <c r="AB19" s="78" t="s">
        <v>90</v>
      </c>
      <c r="AC19" s="78" t="s">
        <v>93</v>
      </c>
      <c r="AD19" s="78" t="s">
        <v>91</v>
      </c>
      <c r="AE19" s="78" t="s">
        <v>92</v>
      </c>
      <c r="AG19" s="78" t="s">
        <v>90</v>
      </c>
      <c r="AH19" s="78" t="s">
        <v>93</v>
      </c>
      <c r="AI19" s="78" t="s">
        <v>91</v>
      </c>
      <c r="AJ19" s="78" t="s">
        <v>92</v>
      </c>
      <c r="AL19" s="87">
        <v>0</v>
      </c>
      <c r="AM19" s="82">
        <v>8.5470513000000015</v>
      </c>
      <c r="AN19" s="83">
        <v>0</v>
      </c>
      <c r="AO19" s="83">
        <f t="shared" si="2"/>
        <v>8.5470513000000015</v>
      </c>
    </row>
    <row r="20" spans="1:41" ht="18.75" thickTop="1" thickBot="1">
      <c r="A20" s="80">
        <v>2</v>
      </c>
      <c r="B20" s="94" t="s">
        <v>315</v>
      </c>
      <c r="C20" s="81" t="s">
        <v>17</v>
      </c>
      <c r="D20" s="82">
        <v>4</v>
      </c>
      <c r="E20" s="82">
        <v>3</v>
      </c>
      <c r="F20" s="82">
        <v>11</v>
      </c>
      <c r="G20" s="82">
        <v>11</v>
      </c>
      <c r="H20" s="82">
        <v>1</v>
      </c>
      <c r="I20" s="82">
        <v>1</v>
      </c>
      <c r="J20" s="82">
        <v>1</v>
      </c>
      <c r="K20" s="82">
        <v>1</v>
      </c>
      <c r="L20" s="82">
        <v>1</v>
      </c>
      <c r="M20" s="82">
        <v>2</v>
      </c>
      <c r="N20" s="82">
        <v>2</v>
      </c>
      <c r="O20" s="82">
        <v>1</v>
      </c>
      <c r="P20" s="82">
        <v>2</v>
      </c>
      <c r="Q20" s="82">
        <v>1.895</v>
      </c>
      <c r="R20" s="82">
        <v>2.1432545099999998</v>
      </c>
      <c r="S20" s="82">
        <v>2.0734497699999999</v>
      </c>
      <c r="T20" s="82">
        <v>3.0190652</v>
      </c>
      <c r="U20" s="82">
        <v>3.02204899</v>
      </c>
      <c r="V20" s="82">
        <v>3.0504206999999997</v>
      </c>
      <c r="W20" s="82">
        <v>3.55</v>
      </c>
      <c r="X20" s="82">
        <v>3.4796927500000003</v>
      </c>
      <c r="Y20" s="82">
        <v>3.8313125799999996</v>
      </c>
      <c r="Z20" s="82">
        <v>4.4944379800000007</v>
      </c>
      <c r="AB20" s="83">
        <v>0</v>
      </c>
      <c r="AC20" s="82">
        <v>3.4796927500000003</v>
      </c>
      <c r="AD20" s="82">
        <v>0</v>
      </c>
      <c r="AE20" s="83">
        <f t="shared" ref="AE20:AE66" si="14">+AB20+AC20-AD20</f>
        <v>3.4796927500000003</v>
      </c>
      <c r="AG20" s="83">
        <v>0</v>
      </c>
      <c r="AH20" s="82">
        <v>3.8313125799999996</v>
      </c>
      <c r="AI20" s="82">
        <v>0</v>
      </c>
      <c r="AJ20" s="83">
        <f t="shared" ref="AJ20:AJ24" si="15">+AG20+AH20-AI20</f>
        <v>3.8313125799999996</v>
      </c>
      <c r="AL20" s="83">
        <v>0</v>
      </c>
      <c r="AM20" s="82">
        <v>4.4944379800000007</v>
      </c>
      <c r="AN20" s="82">
        <v>0</v>
      </c>
      <c r="AO20" s="83">
        <f t="shared" ref="AO20:AO24" si="16">+AL20+AM20-AN20</f>
        <v>4.4944379800000007</v>
      </c>
    </row>
    <row r="21" spans="1:41" ht="18.75" thickTop="1" thickBot="1">
      <c r="A21" s="80" t="s">
        <v>96</v>
      </c>
      <c r="B21" s="94" t="s">
        <v>229</v>
      </c>
      <c r="C21" s="81" t="s">
        <v>41</v>
      </c>
      <c r="D21" s="82">
        <f>SUM(D22:D23)</f>
        <v>0</v>
      </c>
      <c r="E21" s="82">
        <f>SUM(E22:E23)</f>
        <v>1</v>
      </c>
      <c r="F21" s="82">
        <v>0</v>
      </c>
      <c r="G21" s="82">
        <v>1</v>
      </c>
      <c r="H21" s="82">
        <f t="shared" ref="H21:S21" si="17">SUM(H22:H23)</f>
        <v>0</v>
      </c>
      <c r="I21" s="82">
        <f t="shared" si="17"/>
        <v>1</v>
      </c>
      <c r="J21" s="82">
        <f t="shared" si="17"/>
        <v>5</v>
      </c>
      <c r="K21" s="82">
        <f t="shared" si="17"/>
        <v>29</v>
      </c>
      <c r="L21" s="82">
        <f t="shared" si="17"/>
        <v>0</v>
      </c>
      <c r="M21" s="82">
        <f t="shared" si="17"/>
        <v>148</v>
      </c>
      <c r="N21" s="82">
        <f t="shared" si="17"/>
        <v>182</v>
      </c>
      <c r="O21" s="82">
        <f t="shared" si="17"/>
        <v>160</v>
      </c>
      <c r="P21" s="82">
        <f t="shared" si="17"/>
        <v>67.102088999999921</v>
      </c>
      <c r="Q21" s="82">
        <f t="shared" si="17"/>
        <v>128.88396906666679</v>
      </c>
      <c r="R21" s="82">
        <f t="shared" si="17"/>
        <v>443.95890484444448</v>
      </c>
      <c r="S21" s="82">
        <f t="shared" si="17"/>
        <v>190.62321441037037</v>
      </c>
      <c r="T21" s="82">
        <v>221.26190110666676</v>
      </c>
      <c r="U21" s="82">
        <v>13.205317291851884</v>
      </c>
      <c r="V21" s="82">
        <v>12.574432644444641</v>
      </c>
      <c r="W21" s="82">
        <v>0.30951209333352381</v>
      </c>
      <c r="X21" s="82">
        <v>174.56148288888892</v>
      </c>
      <c r="Y21" s="82">
        <v>0.11684983000009197</v>
      </c>
      <c r="Z21" s="82">
        <v>0.15628943925935346</v>
      </c>
      <c r="AB21" s="83">
        <v>366.69180524444442</v>
      </c>
      <c r="AC21" s="83">
        <v>174.56148288888889</v>
      </c>
      <c r="AD21" s="83">
        <v>366.69180524444442</v>
      </c>
      <c r="AE21" s="83">
        <f t="shared" si="14"/>
        <v>174.56148288888886</v>
      </c>
      <c r="AG21" s="83">
        <f>+AG22+AG23</f>
        <v>1182.7479566518518</v>
      </c>
      <c r="AH21" s="83">
        <v>0.11684983</v>
      </c>
      <c r="AI21" s="83">
        <v>1182.7479566518518</v>
      </c>
      <c r="AJ21" s="83">
        <f t="shared" si="15"/>
        <v>0.11684983000009197</v>
      </c>
      <c r="AL21" s="83">
        <v>1487.339313883205</v>
      </c>
      <c r="AM21" s="83">
        <v>0.15628943925925926</v>
      </c>
      <c r="AN21" s="83">
        <v>1487.339313883205</v>
      </c>
      <c r="AO21" s="83">
        <f t="shared" si="16"/>
        <v>0.15628943925935346</v>
      </c>
    </row>
    <row r="22" spans="1:41" ht="18.75" thickTop="1" thickBot="1">
      <c r="A22" s="85" t="s">
        <v>97</v>
      </c>
      <c r="B22" s="95" t="s">
        <v>127</v>
      </c>
      <c r="C22" s="86" t="s">
        <v>41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2</v>
      </c>
      <c r="O22" s="87">
        <v>25</v>
      </c>
      <c r="P22" s="87">
        <v>65.080858999999919</v>
      </c>
      <c r="Q22" s="87">
        <v>128.65251000000012</v>
      </c>
      <c r="R22" s="87">
        <v>47</v>
      </c>
      <c r="S22" s="87">
        <v>10.58355390666668</v>
      </c>
      <c r="T22" s="87">
        <v>3.082312839999986</v>
      </c>
      <c r="U22" s="87">
        <v>3.7437187733332848</v>
      </c>
      <c r="V22" s="87">
        <v>11.87199406666673</v>
      </c>
      <c r="W22" s="87">
        <v>0.5032454266665809</v>
      </c>
      <c r="X22" s="176">
        <v>5.3688266666654272E-2</v>
      </c>
      <c r="Y22" s="87">
        <v>0</v>
      </c>
      <c r="Z22" s="87">
        <v>6.2245309259196802E-2</v>
      </c>
      <c r="AB22" s="87">
        <v>366.69108</v>
      </c>
      <c r="AC22" s="87">
        <v>5.3688266666666665E-2</v>
      </c>
      <c r="AD22" s="87">
        <v>366.69108</v>
      </c>
      <c r="AE22" s="83">
        <f t="shared" si="14"/>
        <v>5.3688266666654272E-2</v>
      </c>
      <c r="AG22" s="87">
        <v>1182.5784101333334</v>
      </c>
      <c r="AH22" s="87">
        <v>0</v>
      </c>
      <c r="AI22" s="87">
        <v>1182.5784101333334</v>
      </c>
      <c r="AJ22" s="83">
        <f t="shared" si="15"/>
        <v>0</v>
      </c>
      <c r="AL22" s="87">
        <v>1487.1697673646865</v>
      </c>
      <c r="AM22" s="87">
        <v>6.2245309259259252E-2</v>
      </c>
      <c r="AN22" s="87">
        <v>1487.1697673646865</v>
      </c>
      <c r="AO22" s="83">
        <f t="shared" si="16"/>
        <v>6.2245309259196802E-2</v>
      </c>
    </row>
    <row r="23" spans="1:41" ht="18.75" thickTop="1" thickBot="1">
      <c r="A23" s="85" t="s">
        <v>98</v>
      </c>
      <c r="B23" s="95" t="s">
        <v>265</v>
      </c>
      <c r="C23" s="86" t="s">
        <v>41</v>
      </c>
      <c r="D23" s="87">
        <v>0</v>
      </c>
      <c r="E23" s="87">
        <v>1</v>
      </c>
      <c r="F23" s="87">
        <v>0</v>
      </c>
      <c r="G23" s="87">
        <v>1</v>
      </c>
      <c r="H23" s="87">
        <v>0</v>
      </c>
      <c r="I23" s="87">
        <v>1</v>
      </c>
      <c r="J23" s="87">
        <v>5</v>
      </c>
      <c r="K23" s="87">
        <v>29</v>
      </c>
      <c r="L23" s="87">
        <v>0</v>
      </c>
      <c r="M23" s="87">
        <v>148</v>
      </c>
      <c r="N23" s="87">
        <v>180</v>
      </c>
      <c r="O23" s="87">
        <v>135</v>
      </c>
      <c r="P23" s="87">
        <v>2.0212300000000001</v>
      </c>
      <c r="Q23" s="87">
        <v>0.23145906666666666</v>
      </c>
      <c r="R23" s="87">
        <v>396.95890484444448</v>
      </c>
      <c r="S23" s="87">
        <v>180.03966050370369</v>
      </c>
      <c r="T23" s="87">
        <v>218.17958826666663</v>
      </c>
      <c r="U23" s="87">
        <v>9.4895051851851857</v>
      </c>
      <c r="V23" s="87">
        <v>0.70243857777777752</v>
      </c>
      <c r="W23" s="87">
        <v>1.9996666666666663E-2</v>
      </c>
      <c r="X23" s="176">
        <v>174.50779462222224</v>
      </c>
      <c r="Y23" s="87">
        <v>0.11684982999999999</v>
      </c>
      <c r="Z23" s="87">
        <v>9.4044130000000004E-2</v>
      </c>
      <c r="AB23" s="87">
        <v>7.2524444444444435E-4</v>
      </c>
      <c r="AC23" s="87">
        <v>174.50779462222224</v>
      </c>
      <c r="AD23" s="87">
        <v>7.2524444444444435E-4</v>
      </c>
      <c r="AE23" s="83">
        <f t="shared" si="14"/>
        <v>174.50779462222224</v>
      </c>
      <c r="AG23" s="87">
        <v>0.16954651851851849</v>
      </c>
      <c r="AH23" s="87">
        <v>0.11684983</v>
      </c>
      <c r="AI23" s="87">
        <v>0.16954651851851849</v>
      </c>
      <c r="AJ23" s="83">
        <f t="shared" si="15"/>
        <v>0.11684982999999999</v>
      </c>
      <c r="AL23" s="87">
        <v>0.16954651851851849</v>
      </c>
      <c r="AM23" s="87">
        <v>9.4044130000000004E-2</v>
      </c>
      <c r="AN23" s="87">
        <v>0.16954651851851849</v>
      </c>
      <c r="AO23" s="83">
        <f t="shared" si="16"/>
        <v>9.4044130000000004E-2</v>
      </c>
    </row>
    <row r="24" spans="1:41" ht="18.75" thickTop="1" thickBot="1">
      <c r="A24" s="80" t="s">
        <v>99</v>
      </c>
      <c r="B24" s="94" t="s">
        <v>288</v>
      </c>
      <c r="C24" s="81" t="s">
        <v>17</v>
      </c>
      <c r="D24" s="82" t="s">
        <v>100</v>
      </c>
      <c r="E24" s="82" t="s">
        <v>100</v>
      </c>
      <c r="F24" s="82" t="s">
        <v>100</v>
      </c>
      <c r="G24" s="82" t="s">
        <v>100</v>
      </c>
      <c r="H24" s="82" t="s">
        <v>100</v>
      </c>
      <c r="I24" s="82" t="s">
        <v>100</v>
      </c>
      <c r="J24" s="82" t="s">
        <v>100</v>
      </c>
      <c r="K24" s="82" t="s">
        <v>100</v>
      </c>
      <c r="L24" s="82" t="s">
        <v>100</v>
      </c>
      <c r="M24" s="82" t="s">
        <v>100</v>
      </c>
      <c r="N24" s="82" t="s">
        <v>100</v>
      </c>
      <c r="O24" s="82" t="s">
        <v>100</v>
      </c>
      <c r="P24" s="82" t="s">
        <v>100</v>
      </c>
      <c r="Q24" s="82" t="s">
        <v>100</v>
      </c>
      <c r="R24" s="82">
        <v>0</v>
      </c>
      <c r="S24" s="82">
        <v>0</v>
      </c>
      <c r="T24" s="82">
        <v>0.56886599999999998</v>
      </c>
      <c r="U24" s="82">
        <v>1.5095279900000003</v>
      </c>
      <c r="V24" s="82">
        <v>2.8671813200000003</v>
      </c>
      <c r="W24" s="82">
        <v>2.8031476899999999</v>
      </c>
      <c r="X24" s="82">
        <v>4.269861563703703</v>
      </c>
      <c r="Y24" s="82">
        <v>6.3825002200000007</v>
      </c>
      <c r="Z24" s="82">
        <v>6.1808050899999998</v>
      </c>
      <c r="AB24" s="83">
        <v>0</v>
      </c>
      <c r="AC24" s="82">
        <v>4.269861563703703</v>
      </c>
      <c r="AD24" s="82">
        <v>0</v>
      </c>
      <c r="AE24" s="83">
        <f t="shared" si="14"/>
        <v>4.269861563703703</v>
      </c>
      <c r="AG24" s="83">
        <v>0</v>
      </c>
      <c r="AH24" s="82">
        <v>6.3825002200000007</v>
      </c>
      <c r="AI24" s="82">
        <v>0</v>
      </c>
      <c r="AJ24" s="83">
        <f t="shared" si="15"/>
        <v>6.3825002200000007</v>
      </c>
      <c r="AL24" s="83">
        <v>0</v>
      </c>
      <c r="AM24" s="82">
        <v>6.1808050899999998</v>
      </c>
      <c r="AN24" s="82">
        <v>0</v>
      </c>
      <c r="AO24" s="83">
        <f t="shared" si="16"/>
        <v>6.1808050899999998</v>
      </c>
    </row>
    <row r="25" spans="1:41" ht="18.75" thickTop="1" thickBot="1">
      <c r="A25" s="80">
        <v>5</v>
      </c>
      <c r="B25" s="94" t="s">
        <v>117</v>
      </c>
      <c r="C25" s="81" t="s">
        <v>41</v>
      </c>
      <c r="D25" s="82">
        <v>215</v>
      </c>
      <c r="E25" s="82">
        <v>293</v>
      </c>
      <c r="F25" s="82">
        <v>167</v>
      </c>
      <c r="G25" s="82">
        <v>153</v>
      </c>
      <c r="H25" s="82">
        <v>165</v>
      </c>
      <c r="I25" s="82">
        <v>165</v>
      </c>
      <c r="J25" s="82">
        <v>193</v>
      </c>
      <c r="K25" s="82">
        <v>193</v>
      </c>
      <c r="L25" s="82">
        <v>202</v>
      </c>
      <c r="M25" s="82">
        <v>196</v>
      </c>
      <c r="N25" s="82">
        <v>241</v>
      </c>
      <c r="O25" s="82">
        <v>238</v>
      </c>
      <c r="P25" s="82">
        <v>284.89272700000004</v>
      </c>
      <c r="Q25" s="82">
        <v>256.27788399999997</v>
      </c>
      <c r="R25" s="82">
        <v>310.65099281818186</v>
      </c>
      <c r="S25" s="82">
        <v>304.19956595621341</v>
      </c>
      <c r="T25" s="82">
        <v>240.19305426493506</v>
      </c>
      <c r="U25" s="82">
        <v>279.70994927662343</v>
      </c>
      <c r="V25" s="82">
        <v>213.38058759090916</v>
      </c>
      <c r="W25" s="82">
        <v>197.71876996493501</v>
      </c>
      <c r="X25" s="82">
        <v>125.16062290772743</v>
      </c>
      <c r="Y25" s="82">
        <v>142.76409461681817</v>
      </c>
      <c r="Z25" s="82">
        <v>166.22182970090932</v>
      </c>
      <c r="AB25" s="83">
        <v>580.18304086000001</v>
      </c>
      <c r="AC25" s="82">
        <v>14.355089472727254</v>
      </c>
      <c r="AD25" s="82">
        <v>469.63764102499999</v>
      </c>
      <c r="AE25" s="83">
        <f>+AB25+AC25-AD25</f>
        <v>124.9004893077273</v>
      </c>
      <c r="AG25" s="83">
        <f t="shared" ref="AG25" si="18">AG26+AG27</f>
        <v>684.80504085999996</v>
      </c>
      <c r="AH25" s="82">
        <v>15.271299999999997</v>
      </c>
      <c r="AI25" s="82">
        <v>557.31224624318179</v>
      </c>
      <c r="AJ25" s="83">
        <f>+AG25+AH25-AI25</f>
        <v>142.76409461681817</v>
      </c>
      <c r="AL25" s="83">
        <v>755.80091086000004</v>
      </c>
      <c r="AM25" s="82">
        <v>18.731056872727269</v>
      </c>
      <c r="AN25" s="82">
        <v>608.31013803181804</v>
      </c>
      <c r="AO25" s="83">
        <f>+AL25+AM25-AN25</f>
        <v>166.22182970090932</v>
      </c>
    </row>
    <row r="26" spans="1:41" ht="18.75" thickTop="1" thickBot="1">
      <c r="A26" s="70" t="s">
        <v>18</v>
      </c>
      <c r="B26" s="96" t="s">
        <v>125</v>
      </c>
      <c r="C26" s="71" t="s">
        <v>41</v>
      </c>
      <c r="D26" s="72">
        <v>58</v>
      </c>
      <c r="E26" s="72">
        <v>71</v>
      </c>
      <c r="F26" s="72">
        <v>116</v>
      </c>
      <c r="G26" s="72">
        <v>51</v>
      </c>
      <c r="H26" s="73">
        <v>63</v>
      </c>
      <c r="I26" s="73">
        <v>61</v>
      </c>
      <c r="J26" s="74">
        <v>73</v>
      </c>
      <c r="K26" s="73">
        <v>73</v>
      </c>
      <c r="L26" s="73">
        <v>73</v>
      </c>
      <c r="M26" s="73">
        <v>73</v>
      </c>
      <c r="N26" s="73">
        <v>73</v>
      </c>
      <c r="O26" s="73">
        <v>73</v>
      </c>
      <c r="P26" s="73">
        <v>91.67172699999999</v>
      </c>
      <c r="Q26" s="73">
        <v>85.075000000000003</v>
      </c>
      <c r="R26" s="73">
        <v>119.18744281818181</v>
      </c>
      <c r="S26" s="73">
        <v>136.38794299553982</v>
      </c>
      <c r="T26" s="73">
        <v>128.47732957922079</v>
      </c>
      <c r="U26" s="73">
        <v>178.04682380000003</v>
      </c>
      <c r="V26" s="73">
        <v>128.82345165454547</v>
      </c>
      <c r="W26" s="73">
        <v>124.02923832727279</v>
      </c>
      <c r="X26" s="73">
        <v>46.589813029545496</v>
      </c>
      <c r="Y26" s="183">
        <v>47.333736502272757</v>
      </c>
      <c r="Z26" s="183">
        <v>59.565335368181934</v>
      </c>
      <c r="AB26" s="183">
        <v>377.54</v>
      </c>
      <c r="AC26" s="183">
        <v>2.4273204545454545</v>
      </c>
      <c r="AD26" s="183">
        <v>333.37750742499998</v>
      </c>
      <c r="AE26" s="83">
        <f t="shared" si="14"/>
        <v>46.589813029545496</v>
      </c>
      <c r="AG26" s="183">
        <v>422.79300000000001</v>
      </c>
      <c r="AH26" s="183">
        <v>2.6773693272727268</v>
      </c>
      <c r="AI26" s="183">
        <v>378.13663282499999</v>
      </c>
      <c r="AJ26" s="83">
        <f t="shared" ref="AJ26:AJ66" si="19">+AG26+AH26-AI26</f>
        <v>47.333736502272757</v>
      </c>
      <c r="AL26" s="183">
        <v>481.23187000000001</v>
      </c>
      <c r="AM26" s="183">
        <v>3.246345618181818</v>
      </c>
      <c r="AN26" s="183">
        <v>424.91288024999989</v>
      </c>
      <c r="AO26" s="83">
        <f t="shared" ref="AO26:AO66" si="20">+AL26+AM26-AN26</f>
        <v>59.565335368181934</v>
      </c>
    </row>
    <row r="27" spans="1:41" ht="18.75" thickTop="1" thickBot="1">
      <c r="A27" s="70" t="s">
        <v>19</v>
      </c>
      <c r="B27" s="96" t="s">
        <v>126</v>
      </c>
      <c r="C27" s="71" t="s">
        <v>41</v>
      </c>
      <c r="D27" s="72">
        <v>157</v>
      </c>
      <c r="E27" s="72">
        <v>222</v>
      </c>
      <c r="F27" s="72">
        <v>51</v>
      </c>
      <c r="G27" s="72">
        <v>102</v>
      </c>
      <c r="H27" s="73">
        <v>102</v>
      </c>
      <c r="I27" s="73">
        <v>104</v>
      </c>
      <c r="J27" s="74">
        <v>120</v>
      </c>
      <c r="K27" s="73">
        <v>120</v>
      </c>
      <c r="L27" s="73">
        <v>136</v>
      </c>
      <c r="M27" s="73">
        <v>131</v>
      </c>
      <c r="N27" s="73">
        <v>166</v>
      </c>
      <c r="O27" s="73">
        <v>165</v>
      </c>
      <c r="P27" s="73">
        <v>193.18</v>
      </c>
      <c r="Q27" s="73">
        <v>171.16188399999999</v>
      </c>
      <c r="R27" s="73">
        <v>191.46355</v>
      </c>
      <c r="S27" s="73">
        <v>167.81162296067362</v>
      </c>
      <c r="T27" s="73">
        <v>110.71572468571428</v>
      </c>
      <c r="U27" s="73">
        <v>101.66312547662338</v>
      </c>
      <c r="V27" s="73">
        <v>84.557135936363693</v>
      </c>
      <c r="W27" s="73">
        <v>73.689531637662355</v>
      </c>
      <c r="X27" s="73">
        <v>78.570809878181819</v>
      </c>
      <c r="Y27" s="183">
        <v>95.43035811454547</v>
      </c>
      <c r="Z27" s="183">
        <v>106.65649433272731</v>
      </c>
      <c r="AB27" s="183">
        <v>202.64304086000001</v>
      </c>
      <c r="AC27" s="183">
        <v>11.927769018181801</v>
      </c>
      <c r="AD27" s="183">
        <v>136.26013359999999</v>
      </c>
      <c r="AE27" s="83">
        <f t="shared" si="14"/>
        <v>78.31067627818183</v>
      </c>
      <c r="AG27" s="183">
        <v>262.01204086000001</v>
      </c>
      <c r="AH27" s="183">
        <v>12.59393067272727</v>
      </c>
      <c r="AI27" s="183">
        <v>179.1756134181818</v>
      </c>
      <c r="AJ27" s="83">
        <f t="shared" si="19"/>
        <v>95.43035811454547</v>
      </c>
      <c r="AL27" s="183">
        <v>274.56904086000003</v>
      </c>
      <c r="AM27" s="183">
        <v>15.48471125454545</v>
      </c>
      <c r="AN27" s="183">
        <v>183.39725778181818</v>
      </c>
      <c r="AO27" s="83">
        <f t="shared" si="20"/>
        <v>106.65649433272731</v>
      </c>
    </row>
    <row r="28" spans="1:41" ht="18.75" thickTop="1" thickBot="1">
      <c r="A28" s="70" t="s">
        <v>161</v>
      </c>
      <c r="B28" s="96" t="s">
        <v>155</v>
      </c>
      <c r="C28" s="71" t="s">
        <v>41</v>
      </c>
      <c r="D28" s="72">
        <v>0</v>
      </c>
      <c r="E28" s="72">
        <v>0</v>
      </c>
      <c r="F28" s="72">
        <v>0</v>
      </c>
      <c r="G28" s="72">
        <v>0</v>
      </c>
      <c r="H28" s="73">
        <v>9</v>
      </c>
      <c r="I28" s="73">
        <v>0</v>
      </c>
      <c r="J28" s="74">
        <v>19</v>
      </c>
      <c r="K28" s="73">
        <v>26</v>
      </c>
      <c r="L28" s="73">
        <v>24</v>
      </c>
      <c r="M28" s="73">
        <v>20</v>
      </c>
      <c r="N28" s="73">
        <v>17</v>
      </c>
      <c r="O28" s="73">
        <v>17</v>
      </c>
      <c r="P28" s="73">
        <v>5.7076000000000002</v>
      </c>
      <c r="Q28" s="73">
        <v>4.8877971000000002</v>
      </c>
      <c r="R28" s="73">
        <v>7.5350999999999875</v>
      </c>
      <c r="S28" s="73">
        <v>7.7507839428571446</v>
      </c>
      <c r="T28" s="73">
        <v>2.5626611142857141</v>
      </c>
      <c r="U28" s="73">
        <v>6.7767949857142833</v>
      </c>
      <c r="V28" s="73">
        <v>6.9789379000000027</v>
      </c>
      <c r="W28" s="73">
        <v>5.7477235285714299</v>
      </c>
      <c r="X28" s="73">
        <v>11.607652709090916</v>
      </c>
      <c r="Y28" s="183">
        <v>12.257899327272726</v>
      </c>
      <c r="Z28" s="183">
        <v>6.3306458545454527</v>
      </c>
      <c r="AB28" s="160">
        <v>0</v>
      </c>
      <c r="AC28" s="183">
        <v>11.607652709090916</v>
      </c>
      <c r="AD28" s="183">
        <v>0</v>
      </c>
      <c r="AE28" s="83">
        <f t="shared" si="14"/>
        <v>11.607652709090916</v>
      </c>
      <c r="AG28" s="160">
        <v>0</v>
      </c>
      <c r="AH28" s="183">
        <v>12.257899327272726</v>
      </c>
      <c r="AI28" s="183">
        <v>0</v>
      </c>
      <c r="AJ28" s="83">
        <f t="shared" si="19"/>
        <v>12.257899327272726</v>
      </c>
      <c r="AL28" s="160">
        <v>0</v>
      </c>
      <c r="AM28" s="183">
        <v>6.3306458545454527</v>
      </c>
      <c r="AN28" s="183">
        <v>0</v>
      </c>
      <c r="AO28" s="83">
        <f t="shared" si="20"/>
        <v>6.3306458545454527</v>
      </c>
    </row>
    <row r="29" spans="1:41" ht="18.75" thickTop="1" thickBot="1">
      <c r="A29" s="80">
        <v>6</v>
      </c>
      <c r="B29" s="94" t="s">
        <v>263</v>
      </c>
      <c r="C29" s="81" t="s">
        <v>41</v>
      </c>
      <c r="D29" s="82">
        <v>23</v>
      </c>
      <c r="E29" s="82">
        <v>35</v>
      </c>
      <c r="F29" s="82">
        <v>16</v>
      </c>
      <c r="G29" s="82">
        <v>19</v>
      </c>
      <c r="H29" s="82">
        <f t="shared" ref="H29:Q29" si="21">H30+H34+H35+H37</f>
        <v>19</v>
      </c>
      <c r="I29" s="82">
        <f t="shared" si="21"/>
        <v>32</v>
      </c>
      <c r="J29" s="82">
        <f t="shared" si="21"/>
        <v>86</v>
      </c>
      <c r="K29" s="82">
        <f t="shared" si="21"/>
        <v>88</v>
      </c>
      <c r="L29" s="82">
        <f t="shared" si="21"/>
        <v>84</v>
      </c>
      <c r="M29" s="82">
        <f t="shared" si="21"/>
        <v>76</v>
      </c>
      <c r="N29" s="82">
        <f t="shared" si="21"/>
        <v>98</v>
      </c>
      <c r="O29" s="82">
        <f t="shared" si="21"/>
        <v>106</v>
      </c>
      <c r="P29" s="82">
        <f t="shared" si="21"/>
        <v>104.380674904</v>
      </c>
      <c r="Q29" s="82">
        <f t="shared" si="21"/>
        <v>73.256210229999994</v>
      </c>
      <c r="R29" s="82">
        <v>109.37685597103362</v>
      </c>
      <c r="S29" s="82">
        <v>108.63378336745694</v>
      </c>
      <c r="T29" s="82">
        <v>45.105224525541757</v>
      </c>
      <c r="U29" s="82">
        <v>61.933665500607304</v>
      </c>
      <c r="V29" s="82">
        <v>110.69604751288779</v>
      </c>
      <c r="W29" s="82">
        <v>43.813270762638865</v>
      </c>
      <c r="X29" s="162">
        <v>101.28458627541596</v>
      </c>
      <c r="Y29" s="82">
        <v>135.27980527142864</v>
      </c>
      <c r="Z29" s="82">
        <v>150.07046110749337</v>
      </c>
      <c r="AB29" s="161">
        <v>243.03610665333332</v>
      </c>
      <c r="AC29" s="82">
        <v>49.248479622082655</v>
      </c>
      <c r="AD29" s="82">
        <v>191</v>
      </c>
      <c r="AE29" s="83">
        <f t="shared" si="14"/>
        <v>101.28458627541596</v>
      </c>
      <c r="AG29" s="161">
        <v>246.78820000000002</v>
      </c>
      <c r="AH29" s="82">
        <v>71.873805271428623</v>
      </c>
      <c r="AI29" s="82">
        <v>183.38220000000001</v>
      </c>
      <c r="AJ29" s="83">
        <f t="shared" si="19"/>
        <v>135.27980527142864</v>
      </c>
      <c r="AL29" s="161">
        <v>283.36500000000001</v>
      </c>
      <c r="AM29" s="82">
        <v>67.901251984415609</v>
      </c>
      <c r="AN29" s="82">
        <v>201.19579087692222</v>
      </c>
      <c r="AO29" s="83">
        <f t="shared" si="20"/>
        <v>150.07046110749337</v>
      </c>
    </row>
    <row r="30" spans="1:41" ht="18.75" thickTop="1" thickBot="1">
      <c r="A30" s="85">
        <v>6.1</v>
      </c>
      <c r="B30" s="95" t="s">
        <v>217</v>
      </c>
      <c r="C30" s="86" t="s">
        <v>41</v>
      </c>
      <c r="D30" s="87">
        <v>6</v>
      </c>
      <c r="E30" s="87">
        <v>20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v>1</v>
      </c>
      <c r="O30" s="87">
        <v>0</v>
      </c>
      <c r="P30" s="87">
        <v>3.7287873999999999E-2</v>
      </c>
      <c r="Q30" s="87">
        <v>1.0697600000000002E-2</v>
      </c>
      <c r="R30" s="87">
        <v>-0.10630831999999994</v>
      </c>
      <c r="S30" s="87">
        <v>1.5314238974358975E-2</v>
      </c>
      <c r="T30" s="87">
        <v>2.8815082051282057E-2</v>
      </c>
      <c r="U30" s="87">
        <v>2.9609555897435899E-2</v>
      </c>
      <c r="V30" s="87">
        <v>4.5490367179487172E-2</v>
      </c>
      <c r="W30" s="87">
        <v>9.9134092307692281E-3</v>
      </c>
      <c r="X30" s="87">
        <v>-2.310939282051282E-2</v>
      </c>
      <c r="Y30" s="87">
        <v>1.1949654545454547E-2</v>
      </c>
      <c r="Z30" s="87">
        <v>2.1292301090909067</v>
      </c>
      <c r="AB30" s="87">
        <v>4.3106653333333335E-2</v>
      </c>
      <c r="AC30" s="87">
        <v>1.9997260512820515E-2</v>
      </c>
      <c r="AD30" s="87">
        <v>4.3106653333333335E-2</v>
      </c>
      <c r="AE30" s="83">
        <f t="shared" si="14"/>
        <v>1.9997260512820518E-2</v>
      </c>
      <c r="AG30" s="87">
        <v>0.29620000000000002</v>
      </c>
      <c r="AH30" s="87">
        <v>1.1949654545454545E-2</v>
      </c>
      <c r="AI30" s="87">
        <v>0.29620000000000002</v>
      </c>
      <c r="AJ30" s="83">
        <f t="shared" si="19"/>
        <v>1.1949654545454547E-2</v>
      </c>
      <c r="AL30" s="87">
        <v>8.6869999999999994</v>
      </c>
      <c r="AM30" s="87">
        <v>5.4150109090909136E-2</v>
      </c>
      <c r="AN30" s="87">
        <v>6.6119200000000014</v>
      </c>
      <c r="AO30" s="83">
        <f t="shared" si="20"/>
        <v>2.1292301090909067</v>
      </c>
    </row>
    <row r="31" spans="1:41" ht="18.75" thickTop="1" thickBot="1">
      <c r="A31" s="70" t="s">
        <v>20</v>
      </c>
      <c r="B31" s="96" t="s">
        <v>125</v>
      </c>
      <c r="C31" s="71" t="s">
        <v>41</v>
      </c>
      <c r="D31" s="72">
        <v>0</v>
      </c>
      <c r="E31" s="72">
        <v>0</v>
      </c>
      <c r="F31" s="72">
        <v>0</v>
      </c>
      <c r="G31" s="72">
        <v>0</v>
      </c>
      <c r="H31" s="73">
        <v>0</v>
      </c>
      <c r="I31" s="73">
        <v>0</v>
      </c>
      <c r="J31" s="72">
        <v>0</v>
      </c>
      <c r="K31" s="73">
        <v>0</v>
      </c>
      <c r="L31" s="73">
        <v>0</v>
      </c>
      <c r="M31" s="73">
        <v>0</v>
      </c>
      <c r="N31" s="73">
        <v>1</v>
      </c>
      <c r="O31" s="73">
        <v>1</v>
      </c>
      <c r="P31" s="73">
        <v>1.6217400000000001E-4</v>
      </c>
      <c r="Q31" s="73">
        <v>3.457E-3</v>
      </c>
      <c r="R31" s="73">
        <v>-2.2154000000000002E-3</v>
      </c>
      <c r="S31" s="73">
        <v>7.2009230769230759E-4</v>
      </c>
      <c r="T31" s="73">
        <v>1.1858153846153847E-3</v>
      </c>
      <c r="U31" s="73">
        <v>2.8933692307692308E-3</v>
      </c>
      <c r="V31" s="73">
        <v>4.0935384615384615E-4</v>
      </c>
      <c r="W31" s="73">
        <v>9.9369230769230782E-5</v>
      </c>
      <c r="X31" s="73">
        <v>6.3675384615384609E-4</v>
      </c>
      <c r="Y31" s="183">
        <v>3.2290909090909088E-4</v>
      </c>
      <c r="Z31" s="183">
        <v>1.4614545454545453E-4</v>
      </c>
      <c r="AB31" s="183">
        <v>0</v>
      </c>
      <c r="AC31" s="183">
        <v>6.3675384615384609E-4</v>
      </c>
      <c r="AD31" s="183">
        <v>0</v>
      </c>
      <c r="AE31" s="83">
        <f t="shared" si="14"/>
        <v>6.3675384615384609E-4</v>
      </c>
      <c r="AG31" s="183">
        <v>0</v>
      </c>
      <c r="AH31" s="183">
        <v>3.2290909090909088E-4</v>
      </c>
      <c r="AI31" s="183">
        <v>0</v>
      </c>
      <c r="AJ31" s="83">
        <f t="shared" si="19"/>
        <v>3.2290909090909088E-4</v>
      </c>
      <c r="AL31" s="183">
        <v>0</v>
      </c>
      <c r="AM31" s="183">
        <v>1.4614545454545453E-4</v>
      </c>
      <c r="AN31" s="183">
        <v>0</v>
      </c>
      <c r="AO31" s="83">
        <f t="shared" si="20"/>
        <v>1.4614545454545453E-4</v>
      </c>
    </row>
    <row r="32" spans="1:41" ht="18.75" thickTop="1" thickBot="1">
      <c r="A32" s="70" t="s">
        <v>21</v>
      </c>
      <c r="B32" s="96" t="s">
        <v>126</v>
      </c>
      <c r="C32" s="71" t="s">
        <v>41</v>
      </c>
      <c r="D32" s="72">
        <v>0</v>
      </c>
      <c r="E32" s="72">
        <v>0</v>
      </c>
      <c r="F32" s="72">
        <v>0</v>
      </c>
      <c r="G32" s="72">
        <v>0</v>
      </c>
      <c r="H32" s="73">
        <v>0</v>
      </c>
      <c r="I32" s="73">
        <v>0</v>
      </c>
      <c r="J32" s="72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3.7125699999999998E-2</v>
      </c>
      <c r="Q32" s="73">
        <v>7.2405999999999998E-3</v>
      </c>
      <c r="R32" s="73">
        <v>-0.10409291999999995</v>
      </c>
      <c r="S32" s="73">
        <v>1.4594146666666667E-2</v>
      </c>
      <c r="T32" s="73">
        <v>2.7629266666666673E-2</v>
      </c>
      <c r="U32" s="73">
        <v>2.6716186666666666E-2</v>
      </c>
      <c r="V32" s="73">
        <v>4.5081013333333322E-2</v>
      </c>
      <c r="W32" s="73">
        <v>9.8140399999999978E-3</v>
      </c>
      <c r="X32" s="73">
        <v>-2.3746146666666666E-2</v>
      </c>
      <c r="Y32" s="183">
        <v>1.1626745454545451E-2</v>
      </c>
      <c r="Z32" s="183">
        <v>2.1290839636363614</v>
      </c>
      <c r="AB32" s="183">
        <v>4.3106653333333335E-2</v>
      </c>
      <c r="AC32" s="183">
        <v>1.9360506666666669E-2</v>
      </c>
      <c r="AD32" s="183">
        <v>4.3106653333333335E-2</v>
      </c>
      <c r="AE32" s="83">
        <f t="shared" si="14"/>
        <v>1.9360506666666673E-2</v>
      </c>
      <c r="AG32" s="183">
        <v>0.29620000000000002</v>
      </c>
      <c r="AH32" s="183">
        <v>1.1626745454545454E-2</v>
      </c>
      <c r="AI32" s="183">
        <v>0.29620000000000002</v>
      </c>
      <c r="AJ32" s="83">
        <f t="shared" si="19"/>
        <v>1.1626745454545451E-2</v>
      </c>
      <c r="AL32" s="183">
        <v>8.6869999999999994</v>
      </c>
      <c r="AM32" s="183">
        <v>5.4003963636363679E-2</v>
      </c>
      <c r="AN32" s="183">
        <v>6.6119200000000014</v>
      </c>
      <c r="AO32" s="83">
        <f t="shared" si="20"/>
        <v>2.1290839636363614</v>
      </c>
    </row>
    <row r="33" spans="1:41" ht="18.75" thickTop="1" thickBot="1">
      <c r="A33" s="70" t="s">
        <v>65</v>
      </c>
      <c r="B33" s="96" t="s">
        <v>155</v>
      </c>
      <c r="C33" s="71" t="s">
        <v>41</v>
      </c>
      <c r="D33" s="72">
        <v>0</v>
      </c>
      <c r="E33" s="72">
        <v>0</v>
      </c>
      <c r="F33" s="72">
        <v>0</v>
      </c>
      <c r="G33" s="72">
        <v>0</v>
      </c>
      <c r="H33" s="73">
        <v>0</v>
      </c>
      <c r="I33" s="73">
        <v>0</v>
      </c>
      <c r="J33" s="72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8.2140000000000002E-4</v>
      </c>
      <c r="Q33" s="73">
        <v>1.4347520000000001E-2</v>
      </c>
      <c r="R33" s="73">
        <v>1.0897333333333332E-2</v>
      </c>
      <c r="S33" s="73">
        <v>8.1808133333333335E-3</v>
      </c>
      <c r="T33" s="73">
        <v>2.7629266666666673E-2</v>
      </c>
      <c r="U33" s="73">
        <v>2.6716186666666666E-2</v>
      </c>
      <c r="V33" s="73">
        <v>4.5081013333333322E-2</v>
      </c>
      <c r="W33" s="73">
        <v>9.8140399999999978E-3</v>
      </c>
      <c r="X33" s="73">
        <v>1.6323226666666669E-2</v>
      </c>
      <c r="Y33" s="183">
        <v>2.1429454545454549E-3</v>
      </c>
      <c r="Z33" s="183">
        <v>2.0816181818181798E-3</v>
      </c>
      <c r="AB33" s="160">
        <v>0</v>
      </c>
      <c r="AC33" s="183">
        <v>1.6323226666666669E-2</v>
      </c>
      <c r="AD33" s="174">
        <v>0</v>
      </c>
      <c r="AE33" s="83">
        <f t="shared" si="14"/>
        <v>1.6323226666666669E-2</v>
      </c>
      <c r="AG33" s="160">
        <v>0</v>
      </c>
      <c r="AH33" s="183">
        <v>2.1429454545454549E-3</v>
      </c>
      <c r="AI33" s="174">
        <v>0</v>
      </c>
      <c r="AJ33" s="83">
        <f t="shared" si="19"/>
        <v>2.1429454545454549E-3</v>
      </c>
      <c r="AL33" s="160">
        <v>0</v>
      </c>
      <c r="AM33" s="183">
        <v>2.0816181818181798E-3</v>
      </c>
      <c r="AN33" s="174">
        <v>0</v>
      </c>
      <c r="AO33" s="83">
        <f t="shared" si="20"/>
        <v>2.0816181818181798E-3</v>
      </c>
    </row>
    <row r="34" spans="1:41" ht="18.75" thickTop="1" thickBot="1">
      <c r="A34" s="85">
        <v>6.2</v>
      </c>
      <c r="B34" s="95" t="s">
        <v>128</v>
      </c>
      <c r="C34" s="86" t="s">
        <v>41</v>
      </c>
      <c r="D34" s="87">
        <v>5</v>
      </c>
      <c r="E34" s="87">
        <v>4</v>
      </c>
      <c r="F34" s="87">
        <v>5</v>
      </c>
      <c r="G34" s="87">
        <v>4</v>
      </c>
      <c r="H34" s="87">
        <v>5</v>
      </c>
      <c r="I34" s="87">
        <v>8</v>
      </c>
      <c r="J34" s="87">
        <v>8</v>
      </c>
      <c r="K34" s="87">
        <v>55</v>
      </c>
      <c r="L34" s="87">
        <v>42</v>
      </c>
      <c r="M34" s="87">
        <v>34</v>
      </c>
      <c r="N34" s="87">
        <v>49</v>
      </c>
      <c r="O34" s="87">
        <v>54</v>
      </c>
      <c r="P34" s="87">
        <v>70.166510029999984</v>
      </c>
      <c r="Q34" s="87">
        <v>40.009247999999985</v>
      </c>
      <c r="R34" s="87">
        <v>69.805975094366971</v>
      </c>
      <c r="S34" s="87">
        <v>71.214937134636358</v>
      </c>
      <c r="T34" s="87">
        <v>8.5950227230769087</v>
      </c>
      <c r="U34" s="87">
        <v>21.754894907692318</v>
      </c>
      <c r="V34" s="87">
        <v>72.375652123076662</v>
      </c>
      <c r="W34" s="87">
        <v>30</v>
      </c>
      <c r="X34" s="87">
        <v>62</v>
      </c>
      <c r="Y34" s="87">
        <v>75.572469657142847</v>
      </c>
      <c r="Z34" s="87">
        <v>92.260598780220619</v>
      </c>
      <c r="AB34" s="87">
        <v>242.99299999999999</v>
      </c>
      <c r="AC34" s="87">
        <v>10.182506461538463</v>
      </c>
      <c r="AD34" s="87">
        <v>191</v>
      </c>
      <c r="AE34" s="83">
        <f t="shared" si="14"/>
        <v>62.175506461538447</v>
      </c>
      <c r="AG34" s="87">
        <v>246.40600000000001</v>
      </c>
      <c r="AH34" s="87">
        <v>12.166469657142862</v>
      </c>
      <c r="AI34" s="87">
        <v>183</v>
      </c>
      <c r="AJ34" s="83">
        <f t="shared" si="19"/>
        <v>75.572469657142847</v>
      </c>
      <c r="AL34" s="87">
        <v>274.59199999999998</v>
      </c>
      <c r="AM34" s="87">
        <v>12.166469657142862</v>
      </c>
      <c r="AN34" s="87">
        <v>194.49787087692221</v>
      </c>
      <c r="AO34" s="83">
        <f t="shared" si="20"/>
        <v>92.260598780220619</v>
      </c>
    </row>
    <row r="35" spans="1:41" ht="31.5" customHeight="1" thickTop="1" thickBot="1">
      <c r="A35" s="85">
        <v>6.3</v>
      </c>
      <c r="B35" s="95" t="s">
        <v>316</v>
      </c>
      <c r="C35" s="86" t="s">
        <v>41</v>
      </c>
      <c r="D35" s="87">
        <v>4</v>
      </c>
      <c r="E35" s="87">
        <v>4</v>
      </c>
      <c r="F35" s="87">
        <v>3</v>
      </c>
      <c r="G35" s="87">
        <v>7</v>
      </c>
      <c r="H35" s="87">
        <v>6</v>
      </c>
      <c r="I35" s="87">
        <v>9</v>
      </c>
      <c r="J35" s="87">
        <v>14</v>
      </c>
      <c r="K35" s="87">
        <v>13</v>
      </c>
      <c r="L35" s="87">
        <v>14</v>
      </c>
      <c r="M35" s="87">
        <v>12</v>
      </c>
      <c r="N35" s="87">
        <v>11</v>
      </c>
      <c r="O35" s="87">
        <v>14</v>
      </c>
      <c r="P35" s="87">
        <v>8.088000000000001</v>
      </c>
      <c r="Q35" s="87">
        <v>9.3756881500000002</v>
      </c>
      <c r="R35" s="87">
        <v>9.4497675166666664</v>
      </c>
      <c r="S35" s="87">
        <v>6.9058849538461544</v>
      </c>
      <c r="T35" s="87">
        <v>7.8984638285714253</v>
      </c>
      <c r="U35" s="87">
        <v>9.9510497999999981</v>
      </c>
      <c r="V35" s="87">
        <v>7.8861468000000015</v>
      </c>
      <c r="W35" s="87">
        <v>6.7898007571428591</v>
      </c>
      <c r="X35" s="87">
        <v>7.0205046142857173</v>
      </c>
      <c r="Y35" s="87">
        <v>9.4387747090909073</v>
      </c>
      <c r="Z35" s="87">
        <v>6.4165297636363627</v>
      </c>
      <c r="AB35" s="87">
        <v>0</v>
      </c>
      <c r="AC35" s="87">
        <v>7.0205046142857173</v>
      </c>
      <c r="AD35" s="87">
        <v>0</v>
      </c>
      <c r="AE35" s="83">
        <f t="shared" si="14"/>
        <v>7.0205046142857173</v>
      </c>
      <c r="AG35" s="87">
        <v>0</v>
      </c>
      <c r="AH35" s="87">
        <v>9.4387747090909073</v>
      </c>
      <c r="AI35" s="87">
        <v>0</v>
      </c>
      <c r="AJ35" s="83">
        <f t="shared" si="19"/>
        <v>9.4387747090909073</v>
      </c>
      <c r="AL35" s="87">
        <v>0</v>
      </c>
      <c r="AM35" s="87">
        <v>6.4165297636363627</v>
      </c>
      <c r="AN35" s="87">
        <v>0</v>
      </c>
      <c r="AO35" s="83">
        <f t="shared" si="20"/>
        <v>6.4165297636363627</v>
      </c>
    </row>
    <row r="36" spans="1:41" ht="18.75" thickTop="1" thickBot="1">
      <c r="A36" s="70" t="s">
        <v>24</v>
      </c>
      <c r="B36" s="96" t="s">
        <v>193</v>
      </c>
      <c r="C36" s="71" t="s">
        <v>41</v>
      </c>
      <c r="D36" s="72">
        <v>0</v>
      </c>
      <c r="E36" s="72">
        <v>0</v>
      </c>
      <c r="F36" s="72">
        <v>0</v>
      </c>
      <c r="G36" s="72">
        <v>7</v>
      </c>
      <c r="H36" s="72">
        <v>0</v>
      </c>
      <c r="I36" s="72">
        <v>2</v>
      </c>
      <c r="J36" s="72">
        <v>0</v>
      </c>
      <c r="K36" s="72">
        <v>9</v>
      </c>
      <c r="L36" s="72">
        <v>5</v>
      </c>
      <c r="M36" s="72">
        <v>5</v>
      </c>
      <c r="N36" s="72">
        <v>4</v>
      </c>
      <c r="O36" s="72">
        <v>8</v>
      </c>
      <c r="P36" s="72">
        <v>8.088000000000001</v>
      </c>
      <c r="Q36" s="72">
        <v>9.3756881500000002</v>
      </c>
      <c r="R36" s="72">
        <v>9.4497675166666664</v>
      </c>
      <c r="S36" s="72">
        <v>6.9058849538461544</v>
      </c>
      <c r="T36" s="72">
        <v>7.8984638285714253</v>
      </c>
      <c r="U36" s="72">
        <v>9.9510497999999981</v>
      </c>
      <c r="V36" s="72">
        <v>7.8861468000000015</v>
      </c>
      <c r="W36" s="72">
        <v>6.7898007571428591</v>
      </c>
      <c r="X36" s="72">
        <v>7.0205046142857173</v>
      </c>
      <c r="Y36" s="72">
        <v>9.4387747090909073</v>
      </c>
      <c r="Z36" s="72">
        <v>6.4165297636363627</v>
      </c>
      <c r="AB36" s="183">
        <v>0</v>
      </c>
      <c r="AC36" s="72">
        <v>7.0205046142857173</v>
      </c>
      <c r="AD36" s="159">
        <v>0</v>
      </c>
      <c r="AE36" s="83">
        <f t="shared" si="14"/>
        <v>7.0205046142857173</v>
      </c>
      <c r="AG36" s="183">
        <v>0</v>
      </c>
      <c r="AH36" s="72">
        <v>9.4387747090909073</v>
      </c>
      <c r="AI36" s="159">
        <v>0</v>
      </c>
      <c r="AJ36" s="83">
        <f t="shared" si="19"/>
        <v>9.4387747090909073</v>
      </c>
      <c r="AL36" s="183">
        <v>0</v>
      </c>
      <c r="AM36" s="72">
        <v>6.4165297636363627</v>
      </c>
      <c r="AN36" s="159">
        <v>0</v>
      </c>
      <c r="AO36" s="83">
        <f t="shared" si="20"/>
        <v>6.4165297636363627</v>
      </c>
    </row>
    <row r="37" spans="1:41" ht="18.75" thickTop="1" thickBot="1">
      <c r="A37" s="85">
        <v>6.4</v>
      </c>
      <c r="B37" s="95" t="s">
        <v>129</v>
      </c>
      <c r="C37" s="86" t="s">
        <v>41</v>
      </c>
      <c r="D37" s="87">
        <v>8</v>
      </c>
      <c r="E37" s="87">
        <v>7</v>
      </c>
      <c r="F37" s="87">
        <v>8</v>
      </c>
      <c r="G37" s="87">
        <v>8</v>
      </c>
      <c r="H37" s="87">
        <v>8</v>
      </c>
      <c r="I37" s="87">
        <v>15</v>
      </c>
      <c r="J37" s="87">
        <v>64</v>
      </c>
      <c r="K37" s="87">
        <v>20</v>
      </c>
      <c r="L37" s="87">
        <v>28</v>
      </c>
      <c r="M37" s="87">
        <f>SUM(M38:M40)</f>
        <v>30</v>
      </c>
      <c r="N37" s="87">
        <f>SUM(N38:N40)</f>
        <v>37</v>
      </c>
      <c r="O37" s="87">
        <f>SUM(O38:O40)</f>
        <v>38</v>
      </c>
      <c r="P37" s="87">
        <f>SUM(P38:P40)</f>
        <v>26.088877000000007</v>
      </c>
      <c r="Q37" s="87">
        <f>SUM(Q38:Q40)</f>
        <v>23.860576480000002</v>
      </c>
      <c r="R37" s="87">
        <v>30.227421680000006</v>
      </c>
      <c r="S37" s="87">
        <v>29.712549639999981</v>
      </c>
      <c r="T37" s="87">
        <v>28.582922891842095</v>
      </c>
      <c r="U37" s="87">
        <v>30.19811123701755</v>
      </c>
      <c r="V37" s="87">
        <v>30.388758222631598</v>
      </c>
      <c r="W37" s="87">
        <v>30.752348519342121</v>
      </c>
      <c r="X37" s="87">
        <v>32.025471285745652</v>
      </c>
      <c r="Y37" s="87">
        <v>50.256611250649399</v>
      </c>
      <c r="Z37" s="87">
        <v>49.26410245454548</v>
      </c>
      <c r="AB37" s="87">
        <v>0</v>
      </c>
      <c r="AC37" s="87">
        <v>32.025471285745652</v>
      </c>
      <c r="AD37" s="87">
        <v>0</v>
      </c>
      <c r="AE37" s="83">
        <f t="shared" si="14"/>
        <v>32.025471285745652</v>
      </c>
      <c r="AG37" s="87">
        <v>8.5999999999999993E-2</v>
      </c>
      <c r="AH37" s="87">
        <v>50.256611250649399</v>
      </c>
      <c r="AI37" s="87">
        <v>8.5999999999999993E-2</v>
      </c>
      <c r="AJ37" s="83">
        <f t="shared" si="19"/>
        <v>50.256611250649399</v>
      </c>
      <c r="AL37" s="87">
        <v>8.5999999999999993E-2</v>
      </c>
      <c r="AM37" s="87">
        <v>49.26410245454548</v>
      </c>
      <c r="AN37" s="87">
        <v>8.5999999999999993E-2</v>
      </c>
      <c r="AO37" s="83">
        <f t="shared" si="20"/>
        <v>49.26410245454548</v>
      </c>
    </row>
    <row r="38" spans="1:41" ht="18.75" thickTop="1" thickBot="1">
      <c r="A38" s="70" t="s">
        <v>25</v>
      </c>
      <c r="B38" s="96" t="s">
        <v>232</v>
      </c>
      <c r="C38" s="71" t="s">
        <v>41</v>
      </c>
      <c r="D38" s="72">
        <v>0</v>
      </c>
      <c r="E38" s="72">
        <v>0</v>
      </c>
      <c r="F38" s="72">
        <v>0</v>
      </c>
      <c r="G38" s="72">
        <v>3</v>
      </c>
      <c r="H38" s="73">
        <v>3</v>
      </c>
      <c r="I38" s="73">
        <v>4</v>
      </c>
      <c r="J38" s="72">
        <v>4</v>
      </c>
      <c r="K38" s="73">
        <v>10</v>
      </c>
      <c r="L38" s="73">
        <v>3</v>
      </c>
      <c r="M38" s="73">
        <v>3</v>
      </c>
      <c r="N38" s="73">
        <v>3</v>
      </c>
      <c r="O38" s="73">
        <v>5</v>
      </c>
      <c r="P38" s="73">
        <v>0.32040100000000038</v>
      </c>
      <c r="Q38" s="73">
        <v>5.9709483199999998</v>
      </c>
      <c r="R38" s="73">
        <v>5.9004236666666667</v>
      </c>
      <c r="S38" s="73">
        <v>3.3669527466666702</v>
      </c>
      <c r="T38" s="73">
        <v>2.032710936842105</v>
      </c>
      <c r="U38" s="73">
        <v>1.9364724736842105</v>
      </c>
      <c r="V38" s="73">
        <v>1.6826136526315787</v>
      </c>
      <c r="W38" s="73">
        <v>1.5414171368421055</v>
      </c>
      <c r="X38" s="73">
        <v>1.2195456315789475</v>
      </c>
      <c r="Y38" s="183">
        <v>1.8562010142857142</v>
      </c>
      <c r="Z38" s="183">
        <v>1.5012530000000002</v>
      </c>
      <c r="AB38" s="183">
        <v>0</v>
      </c>
      <c r="AC38" s="183">
        <v>1.2195456315789475</v>
      </c>
      <c r="AD38" s="183">
        <v>0</v>
      </c>
      <c r="AE38" s="83">
        <f t="shared" si="14"/>
        <v>1.2195456315789475</v>
      </c>
      <c r="AG38" s="183">
        <v>0</v>
      </c>
      <c r="AH38" s="183">
        <v>1.8562010142857142</v>
      </c>
      <c r="AI38" s="183">
        <v>0</v>
      </c>
      <c r="AJ38" s="83">
        <f t="shared" si="19"/>
        <v>1.8562010142857142</v>
      </c>
      <c r="AL38" s="183">
        <v>0</v>
      </c>
      <c r="AM38" s="183">
        <v>1.5012530000000002</v>
      </c>
      <c r="AN38" s="183">
        <v>0</v>
      </c>
      <c r="AO38" s="83">
        <f t="shared" si="20"/>
        <v>1.5012530000000002</v>
      </c>
    </row>
    <row r="39" spans="1:41" ht="18.75" thickTop="1" thickBot="1">
      <c r="A39" s="70" t="s">
        <v>26</v>
      </c>
      <c r="B39" s="96" t="s">
        <v>130</v>
      </c>
      <c r="C39" s="71" t="s">
        <v>41</v>
      </c>
      <c r="D39" s="72">
        <v>0</v>
      </c>
      <c r="E39" s="72">
        <v>0</v>
      </c>
      <c r="F39" s="72">
        <v>0</v>
      </c>
      <c r="G39" s="72">
        <v>5</v>
      </c>
      <c r="H39" s="73">
        <v>5</v>
      </c>
      <c r="I39" s="73">
        <v>11</v>
      </c>
      <c r="J39" s="72">
        <v>14</v>
      </c>
      <c r="K39" s="73">
        <v>0</v>
      </c>
      <c r="L39" s="73">
        <v>24</v>
      </c>
      <c r="M39" s="73">
        <v>27</v>
      </c>
      <c r="N39" s="73">
        <v>34</v>
      </c>
      <c r="O39" s="73">
        <v>33</v>
      </c>
      <c r="P39" s="73">
        <v>25.659552000000009</v>
      </c>
      <c r="Q39" s="73">
        <v>17.619806360000005</v>
      </c>
      <c r="R39" s="73">
        <v>24.251005133333337</v>
      </c>
      <c r="S39" s="73">
        <v>26.083792853333311</v>
      </c>
      <c r="T39" s="73">
        <v>26.23750107499999</v>
      </c>
      <c r="U39" s="73">
        <v>27.911338350000005</v>
      </c>
      <c r="V39" s="73">
        <v>28.41239885000002</v>
      </c>
      <c r="W39" s="73">
        <v>28.985298062500014</v>
      </c>
      <c r="X39" s="73">
        <v>30.674774387500033</v>
      </c>
      <c r="Y39" s="183">
        <v>48.117748800000044</v>
      </c>
      <c r="Z39" s="183">
        <v>47.267297690909118</v>
      </c>
      <c r="AB39" s="183">
        <v>0</v>
      </c>
      <c r="AC39" s="183">
        <v>30.674774387500033</v>
      </c>
      <c r="AD39" s="183">
        <v>0</v>
      </c>
      <c r="AE39" s="83">
        <f t="shared" si="14"/>
        <v>30.674774387500033</v>
      </c>
      <c r="AG39" s="183">
        <v>0</v>
      </c>
      <c r="AH39" s="183">
        <v>48.117748800000044</v>
      </c>
      <c r="AI39" s="183">
        <v>0</v>
      </c>
      <c r="AJ39" s="83">
        <f t="shared" si="19"/>
        <v>48.117748800000044</v>
      </c>
      <c r="AL39" s="183">
        <v>0</v>
      </c>
      <c r="AM39" s="183">
        <v>47.267297690909118</v>
      </c>
      <c r="AN39" s="183">
        <v>0</v>
      </c>
      <c r="AO39" s="83">
        <f t="shared" si="20"/>
        <v>47.267297690909118</v>
      </c>
    </row>
    <row r="40" spans="1:41" ht="18.75" thickTop="1" thickBot="1">
      <c r="A40" s="70" t="s">
        <v>27</v>
      </c>
      <c r="B40" s="96" t="s">
        <v>160</v>
      </c>
      <c r="C40" s="71" t="s">
        <v>41</v>
      </c>
      <c r="D40" s="72">
        <v>0</v>
      </c>
      <c r="E40" s="72">
        <v>0</v>
      </c>
      <c r="F40" s="72">
        <v>0</v>
      </c>
      <c r="G40" s="72">
        <v>0</v>
      </c>
      <c r="H40" s="73">
        <v>0</v>
      </c>
      <c r="I40" s="73">
        <v>0</v>
      </c>
      <c r="J40" s="72">
        <v>46</v>
      </c>
      <c r="K40" s="73">
        <v>10</v>
      </c>
      <c r="L40" s="73">
        <v>1</v>
      </c>
      <c r="M40" s="73">
        <v>0</v>
      </c>
      <c r="N40" s="73">
        <v>0</v>
      </c>
      <c r="O40" s="73">
        <v>0</v>
      </c>
      <c r="P40" s="73">
        <v>0.10892400000000001</v>
      </c>
      <c r="Q40" s="73">
        <v>0.2698218</v>
      </c>
      <c r="R40" s="73">
        <v>7.5992879999999999E-2</v>
      </c>
      <c r="S40" s="73">
        <v>0.26180403999999996</v>
      </c>
      <c r="T40" s="73">
        <v>0.31271087999999997</v>
      </c>
      <c r="U40" s="73">
        <v>0.35030041333333339</v>
      </c>
      <c r="V40" s="73">
        <v>0.29374571999999999</v>
      </c>
      <c r="W40" s="73">
        <v>0.22563332</v>
      </c>
      <c r="X40" s="73">
        <v>0.13115126666666665</v>
      </c>
      <c r="Y40" s="183">
        <v>0.28266143636363639</v>
      </c>
      <c r="Z40" s="183">
        <v>0.49555176363636355</v>
      </c>
      <c r="AB40" s="183">
        <v>0</v>
      </c>
      <c r="AC40" s="183">
        <v>0.13115126666666665</v>
      </c>
      <c r="AD40" s="183">
        <v>0</v>
      </c>
      <c r="AE40" s="83">
        <f t="shared" si="14"/>
        <v>0.13115126666666665</v>
      </c>
      <c r="AG40" s="183">
        <v>8.5999999999999993E-2</v>
      </c>
      <c r="AH40" s="183">
        <v>0.28266143636363639</v>
      </c>
      <c r="AI40" s="183">
        <v>8.5999999999999993E-2</v>
      </c>
      <c r="AJ40" s="83">
        <f t="shared" si="19"/>
        <v>0.28266143636363639</v>
      </c>
      <c r="AL40" s="183">
        <v>8.5999999999999993E-2</v>
      </c>
      <c r="AM40" s="183">
        <v>0.49555176363636355</v>
      </c>
      <c r="AN40" s="183">
        <v>8.5999999999999993E-2</v>
      </c>
      <c r="AO40" s="83">
        <f t="shared" si="20"/>
        <v>0.49555176363636355</v>
      </c>
    </row>
    <row r="41" spans="1:41" ht="18.75" thickTop="1" thickBot="1">
      <c r="A41" s="80">
        <v>7</v>
      </c>
      <c r="B41" s="94" t="s">
        <v>118</v>
      </c>
      <c r="C41" s="81" t="s">
        <v>53</v>
      </c>
      <c r="D41" s="82">
        <v>50</v>
      </c>
      <c r="E41" s="82">
        <v>49</v>
      </c>
      <c r="F41" s="82">
        <v>48</v>
      </c>
      <c r="G41" s="82">
        <v>48</v>
      </c>
      <c r="H41" s="82">
        <v>55</v>
      </c>
      <c r="I41" s="82">
        <v>49</v>
      </c>
      <c r="J41" s="82">
        <v>42</v>
      </c>
      <c r="K41" s="82">
        <v>42</v>
      </c>
      <c r="L41" s="82">
        <v>41</v>
      </c>
      <c r="M41" s="82">
        <v>56</v>
      </c>
      <c r="N41" s="82">
        <v>51</v>
      </c>
      <c r="O41" s="82">
        <v>55</v>
      </c>
      <c r="P41" s="82">
        <v>62.638529200000001</v>
      </c>
      <c r="Q41" s="82">
        <v>55.698521999999997</v>
      </c>
      <c r="R41" s="82">
        <v>40.0011911</v>
      </c>
      <c r="S41" s="82">
        <v>30.814371600000001</v>
      </c>
      <c r="T41" s="82">
        <v>27.215012849999997</v>
      </c>
      <c r="U41" s="82">
        <v>17.3794285</v>
      </c>
      <c r="V41" s="82">
        <v>15.54417561</v>
      </c>
      <c r="W41" s="82">
        <v>5.56396332</v>
      </c>
      <c r="X41" s="82">
        <v>13.416332110000003</v>
      </c>
      <c r="Y41" s="82">
        <v>13.417416830000002</v>
      </c>
      <c r="Z41" s="82">
        <v>4.3872401200000013</v>
      </c>
      <c r="AB41" s="83">
        <v>0</v>
      </c>
      <c r="AC41" s="82">
        <v>13.416332110000003</v>
      </c>
      <c r="AD41" s="82">
        <v>0</v>
      </c>
      <c r="AE41" s="83">
        <f t="shared" si="14"/>
        <v>13.416332110000003</v>
      </c>
      <c r="AG41" s="83">
        <v>0</v>
      </c>
      <c r="AH41" s="82">
        <v>13.417416830000002</v>
      </c>
      <c r="AI41" s="82">
        <v>0</v>
      </c>
      <c r="AJ41" s="83">
        <f t="shared" si="19"/>
        <v>13.417416830000002</v>
      </c>
      <c r="AL41" s="83">
        <v>0</v>
      </c>
      <c r="AM41" s="82">
        <v>4.3872401200000013</v>
      </c>
      <c r="AN41" s="82">
        <v>0</v>
      </c>
      <c r="AO41" s="83">
        <f t="shared" si="20"/>
        <v>4.3872401200000013</v>
      </c>
    </row>
    <row r="42" spans="1:41" ht="18.75" thickTop="1" thickBot="1">
      <c r="A42" s="85">
        <v>7.1</v>
      </c>
      <c r="B42" s="95" t="s">
        <v>233</v>
      </c>
      <c r="C42" s="86" t="s">
        <v>53</v>
      </c>
      <c r="D42" s="87">
        <v>2</v>
      </c>
      <c r="E42" s="87">
        <v>3</v>
      </c>
      <c r="F42" s="87">
        <v>3</v>
      </c>
      <c r="G42" s="87">
        <v>3</v>
      </c>
      <c r="H42" s="87">
        <v>3</v>
      </c>
      <c r="I42" s="87">
        <v>3</v>
      </c>
      <c r="J42" s="87">
        <v>3</v>
      </c>
      <c r="K42" s="87">
        <v>3</v>
      </c>
      <c r="L42" s="87">
        <v>3</v>
      </c>
      <c r="M42" s="87">
        <v>3</v>
      </c>
      <c r="N42" s="87">
        <v>3</v>
      </c>
      <c r="O42" s="87">
        <v>3</v>
      </c>
      <c r="P42" s="87">
        <v>8.3599999999999994E-3</v>
      </c>
      <c r="Q42" s="87">
        <v>0</v>
      </c>
      <c r="R42" s="87">
        <v>1.1220000000000001E-2</v>
      </c>
      <c r="S42" s="87">
        <v>2.2440000000000002E-2</v>
      </c>
      <c r="T42" s="87">
        <v>0</v>
      </c>
      <c r="U42" s="87">
        <v>4.4880000000000003E-2</v>
      </c>
      <c r="V42" s="87">
        <v>3.4499000000000002E-2</v>
      </c>
      <c r="W42" s="87">
        <v>3.4680000000000002E-2</v>
      </c>
      <c r="X42" s="87">
        <v>2.3460000000000002E-2</v>
      </c>
      <c r="Y42" s="87">
        <v>0</v>
      </c>
      <c r="Z42" s="87">
        <v>2.346581E-2</v>
      </c>
      <c r="AB42" s="87">
        <v>0</v>
      </c>
      <c r="AC42" s="87">
        <v>2.3460000000000002E-2</v>
      </c>
      <c r="AD42" s="87">
        <v>0</v>
      </c>
      <c r="AE42" s="83">
        <f t="shared" si="14"/>
        <v>2.3460000000000002E-2</v>
      </c>
      <c r="AG42" s="87">
        <v>0</v>
      </c>
      <c r="AH42" s="87">
        <v>0</v>
      </c>
      <c r="AI42" s="87">
        <v>0</v>
      </c>
      <c r="AJ42" s="83">
        <f t="shared" si="19"/>
        <v>0</v>
      </c>
      <c r="AL42" s="87">
        <v>0</v>
      </c>
      <c r="AM42" s="87">
        <v>2.346581E-2</v>
      </c>
      <c r="AN42" s="87">
        <v>0</v>
      </c>
      <c r="AO42" s="83">
        <f t="shared" si="20"/>
        <v>2.346581E-2</v>
      </c>
    </row>
    <row r="43" spans="1:41" ht="18.75" thickTop="1" thickBot="1">
      <c r="A43" s="85">
        <v>7.2</v>
      </c>
      <c r="B43" s="95" t="s">
        <v>234</v>
      </c>
      <c r="C43" s="86" t="s">
        <v>53</v>
      </c>
      <c r="D43" s="87">
        <v>3</v>
      </c>
      <c r="E43" s="87">
        <v>2</v>
      </c>
      <c r="F43" s="87">
        <v>3</v>
      </c>
      <c r="G43" s="87">
        <v>3</v>
      </c>
      <c r="H43" s="87">
        <v>3</v>
      </c>
      <c r="I43" s="87">
        <v>3</v>
      </c>
      <c r="J43" s="87">
        <v>3</v>
      </c>
      <c r="K43" s="87">
        <v>3</v>
      </c>
      <c r="L43" s="87">
        <v>3</v>
      </c>
      <c r="M43" s="87">
        <v>3</v>
      </c>
      <c r="N43" s="87">
        <v>3</v>
      </c>
      <c r="O43" s="87">
        <v>3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  <c r="AB43" s="87">
        <v>0</v>
      </c>
      <c r="AC43" s="87">
        <v>0</v>
      </c>
      <c r="AD43" s="87">
        <v>0</v>
      </c>
      <c r="AE43" s="83">
        <f t="shared" si="14"/>
        <v>0</v>
      </c>
      <c r="AG43" s="87">
        <v>0</v>
      </c>
      <c r="AH43" s="87">
        <v>0</v>
      </c>
      <c r="AI43" s="87">
        <v>0</v>
      </c>
      <c r="AJ43" s="83">
        <f t="shared" si="19"/>
        <v>0</v>
      </c>
      <c r="AL43" s="87">
        <v>0</v>
      </c>
      <c r="AM43" s="87">
        <v>0</v>
      </c>
      <c r="AN43" s="87">
        <v>0</v>
      </c>
      <c r="AO43" s="83">
        <f t="shared" si="20"/>
        <v>0</v>
      </c>
    </row>
    <row r="44" spans="1:41" ht="18.75" thickTop="1" thickBot="1">
      <c r="A44" s="85">
        <v>7.3</v>
      </c>
      <c r="B44" s="95" t="s">
        <v>235</v>
      </c>
      <c r="C44" s="86" t="s">
        <v>53</v>
      </c>
      <c r="D44" s="87">
        <v>45</v>
      </c>
      <c r="E44" s="87">
        <v>44</v>
      </c>
      <c r="F44" s="87">
        <v>42</v>
      </c>
      <c r="G44" s="87">
        <v>42</v>
      </c>
      <c r="H44" s="87">
        <v>49</v>
      </c>
      <c r="I44" s="87">
        <v>43</v>
      </c>
      <c r="J44" s="87">
        <v>36</v>
      </c>
      <c r="K44" s="87">
        <v>36</v>
      </c>
      <c r="L44" s="87">
        <v>35</v>
      </c>
      <c r="M44" s="87">
        <v>50</v>
      </c>
      <c r="N44" s="87">
        <v>45</v>
      </c>
      <c r="O44" s="87">
        <v>49</v>
      </c>
      <c r="P44" s="87">
        <v>62.630169199999997</v>
      </c>
      <c r="Q44" s="87">
        <v>55.674999999999997</v>
      </c>
      <c r="R44" s="87">
        <v>39.963571100000003</v>
      </c>
      <c r="S44" s="87">
        <v>30.783340550000002</v>
      </c>
      <c r="T44" s="87">
        <v>27.215012849999997</v>
      </c>
      <c r="U44" s="87">
        <v>17.308148500000001</v>
      </c>
      <c r="V44" s="87">
        <v>15.50967661</v>
      </c>
      <c r="W44" s="87">
        <v>5.5292833200000002</v>
      </c>
      <c r="X44" s="87">
        <v>13.349672110000002</v>
      </c>
      <c r="Y44" s="87">
        <v>13.374216830000002</v>
      </c>
      <c r="Z44" s="87">
        <v>4.3138543100000009</v>
      </c>
      <c r="AB44" s="87">
        <v>0</v>
      </c>
      <c r="AC44" s="87">
        <v>13.349672110000002</v>
      </c>
      <c r="AD44" s="87">
        <v>0</v>
      </c>
      <c r="AE44" s="83">
        <f t="shared" si="14"/>
        <v>13.349672110000002</v>
      </c>
      <c r="AG44" s="87">
        <v>0</v>
      </c>
      <c r="AH44" s="87">
        <v>13.374216830000002</v>
      </c>
      <c r="AI44" s="87">
        <v>0</v>
      </c>
      <c r="AJ44" s="83">
        <f t="shared" si="19"/>
        <v>13.374216830000002</v>
      </c>
      <c r="AL44" s="87">
        <v>0</v>
      </c>
      <c r="AM44" s="87">
        <v>4.3138543100000009</v>
      </c>
      <c r="AN44" s="87">
        <v>0</v>
      </c>
      <c r="AO44" s="83">
        <f t="shared" si="20"/>
        <v>4.3138543100000009</v>
      </c>
    </row>
    <row r="45" spans="1:41" ht="18.75" thickTop="1" thickBot="1">
      <c r="A45" s="70" t="s">
        <v>28</v>
      </c>
      <c r="B45" s="96" t="s">
        <v>291</v>
      </c>
      <c r="C45" s="71" t="s">
        <v>53</v>
      </c>
      <c r="D45" s="72">
        <v>0</v>
      </c>
      <c r="E45" s="72">
        <v>0</v>
      </c>
      <c r="F45" s="72">
        <v>0</v>
      </c>
      <c r="G45" s="72">
        <v>0</v>
      </c>
      <c r="H45" s="73">
        <v>0</v>
      </c>
      <c r="I45" s="73">
        <v>0</v>
      </c>
      <c r="J45" s="72">
        <v>0</v>
      </c>
      <c r="K45" s="73">
        <v>0</v>
      </c>
      <c r="L45" s="73">
        <v>0</v>
      </c>
      <c r="M45" s="73">
        <v>0</v>
      </c>
      <c r="N45" s="77">
        <v>0</v>
      </c>
      <c r="O45" s="73">
        <v>0</v>
      </c>
      <c r="P45" s="73">
        <v>8.7410000000000005E-4</v>
      </c>
      <c r="Q45" s="73">
        <v>0</v>
      </c>
      <c r="R45" s="73">
        <v>4.13E-3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183">
        <v>0</v>
      </c>
      <c r="Z45" s="183">
        <v>0</v>
      </c>
      <c r="AB45" s="183">
        <v>0</v>
      </c>
      <c r="AC45" s="183">
        <v>0</v>
      </c>
      <c r="AD45" s="183">
        <v>0</v>
      </c>
      <c r="AE45" s="83">
        <f t="shared" si="14"/>
        <v>0</v>
      </c>
      <c r="AG45" s="183">
        <v>0</v>
      </c>
      <c r="AH45" s="183">
        <v>0</v>
      </c>
      <c r="AI45" s="183">
        <v>0</v>
      </c>
      <c r="AJ45" s="83">
        <f t="shared" si="19"/>
        <v>0</v>
      </c>
      <c r="AL45" s="183">
        <v>0</v>
      </c>
      <c r="AM45" s="183">
        <v>0</v>
      </c>
      <c r="AN45" s="183">
        <v>0</v>
      </c>
      <c r="AO45" s="83">
        <f t="shared" si="20"/>
        <v>0</v>
      </c>
    </row>
    <row r="46" spans="1:41" ht="18.75" thickTop="1" thickBot="1">
      <c r="A46" s="70" t="s">
        <v>29</v>
      </c>
      <c r="B46" s="96" t="s">
        <v>236</v>
      </c>
      <c r="C46" s="71" t="s">
        <v>53</v>
      </c>
      <c r="D46" s="72">
        <v>0</v>
      </c>
      <c r="E46" s="72">
        <v>0</v>
      </c>
      <c r="F46" s="72">
        <v>0</v>
      </c>
      <c r="G46" s="72">
        <v>42</v>
      </c>
      <c r="H46" s="73">
        <v>49</v>
      </c>
      <c r="I46" s="73">
        <v>43</v>
      </c>
      <c r="J46" s="72">
        <v>36</v>
      </c>
      <c r="K46" s="73">
        <v>36</v>
      </c>
      <c r="L46" s="73">
        <v>35</v>
      </c>
      <c r="M46" s="73">
        <v>50</v>
      </c>
      <c r="N46" s="77">
        <v>45</v>
      </c>
      <c r="O46" s="73">
        <v>49</v>
      </c>
      <c r="P46" s="73">
        <v>62.629000000000005</v>
      </c>
      <c r="Q46" s="73">
        <v>55.668999999999997</v>
      </c>
      <c r="R46" s="73">
        <v>39.948225100000002</v>
      </c>
      <c r="S46" s="73">
        <v>30.774749500000002</v>
      </c>
      <c r="T46" s="73">
        <v>27.215012849999997</v>
      </c>
      <c r="U46" s="73">
        <v>17.2930685</v>
      </c>
      <c r="V46" s="73">
        <v>15.50561261</v>
      </c>
      <c r="W46" s="73">
        <v>5.5202533200000001</v>
      </c>
      <c r="X46" s="73">
        <v>13.349672110000002</v>
      </c>
      <c r="Y46" s="183">
        <v>13.374216830000002</v>
      </c>
      <c r="Z46" s="183">
        <v>4.2639343100000007</v>
      </c>
      <c r="AB46" s="183">
        <v>0</v>
      </c>
      <c r="AC46" s="183">
        <v>13.349672110000002</v>
      </c>
      <c r="AD46" s="183">
        <v>0</v>
      </c>
      <c r="AE46" s="83">
        <f t="shared" si="14"/>
        <v>13.349672110000002</v>
      </c>
      <c r="AG46" s="183">
        <v>0</v>
      </c>
      <c r="AH46" s="183">
        <v>13.374216830000002</v>
      </c>
      <c r="AI46" s="183">
        <v>0</v>
      </c>
      <c r="AJ46" s="83">
        <f t="shared" si="19"/>
        <v>13.374216830000002</v>
      </c>
      <c r="AL46" s="183">
        <v>0</v>
      </c>
      <c r="AM46" s="183">
        <v>4.2639343100000007</v>
      </c>
      <c r="AN46" s="183">
        <v>0</v>
      </c>
      <c r="AO46" s="83">
        <f t="shared" si="20"/>
        <v>4.2639343100000007</v>
      </c>
    </row>
    <row r="47" spans="1:41" ht="18.75" thickTop="1" thickBot="1">
      <c r="A47" s="70" t="s">
        <v>30</v>
      </c>
      <c r="B47" s="96" t="s">
        <v>292</v>
      </c>
      <c r="C47" s="71" t="s">
        <v>53</v>
      </c>
      <c r="D47" s="72">
        <v>0</v>
      </c>
      <c r="E47" s="72">
        <v>0</v>
      </c>
      <c r="F47" s="72">
        <v>0</v>
      </c>
      <c r="G47" s="72">
        <v>0</v>
      </c>
      <c r="H47" s="73">
        <v>0</v>
      </c>
      <c r="I47" s="73">
        <v>0</v>
      </c>
      <c r="J47" s="72">
        <v>0</v>
      </c>
      <c r="K47" s="73">
        <v>0</v>
      </c>
      <c r="L47" s="73">
        <v>0</v>
      </c>
      <c r="M47" s="73">
        <v>0</v>
      </c>
      <c r="N47" s="77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183">
        <v>0</v>
      </c>
      <c r="Z47" s="183">
        <v>0</v>
      </c>
      <c r="AB47" s="183">
        <v>0</v>
      </c>
      <c r="AC47" s="183">
        <v>0</v>
      </c>
      <c r="AD47" s="183">
        <v>0</v>
      </c>
      <c r="AE47" s="83">
        <f t="shared" si="14"/>
        <v>0</v>
      </c>
      <c r="AG47" s="183">
        <v>0</v>
      </c>
      <c r="AH47" s="183">
        <v>0</v>
      </c>
      <c r="AI47" s="183">
        <v>0</v>
      </c>
      <c r="AJ47" s="83">
        <f t="shared" si="19"/>
        <v>0</v>
      </c>
      <c r="AL47" s="183">
        <v>0</v>
      </c>
      <c r="AM47" s="183">
        <v>0</v>
      </c>
      <c r="AN47" s="183">
        <v>0</v>
      </c>
      <c r="AO47" s="83">
        <f t="shared" si="20"/>
        <v>0</v>
      </c>
    </row>
    <row r="48" spans="1:41" ht="18.75" thickTop="1" thickBot="1">
      <c r="A48" s="70" t="s">
        <v>31</v>
      </c>
      <c r="B48" s="96" t="s">
        <v>317</v>
      </c>
      <c r="C48" s="71" t="s">
        <v>53</v>
      </c>
      <c r="D48" s="72">
        <v>0</v>
      </c>
      <c r="E48" s="72">
        <v>0</v>
      </c>
      <c r="F48" s="72">
        <v>0</v>
      </c>
      <c r="G48" s="72">
        <v>0</v>
      </c>
      <c r="H48" s="73">
        <v>0</v>
      </c>
      <c r="I48" s="73">
        <v>0</v>
      </c>
      <c r="J48" s="72">
        <v>0</v>
      </c>
      <c r="K48" s="73">
        <v>0</v>
      </c>
      <c r="L48" s="73">
        <v>0</v>
      </c>
      <c r="M48" s="73">
        <v>0</v>
      </c>
      <c r="N48" s="77">
        <v>0</v>
      </c>
      <c r="O48" s="73">
        <v>0</v>
      </c>
      <c r="P48" s="73">
        <v>2.9510000000000002E-4</v>
      </c>
      <c r="Q48" s="73">
        <v>6.0000000000000001E-3</v>
      </c>
      <c r="R48" s="73">
        <v>1.1215999999999999E-2</v>
      </c>
      <c r="S48" s="73">
        <v>8.5910499999999994E-3</v>
      </c>
      <c r="T48" s="73">
        <v>0</v>
      </c>
      <c r="U48" s="73">
        <v>1.508E-2</v>
      </c>
      <c r="V48" s="73">
        <v>4.0639999999999999E-3</v>
      </c>
      <c r="W48" s="73">
        <v>9.0299999999999998E-3</v>
      </c>
      <c r="X48" s="73">
        <v>0</v>
      </c>
      <c r="Y48" s="183">
        <v>0</v>
      </c>
      <c r="Z48" s="183">
        <v>4.9919999999999999E-2</v>
      </c>
      <c r="AB48" s="183">
        <v>0</v>
      </c>
      <c r="AC48" s="183">
        <v>0</v>
      </c>
      <c r="AD48" s="183">
        <v>0</v>
      </c>
      <c r="AE48" s="83">
        <f t="shared" si="14"/>
        <v>0</v>
      </c>
      <c r="AG48" s="183">
        <v>0</v>
      </c>
      <c r="AH48" s="183">
        <v>0</v>
      </c>
      <c r="AI48" s="183">
        <v>0</v>
      </c>
      <c r="AJ48" s="83">
        <f t="shared" si="19"/>
        <v>0</v>
      </c>
      <c r="AL48" s="183">
        <v>0</v>
      </c>
      <c r="AM48" s="183">
        <v>4.9919999999999999E-2</v>
      </c>
      <c r="AN48" s="183">
        <v>0</v>
      </c>
      <c r="AO48" s="83">
        <f t="shared" si="20"/>
        <v>4.9919999999999999E-2</v>
      </c>
    </row>
    <row r="49" spans="1:41" ht="18.75" thickTop="1" thickBot="1">
      <c r="A49" s="85">
        <v>7.4</v>
      </c>
      <c r="B49" s="95" t="s">
        <v>203</v>
      </c>
      <c r="C49" s="86" t="s">
        <v>53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2.3522000000000001E-2</v>
      </c>
      <c r="R49" s="87">
        <v>2.64E-2</v>
      </c>
      <c r="S49" s="87">
        <v>0</v>
      </c>
      <c r="T49" s="87">
        <v>1.7782659999999999E-2</v>
      </c>
      <c r="U49" s="87">
        <v>2.64E-2</v>
      </c>
      <c r="V49" s="87">
        <v>0</v>
      </c>
      <c r="W49" s="87">
        <v>0</v>
      </c>
      <c r="X49" s="87">
        <v>4.3200000000000002E-2</v>
      </c>
      <c r="Y49" s="87">
        <v>4.3200000000000002E-2</v>
      </c>
      <c r="Z49" s="87">
        <v>4.9919999999999999E-2</v>
      </c>
      <c r="AB49" s="87">
        <v>0</v>
      </c>
      <c r="AC49" s="87">
        <v>4.3200000000000002E-2</v>
      </c>
      <c r="AD49" s="87">
        <v>0</v>
      </c>
      <c r="AE49" s="83">
        <f t="shared" si="14"/>
        <v>4.3200000000000002E-2</v>
      </c>
      <c r="AG49" s="87">
        <v>0</v>
      </c>
      <c r="AH49" s="87">
        <v>4.3200000000000002E-2</v>
      </c>
      <c r="AI49" s="87">
        <v>0</v>
      </c>
      <c r="AJ49" s="83">
        <f t="shared" si="19"/>
        <v>4.3200000000000002E-2</v>
      </c>
      <c r="AL49" s="87">
        <v>0</v>
      </c>
      <c r="AM49" s="87">
        <v>4.9919999999999999E-2</v>
      </c>
      <c r="AN49" s="87">
        <v>0</v>
      </c>
      <c r="AO49" s="83">
        <f t="shared" si="20"/>
        <v>4.9919999999999999E-2</v>
      </c>
    </row>
    <row r="50" spans="1:41" ht="18.75" thickTop="1" thickBot="1">
      <c r="A50" s="80">
        <v>8</v>
      </c>
      <c r="B50" s="94" t="s">
        <v>239</v>
      </c>
      <c r="C50" s="81" t="s">
        <v>53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2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2">
        <v>3.6296000000000001E-4</v>
      </c>
      <c r="Q50" s="82">
        <v>0.14849999999999999</v>
      </c>
      <c r="R50" s="82">
        <v>0.15039527999999999</v>
      </c>
      <c r="S50" s="82">
        <v>0.13113580999999999</v>
      </c>
      <c r="T50" s="82">
        <v>0.12814233999999999</v>
      </c>
      <c r="U50" s="82">
        <v>8.9864219999999995E-2</v>
      </c>
      <c r="V50" s="82">
        <v>6.99018E-2</v>
      </c>
      <c r="W50" s="82">
        <v>6.8151690000000001E-2</v>
      </c>
      <c r="X50" s="82">
        <v>9.0345399999999992E-2</v>
      </c>
      <c r="Y50" s="82">
        <v>9.0345399999999992E-2</v>
      </c>
      <c r="Z50" s="82">
        <v>0.10684099999999999</v>
      </c>
      <c r="AB50" s="83">
        <v>0</v>
      </c>
      <c r="AC50" s="82">
        <v>9.0345399999999992E-2</v>
      </c>
      <c r="AD50" s="82">
        <v>0</v>
      </c>
      <c r="AE50" s="83">
        <f t="shared" si="14"/>
        <v>9.0345399999999992E-2</v>
      </c>
      <c r="AG50" s="83">
        <v>0</v>
      </c>
      <c r="AH50" s="82">
        <v>9.0345399999999992E-2</v>
      </c>
      <c r="AI50" s="82">
        <v>0</v>
      </c>
      <c r="AJ50" s="83">
        <f t="shared" si="19"/>
        <v>9.0345399999999992E-2</v>
      </c>
      <c r="AL50" s="83">
        <v>0</v>
      </c>
      <c r="AM50" s="82">
        <v>0.10684099999999999</v>
      </c>
      <c r="AN50" s="82">
        <v>0</v>
      </c>
      <c r="AO50" s="83">
        <f t="shared" si="20"/>
        <v>0.10684099999999999</v>
      </c>
    </row>
    <row r="51" spans="1:41" ht="18.75" thickTop="1" thickBot="1">
      <c r="A51" s="85">
        <v>8.1</v>
      </c>
      <c r="B51" s="95" t="s">
        <v>307</v>
      </c>
      <c r="C51" s="86" t="s">
        <v>53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1.64E-4</v>
      </c>
      <c r="Q51" s="87">
        <v>9.2999999999999999E-2</v>
      </c>
      <c r="R51" s="87">
        <v>0.10716299999999999</v>
      </c>
      <c r="S51" s="87">
        <v>9.5614999999999992E-2</v>
      </c>
      <c r="T51" s="87">
        <v>8.133E-2</v>
      </c>
      <c r="U51" s="87">
        <v>4.5359999999999998E-2</v>
      </c>
      <c r="V51" s="87">
        <v>4.6060000000000004E-2</v>
      </c>
      <c r="W51" s="87">
        <v>5.6850000000000005E-2</v>
      </c>
      <c r="X51" s="87">
        <v>6.9134399999999999E-2</v>
      </c>
      <c r="Y51" s="87">
        <v>6.9134399999999999E-2</v>
      </c>
      <c r="Z51" s="87">
        <v>8.6029999999999995E-2</v>
      </c>
      <c r="AB51" s="87">
        <v>0</v>
      </c>
      <c r="AC51" s="87">
        <v>6.9134399999999999E-2</v>
      </c>
      <c r="AD51" s="87">
        <v>0</v>
      </c>
      <c r="AE51" s="83">
        <f t="shared" si="14"/>
        <v>6.9134399999999999E-2</v>
      </c>
      <c r="AG51" s="87">
        <v>0</v>
      </c>
      <c r="AH51" s="87">
        <v>6.9134399999999999E-2</v>
      </c>
      <c r="AI51" s="87">
        <v>0</v>
      </c>
      <c r="AJ51" s="83">
        <f t="shared" si="19"/>
        <v>6.9134399999999999E-2</v>
      </c>
      <c r="AL51" s="87">
        <v>0</v>
      </c>
      <c r="AM51" s="87">
        <v>8.6029999999999995E-2</v>
      </c>
      <c r="AN51" s="87">
        <v>0</v>
      </c>
      <c r="AO51" s="83">
        <f t="shared" si="20"/>
        <v>8.6029999999999995E-2</v>
      </c>
    </row>
    <row r="52" spans="1:41" ht="18.75" thickTop="1" thickBot="1">
      <c r="A52" s="85">
        <v>8.1999999999999993</v>
      </c>
      <c r="B52" s="95" t="s">
        <v>132</v>
      </c>
      <c r="C52" s="86" t="s">
        <v>53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1.9896000000000001E-4</v>
      </c>
      <c r="Q52" s="87">
        <v>5.5500000000000001E-2</v>
      </c>
      <c r="R52" s="87">
        <v>4.3232279999999998E-2</v>
      </c>
      <c r="S52" s="87">
        <v>3.552081E-2</v>
      </c>
      <c r="T52" s="87">
        <v>4.6812340000000001E-2</v>
      </c>
      <c r="U52" s="87">
        <v>4.4504220000000004E-2</v>
      </c>
      <c r="V52" s="87">
        <v>2.38418E-2</v>
      </c>
      <c r="W52" s="87">
        <v>1.1301690000000001E-2</v>
      </c>
      <c r="X52" s="87">
        <v>2.1210999999999997E-2</v>
      </c>
      <c r="Y52" s="87">
        <v>2.1210999999999997E-2</v>
      </c>
      <c r="Z52" s="87">
        <v>2.0811E-2</v>
      </c>
      <c r="AB52" s="87">
        <v>0</v>
      </c>
      <c r="AC52" s="87">
        <v>2.1210999999999997E-2</v>
      </c>
      <c r="AD52" s="87">
        <v>0</v>
      </c>
      <c r="AE52" s="83">
        <f t="shared" si="14"/>
        <v>2.1210999999999997E-2</v>
      </c>
      <c r="AG52" s="87">
        <v>0</v>
      </c>
      <c r="AH52" s="87">
        <v>2.1210999999999997E-2</v>
      </c>
      <c r="AI52" s="87">
        <v>0</v>
      </c>
      <c r="AJ52" s="83">
        <f t="shared" si="19"/>
        <v>2.1210999999999997E-2</v>
      </c>
      <c r="AL52" s="87">
        <v>0</v>
      </c>
      <c r="AM52" s="87">
        <v>2.0811E-2</v>
      </c>
      <c r="AN52" s="87">
        <v>0</v>
      </c>
      <c r="AO52" s="83">
        <f t="shared" si="20"/>
        <v>2.0811E-2</v>
      </c>
    </row>
    <row r="53" spans="1:41" ht="18.75" thickTop="1" thickBot="1">
      <c r="A53" s="80">
        <v>9</v>
      </c>
      <c r="B53" s="94" t="s">
        <v>120</v>
      </c>
      <c r="C53" s="81" t="s">
        <v>53</v>
      </c>
      <c r="D53" s="82">
        <v>5</v>
      </c>
      <c r="E53" s="82">
        <v>0</v>
      </c>
      <c r="F53" s="82">
        <v>2</v>
      </c>
      <c r="G53" s="82">
        <v>7</v>
      </c>
      <c r="H53" s="82">
        <v>2</v>
      </c>
      <c r="I53" s="82">
        <v>2</v>
      </c>
      <c r="J53" s="82">
        <v>7</v>
      </c>
      <c r="K53" s="82">
        <v>9</v>
      </c>
      <c r="L53" s="82">
        <v>18</v>
      </c>
      <c r="M53" s="82">
        <v>12</v>
      </c>
      <c r="N53" s="82">
        <v>22</v>
      </c>
      <c r="O53" s="82">
        <v>15</v>
      </c>
      <c r="P53" s="82">
        <v>29.501873750000001</v>
      </c>
      <c r="Q53" s="82">
        <v>30.275586000000004</v>
      </c>
      <c r="R53" s="82">
        <v>4.1107470700000004</v>
      </c>
      <c r="S53" s="82">
        <v>5.1914050100000004</v>
      </c>
      <c r="T53" s="82">
        <v>4.8753561500000018</v>
      </c>
      <c r="U53" s="82">
        <v>61</v>
      </c>
      <c r="V53" s="82">
        <v>62</v>
      </c>
      <c r="W53" s="82">
        <v>58</v>
      </c>
      <c r="X53" s="82">
        <v>53.429272559999994</v>
      </c>
      <c r="Y53" s="82">
        <v>13.24307626</v>
      </c>
      <c r="Z53" s="82">
        <v>8.256003879999998</v>
      </c>
      <c r="AB53" s="82">
        <v>70.150930000000002</v>
      </c>
      <c r="AC53" s="82">
        <v>2.8525295599999998</v>
      </c>
      <c r="AD53" s="82">
        <v>19.574187000000002</v>
      </c>
      <c r="AE53" s="83">
        <f t="shared" si="14"/>
        <v>53.429272559999994</v>
      </c>
      <c r="AG53" s="82">
        <v>23.46</v>
      </c>
      <c r="AH53" s="82">
        <v>4.2410412600000003</v>
      </c>
      <c r="AI53" s="82">
        <v>14.457965</v>
      </c>
      <c r="AJ53" s="83">
        <f t="shared" si="19"/>
        <v>13.24307626</v>
      </c>
      <c r="AL53" s="82">
        <v>24.203888669999998</v>
      </c>
      <c r="AM53" s="82">
        <v>1.2803538799999998</v>
      </c>
      <c r="AN53" s="82">
        <v>17.22823867</v>
      </c>
      <c r="AO53" s="83">
        <f t="shared" si="20"/>
        <v>8.256003879999998</v>
      </c>
    </row>
    <row r="54" spans="1:41" ht="18.75" thickTop="1" thickBot="1">
      <c r="A54" s="80">
        <v>10</v>
      </c>
      <c r="B54" s="94" t="s">
        <v>121</v>
      </c>
      <c r="C54" s="81" t="s">
        <v>53</v>
      </c>
      <c r="D54" s="82">
        <v>125</v>
      </c>
      <c r="E54" s="82">
        <v>126</v>
      </c>
      <c r="F54" s="82">
        <v>95</v>
      </c>
      <c r="G54" s="82">
        <v>81</v>
      </c>
      <c r="H54" s="82">
        <v>78</v>
      </c>
      <c r="I54" s="82">
        <v>121</v>
      </c>
      <c r="J54" s="82">
        <v>141</v>
      </c>
      <c r="K54" s="82">
        <v>123</v>
      </c>
      <c r="L54" s="82">
        <v>125</v>
      </c>
      <c r="M54" s="82">
        <v>142</v>
      </c>
      <c r="N54" s="82">
        <v>140</v>
      </c>
      <c r="O54" s="82">
        <v>141</v>
      </c>
      <c r="P54" s="82">
        <v>165.22825137000001</v>
      </c>
      <c r="Q54" s="82">
        <v>163.00249600000001</v>
      </c>
      <c r="R54" s="82">
        <v>143.84031390999999</v>
      </c>
      <c r="S54" s="82">
        <v>145.89654725000014</v>
      </c>
      <c r="T54" s="82">
        <v>41.841514710000013</v>
      </c>
      <c r="U54" s="82">
        <v>127.22719452000003</v>
      </c>
      <c r="V54" s="82">
        <v>125.06436717999999</v>
      </c>
      <c r="W54" s="82">
        <v>115.01948593</v>
      </c>
      <c r="X54" s="82">
        <v>100.92916827999997</v>
      </c>
      <c r="Y54" s="82">
        <v>137.23544881000007</v>
      </c>
      <c r="Z54" s="82">
        <v>119.01486378999999</v>
      </c>
      <c r="AB54" s="83">
        <v>49.158618160000003</v>
      </c>
      <c r="AC54" s="82">
        <v>54.920808909999984</v>
      </c>
      <c r="AD54" s="82">
        <v>5.5783308900000028</v>
      </c>
      <c r="AE54" s="83">
        <f t="shared" si="14"/>
        <v>98.501096179999976</v>
      </c>
      <c r="AG54" s="83">
        <v>56.515924040000002</v>
      </c>
      <c r="AH54" s="82">
        <v>86.511362540000064</v>
      </c>
      <c r="AI54" s="82">
        <v>5.791837769999999</v>
      </c>
      <c r="AJ54" s="83">
        <f t="shared" si="19"/>
        <v>137.23544881000007</v>
      </c>
      <c r="AL54" s="83">
        <v>51.46288938</v>
      </c>
      <c r="AM54" s="82">
        <v>67.831621929999997</v>
      </c>
      <c r="AN54" s="82">
        <v>0.27964751999999998</v>
      </c>
      <c r="AO54" s="83">
        <f t="shared" si="20"/>
        <v>119.01486378999999</v>
      </c>
    </row>
    <row r="55" spans="1:41" ht="18.75" thickTop="1" thickBot="1">
      <c r="A55" s="85">
        <v>10.1</v>
      </c>
      <c r="B55" s="95" t="s">
        <v>285</v>
      </c>
      <c r="C55" s="86" t="s">
        <v>53</v>
      </c>
      <c r="D55" s="87">
        <v>49</v>
      </c>
      <c r="E55" s="87">
        <v>52</v>
      </c>
      <c r="F55" s="87">
        <v>31</v>
      </c>
      <c r="G55" s="87">
        <v>29</v>
      </c>
      <c r="H55" s="87">
        <v>22</v>
      </c>
      <c r="I55" s="87">
        <v>44</v>
      </c>
      <c r="J55" s="87">
        <v>55</v>
      </c>
      <c r="K55" s="87">
        <v>43</v>
      </c>
      <c r="L55" s="87">
        <v>45</v>
      </c>
      <c r="M55" s="87">
        <v>43</v>
      </c>
      <c r="N55" s="87">
        <v>49</v>
      </c>
      <c r="O55" s="87">
        <v>55</v>
      </c>
      <c r="P55" s="87">
        <v>47.924716650000001</v>
      </c>
      <c r="Q55" s="87">
        <v>54.509415000000004</v>
      </c>
      <c r="R55" s="87">
        <v>54.972407400000002</v>
      </c>
      <c r="S55" s="87">
        <v>45.025530440000097</v>
      </c>
      <c r="T55" s="87">
        <v>20.548525670000004</v>
      </c>
      <c r="U55" s="87">
        <v>39.10291891</v>
      </c>
      <c r="V55" s="87">
        <v>39.906210130000005</v>
      </c>
      <c r="W55" s="87">
        <v>34.967311119999991</v>
      </c>
      <c r="X55" s="176">
        <v>22.691456989999988</v>
      </c>
      <c r="Y55" s="87">
        <v>51.914259080000058</v>
      </c>
      <c r="Z55" s="87">
        <v>33.88547883999999</v>
      </c>
      <c r="AB55" s="87">
        <v>4.0846499999999996E-3</v>
      </c>
      <c r="AC55" s="87">
        <v>27.777009389999993</v>
      </c>
      <c r="AD55" s="87">
        <v>5.089637050000003</v>
      </c>
      <c r="AE55" s="83">
        <f t="shared" si="14"/>
        <v>22.691456989999988</v>
      </c>
      <c r="AG55" s="87">
        <v>4.0099240399999996</v>
      </c>
      <c r="AH55" s="87">
        <v>53.401262480000057</v>
      </c>
      <c r="AI55" s="87">
        <v>5.4969274399999994</v>
      </c>
      <c r="AJ55" s="83">
        <f t="shared" si="19"/>
        <v>51.914259080000058</v>
      </c>
      <c r="AL55" s="87">
        <v>9.9240399999999986E-3</v>
      </c>
      <c r="AM55" s="87">
        <v>34.090630779999991</v>
      </c>
      <c r="AN55" s="87">
        <v>0.21507598</v>
      </c>
      <c r="AO55" s="83">
        <f t="shared" si="20"/>
        <v>33.88547883999999</v>
      </c>
    </row>
    <row r="56" spans="1:41" ht="18.75" thickTop="1" thickBot="1">
      <c r="A56" s="70" t="s">
        <v>32</v>
      </c>
      <c r="B56" s="97" t="s">
        <v>241</v>
      </c>
      <c r="C56" s="71" t="s">
        <v>53</v>
      </c>
      <c r="D56" s="72">
        <v>13</v>
      </c>
      <c r="E56" s="72">
        <v>13</v>
      </c>
      <c r="F56" s="72">
        <v>8</v>
      </c>
      <c r="G56" s="72">
        <v>7</v>
      </c>
      <c r="H56" s="73">
        <v>8</v>
      </c>
      <c r="I56" s="73">
        <v>9</v>
      </c>
      <c r="J56" s="72">
        <v>9</v>
      </c>
      <c r="K56" s="73">
        <v>8</v>
      </c>
      <c r="L56" s="73">
        <v>10</v>
      </c>
      <c r="M56" s="73">
        <v>9</v>
      </c>
      <c r="N56" s="73">
        <v>9</v>
      </c>
      <c r="O56" s="73">
        <v>9</v>
      </c>
      <c r="P56" s="73">
        <v>8.4705770000000005</v>
      </c>
      <c r="Q56" s="73">
        <v>8.6364000000000001</v>
      </c>
      <c r="R56" s="73">
        <v>8.0673292399999994</v>
      </c>
      <c r="S56" s="73">
        <v>7.1292749999999998</v>
      </c>
      <c r="T56" s="73">
        <v>6.1487093800000006</v>
      </c>
      <c r="U56" s="73">
        <v>5.6385470900000003</v>
      </c>
      <c r="V56" s="73">
        <v>6.0514600600000001</v>
      </c>
      <c r="W56" s="73">
        <v>4.3263744299999995</v>
      </c>
      <c r="X56" s="162">
        <v>3.2825072599999996</v>
      </c>
      <c r="Y56" s="183">
        <v>2.9074079900000003</v>
      </c>
      <c r="Z56" s="183">
        <v>3.2393779800000004</v>
      </c>
      <c r="AB56" s="183">
        <v>3.4129999999999998E-3</v>
      </c>
      <c r="AC56" s="183">
        <v>3.2825072599999996</v>
      </c>
      <c r="AD56" s="183">
        <v>3.4129999999999998E-3</v>
      </c>
      <c r="AE56" s="83">
        <f t="shared" si="14"/>
        <v>3.2825072599999996</v>
      </c>
      <c r="AG56" s="183">
        <v>9.8879999999999992E-3</v>
      </c>
      <c r="AH56" s="183">
        <v>2.9074079900000003</v>
      </c>
      <c r="AI56" s="183">
        <v>9.8879999999999992E-3</v>
      </c>
      <c r="AJ56" s="83">
        <f t="shared" si="19"/>
        <v>2.9074079900000003</v>
      </c>
      <c r="AL56" s="183">
        <v>9.8879999999999992E-3</v>
      </c>
      <c r="AM56" s="183">
        <v>3.2294899800000003</v>
      </c>
      <c r="AN56" s="183">
        <v>0</v>
      </c>
      <c r="AO56" s="83">
        <f t="shared" si="20"/>
        <v>3.2393779800000004</v>
      </c>
    </row>
    <row r="57" spans="1:41" ht="18.75" thickTop="1" thickBot="1">
      <c r="A57" s="70" t="s">
        <v>33</v>
      </c>
      <c r="B57" s="97" t="s">
        <v>256</v>
      </c>
      <c r="C57" s="71" t="s">
        <v>53</v>
      </c>
      <c r="D57" s="72">
        <v>9</v>
      </c>
      <c r="E57" s="72">
        <v>9</v>
      </c>
      <c r="F57" s="72">
        <v>6</v>
      </c>
      <c r="G57" s="72">
        <v>3</v>
      </c>
      <c r="H57" s="73">
        <v>1</v>
      </c>
      <c r="I57" s="73">
        <v>8</v>
      </c>
      <c r="J57" s="72">
        <v>17</v>
      </c>
      <c r="K57" s="73">
        <v>7</v>
      </c>
      <c r="L57" s="73">
        <v>7</v>
      </c>
      <c r="M57" s="73">
        <v>7</v>
      </c>
      <c r="N57" s="73">
        <v>6</v>
      </c>
      <c r="O57" s="73">
        <v>6</v>
      </c>
      <c r="P57" s="73">
        <v>0</v>
      </c>
      <c r="Q57" s="73">
        <v>0</v>
      </c>
      <c r="R57" s="73">
        <v>1.6153289499999999</v>
      </c>
      <c r="S57" s="73">
        <v>1.6376336100000002</v>
      </c>
      <c r="T57" s="73">
        <v>0</v>
      </c>
      <c r="U57" s="73">
        <v>0</v>
      </c>
      <c r="V57" s="73">
        <v>0</v>
      </c>
      <c r="W57" s="73">
        <v>0</v>
      </c>
      <c r="X57" s="162">
        <v>0.30323975000000003</v>
      </c>
      <c r="Y57" s="183">
        <v>0.5980630600000002</v>
      </c>
      <c r="Z57" s="183">
        <v>0.17383202</v>
      </c>
      <c r="AB57" s="183">
        <v>0</v>
      </c>
      <c r="AC57" s="183">
        <v>0.30323975000000003</v>
      </c>
      <c r="AD57" s="183">
        <v>0</v>
      </c>
      <c r="AE57" s="83">
        <f t="shared" si="14"/>
        <v>0.30323975000000003</v>
      </c>
      <c r="AG57" s="183">
        <v>0</v>
      </c>
      <c r="AH57" s="183">
        <v>0.5980630600000002</v>
      </c>
      <c r="AI57" s="183">
        <v>0</v>
      </c>
      <c r="AJ57" s="83">
        <f t="shared" si="19"/>
        <v>0.5980630600000002</v>
      </c>
      <c r="AL57" s="183">
        <v>0</v>
      </c>
      <c r="AM57" s="183">
        <v>0.17383202</v>
      </c>
      <c r="AN57" s="183">
        <v>0</v>
      </c>
      <c r="AO57" s="83">
        <f t="shared" si="20"/>
        <v>0.17383202</v>
      </c>
    </row>
    <row r="58" spans="1:41" ht="18.75" thickTop="1" thickBot="1">
      <c r="A58" s="70" t="s">
        <v>34</v>
      </c>
      <c r="B58" s="97" t="s">
        <v>257</v>
      </c>
      <c r="C58" s="71" t="s">
        <v>53</v>
      </c>
      <c r="D58" s="72">
        <v>27</v>
      </c>
      <c r="E58" s="72">
        <v>27</v>
      </c>
      <c r="F58" s="72">
        <v>16</v>
      </c>
      <c r="G58" s="72">
        <v>18</v>
      </c>
      <c r="H58" s="73">
        <v>9</v>
      </c>
      <c r="I58" s="73">
        <v>18</v>
      </c>
      <c r="J58" s="74">
        <v>15</v>
      </c>
      <c r="K58" s="73">
        <v>19</v>
      </c>
      <c r="L58" s="73">
        <v>21</v>
      </c>
      <c r="M58" s="73">
        <v>15</v>
      </c>
      <c r="N58" s="73">
        <v>20</v>
      </c>
      <c r="O58" s="73">
        <v>19</v>
      </c>
      <c r="P58" s="73">
        <v>19.754747000000002</v>
      </c>
      <c r="Q58" s="73">
        <v>22.380863999999999</v>
      </c>
      <c r="R58" s="73">
        <v>22.97439001</v>
      </c>
      <c r="S58" s="73">
        <v>18.809756120000003</v>
      </c>
      <c r="T58" s="73">
        <v>8.395790869999999</v>
      </c>
      <c r="U58" s="73">
        <v>19.134752840000008</v>
      </c>
      <c r="V58" s="73">
        <v>17.729901460000004</v>
      </c>
      <c r="W58" s="73">
        <v>17.183831869999999</v>
      </c>
      <c r="X58" s="162">
        <v>13.734228009999994</v>
      </c>
      <c r="Y58" s="183">
        <v>14.580464199999993</v>
      </c>
      <c r="Z58" s="183">
        <v>15.889734619999993</v>
      </c>
      <c r="AB58" s="183">
        <v>6.7164999999999998E-4</v>
      </c>
      <c r="AC58" s="183">
        <v>13.759969089999995</v>
      </c>
      <c r="AD58" s="183">
        <v>2.6412730000000002E-2</v>
      </c>
      <c r="AE58" s="83">
        <f t="shared" si="14"/>
        <v>13.734228009999994</v>
      </c>
      <c r="AG58" s="183">
        <v>3.6040000000000001E-5</v>
      </c>
      <c r="AH58" s="183">
        <v>14.625523879999994</v>
      </c>
      <c r="AI58" s="183">
        <v>4.5095719999999999E-2</v>
      </c>
      <c r="AJ58" s="83">
        <f t="shared" si="19"/>
        <v>14.580464199999993</v>
      </c>
      <c r="AL58" s="183">
        <v>3.6040000000000001E-5</v>
      </c>
      <c r="AM58" s="183">
        <v>16.104774559999992</v>
      </c>
      <c r="AN58" s="183">
        <v>0.21507598</v>
      </c>
      <c r="AO58" s="83">
        <f t="shared" si="20"/>
        <v>15.889734619999993</v>
      </c>
    </row>
    <row r="59" spans="1:41" ht="18.75" thickTop="1" thickBot="1">
      <c r="A59" s="70" t="s">
        <v>35</v>
      </c>
      <c r="B59" s="97" t="s">
        <v>258</v>
      </c>
      <c r="C59" s="71" t="s">
        <v>53</v>
      </c>
      <c r="D59" s="72">
        <v>0</v>
      </c>
      <c r="E59" s="72">
        <v>3</v>
      </c>
      <c r="F59" s="72">
        <v>1</v>
      </c>
      <c r="G59" s="72">
        <v>1</v>
      </c>
      <c r="H59" s="73">
        <v>4</v>
      </c>
      <c r="I59" s="73">
        <v>9</v>
      </c>
      <c r="J59" s="74">
        <v>14</v>
      </c>
      <c r="K59" s="73">
        <v>9</v>
      </c>
      <c r="L59" s="73">
        <v>7</v>
      </c>
      <c r="M59" s="73">
        <v>12</v>
      </c>
      <c r="N59" s="73">
        <v>14</v>
      </c>
      <c r="O59" s="73">
        <v>21</v>
      </c>
      <c r="P59" s="73">
        <v>19.69939265</v>
      </c>
      <c r="Q59" s="73">
        <v>23.492150999999996</v>
      </c>
      <c r="R59" s="73">
        <v>22.315359199999996</v>
      </c>
      <c r="S59" s="73">
        <v>17.448865710000099</v>
      </c>
      <c r="T59" s="73">
        <v>6.0040254200000049</v>
      </c>
      <c r="U59" s="73">
        <v>14.329618979999989</v>
      </c>
      <c r="V59" s="73">
        <v>16.124848610000001</v>
      </c>
      <c r="W59" s="73">
        <v>13.457104819999994</v>
      </c>
      <c r="X59" s="162">
        <v>5.3714819699999961</v>
      </c>
      <c r="Y59" s="183">
        <v>33.828323830000066</v>
      </c>
      <c r="Z59" s="183">
        <v>14.582534220000001</v>
      </c>
      <c r="AB59" s="183">
        <v>0</v>
      </c>
      <c r="AC59" s="183">
        <v>10.431293289999999</v>
      </c>
      <c r="AD59" s="183">
        <v>5.0598113200000032</v>
      </c>
      <c r="AE59" s="83">
        <f t="shared" si="14"/>
        <v>5.3714819699999961</v>
      </c>
      <c r="AG59" s="183">
        <v>4</v>
      </c>
      <c r="AH59" s="183">
        <v>35.270267550000064</v>
      </c>
      <c r="AI59" s="183">
        <v>5.4419437199999994</v>
      </c>
      <c r="AJ59" s="83">
        <f t="shared" si="19"/>
        <v>33.828323830000066</v>
      </c>
      <c r="AL59" s="183">
        <v>0</v>
      </c>
      <c r="AM59" s="183">
        <v>14.582534220000001</v>
      </c>
      <c r="AN59" s="183">
        <v>0</v>
      </c>
      <c r="AO59" s="83">
        <f t="shared" si="20"/>
        <v>14.582534220000001</v>
      </c>
    </row>
    <row r="60" spans="1:41" ht="18.75" thickTop="1" thickBot="1">
      <c r="A60" s="85">
        <v>10.199999999999999</v>
      </c>
      <c r="B60" s="95" t="s">
        <v>135</v>
      </c>
      <c r="C60" s="86" t="s">
        <v>53</v>
      </c>
      <c r="D60" s="87">
        <v>9</v>
      </c>
      <c r="E60" s="87">
        <v>9</v>
      </c>
      <c r="F60" s="87">
        <v>9</v>
      </c>
      <c r="G60" s="87">
        <v>9</v>
      </c>
      <c r="H60" s="87">
        <v>12</v>
      </c>
      <c r="I60" s="87">
        <v>10</v>
      </c>
      <c r="J60" s="87">
        <v>11</v>
      </c>
      <c r="K60" s="87">
        <v>11</v>
      </c>
      <c r="L60" s="87">
        <v>17</v>
      </c>
      <c r="M60" s="87">
        <v>15</v>
      </c>
      <c r="N60" s="87">
        <v>15</v>
      </c>
      <c r="O60" s="87">
        <v>13</v>
      </c>
      <c r="P60" s="87">
        <v>33.126983249999995</v>
      </c>
      <c r="Q60" s="87">
        <v>30.167373000000001</v>
      </c>
      <c r="R60" s="87">
        <v>21.990152469999998</v>
      </c>
      <c r="S60" s="87">
        <v>19</v>
      </c>
      <c r="T60" s="87">
        <v>0.3289630300000006</v>
      </c>
      <c r="U60" s="87">
        <v>25.135845870000001</v>
      </c>
      <c r="V60" s="87">
        <v>25.566364779999997</v>
      </c>
      <c r="W60" s="87">
        <v>19.628942749999997</v>
      </c>
      <c r="X60" s="176">
        <v>21.243649519999998</v>
      </c>
      <c r="Y60" s="87">
        <v>20.507572419999999</v>
      </c>
      <c r="Z60" s="87">
        <v>21.45857037</v>
      </c>
      <c r="AB60" s="87">
        <v>20</v>
      </c>
      <c r="AC60" s="87">
        <v>1.44772952</v>
      </c>
      <c r="AD60" s="87">
        <v>0.20408000000000001</v>
      </c>
      <c r="AE60" s="83">
        <f t="shared" si="14"/>
        <v>21.243649519999998</v>
      </c>
      <c r="AG60" s="87">
        <v>18.506</v>
      </c>
      <c r="AH60" s="87">
        <v>2.00157242</v>
      </c>
      <c r="AI60" s="87">
        <v>0</v>
      </c>
      <c r="AJ60" s="83">
        <f t="shared" si="19"/>
        <v>20.507572419999999</v>
      </c>
      <c r="AL60" s="87">
        <v>18.387</v>
      </c>
      <c r="AM60" s="87">
        <v>3.0872709399999994</v>
      </c>
      <c r="AN60" s="87">
        <v>1.570057E-2</v>
      </c>
      <c r="AO60" s="83">
        <f t="shared" si="20"/>
        <v>21.45857037</v>
      </c>
    </row>
    <row r="61" spans="1:41" ht="18.75" thickTop="1" thickBot="1">
      <c r="A61" s="85">
        <v>10.3</v>
      </c>
      <c r="B61" s="95" t="s">
        <v>136</v>
      </c>
      <c r="C61" s="86" t="s">
        <v>53</v>
      </c>
      <c r="D61" s="87">
        <v>58</v>
      </c>
      <c r="E61" s="87">
        <v>56</v>
      </c>
      <c r="F61" s="87">
        <v>46</v>
      </c>
      <c r="G61" s="87">
        <v>36</v>
      </c>
      <c r="H61" s="87">
        <v>34</v>
      </c>
      <c r="I61" s="87">
        <v>60</v>
      </c>
      <c r="J61" s="87">
        <v>67</v>
      </c>
      <c r="K61" s="87">
        <v>62</v>
      </c>
      <c r="L61" s="87">
        <v>56</v>
      </c>
      <c r="M61" s="87">
        <v>74</v>
      </c>
      <c r="N61" s="87">
        <v>65</v>
      </c>
      <c r="O61" s="87">
        <v>62</v>
      </c>
      <c r="P61" s="87">
        <v>75.661110600000015</v>
      </c>
      <c r="Q61" s="87">
        <v>70.365900000000011</v>
      </c>
      <c r="R61" s="87">
        <v>60.277757769999994</v>
      </c>
      <c r="S61" s="87">
        <v>72.117669400000011</v>
      </c>
      <c r="T61" s="87">
        <v>20.436114959999998</v>
      </c>
      <c r="U61" s="87">
        <v>62.510622690000005</v>
      </c>
      <c r="V61" s="87">
        <v>59.117901519999997</v>
      </c>
      <c r="W61" s="87">
        <v>59.664583720000003</v>
      </c>
      <c r="X61" s="176">
        <v>54.244765869999988</v>
      </c>
      <c r="Y61" s="87">
        <v>64.465334470000002</v>
      </c>
      <c r="Z61" s="87">
        <v>63.317101810000011</v>
      </c>
      <c r="AB61" s="87">
        <v>29.150510000000001</v>
      </c>
      <c r="AC61" s="87">
        <v>25.374846199999993</v>
      </c>
      <c r="AD61" s="87">
        <v>0.28059033</v>
      </c>
      <c r="AE61" s="83">
        <f t="shared" si="14"/>
        <v>54.244765869999988</v>
      </c>
      <c r="AG61" s="87">
        <v>34</v>
      </c>
      <c r="AH61" s="87">
        <v>30.751711770000004</v>
      </c>
      <c r="AI61" s="87">
        <v>0.2863773</v>
      </c>
      <c r="AJ61" s="83">
        <f t="shared" si="19"/>
        <v>64.465334470000002</v>
      </c>
      <c r="AL61" s="87">
        <v>33.057898000000002</v>
      </c>
      <c r="AM61" s="87">
        <v>30.300007440000005</v>
      </c>
      <c r="AN61" s="87">
        <v>4.080363E-2</v>
      </c>
      <c r="AO61" s="83">
        <f t="shared" si="20"/>
        <v>63.317101810000011</v>
      </c>
    </row>
    <row r="62" spans="1:41" ht="18.75" thickTop="1" thickBot="1">
      <c r="A62" s="70" t="s">
        <v>36</v>
      </c>
      <c r="B62" s="97" t="s">
        <v>308</v>
      </c>
      <c r="C62" s="71" t="s">
        <v>53</v>
      </c>
      <c r="D62" s="72">
        <v>46</v>
      </c>
      <c r="E62" s="72">
        <v>46</v>
      </c>
      <c r="F62" s="72">
        <v>36</v>
      </c>
      <c r="G62" s="72">
        <v>30</v>
      </c>
      <c r="H62" s="73">
        <v>29</v>
      </c>
      <c r="I62" s="73">
        <v>46</v>
      </c>
      <c r="J62" s="72">
        <v>52</v>
      </c>
      <c r="K62" s="73">
        <v>40</v>
      </c>
      <c r="L62" s="73">
        <v>45</v>
      </c>
      <c r="M62" s="73">
        <v>30</v>
      </c>
      <c r="N62" s="73">
        <v>47</v>
      </c>
      <c r="O62" s="73">
        <v>44</v>
      </c>
      <c r="P62" s="73">
        <v>26.784682</v>
      </c>
      <c r="Q62" s="73">
        <v>21.186900000000001</v>
      </c>
      <c r="R62" s="73">
        <v>18.375103649999996</v>
      </c>
      <c r="S62" s="73">
        <v>18.016266949999999</v>
      </c>
      <c r="T62" s="73">
        <v>9.3876222100000017</v>
      </c>
      <c r="U62" s="73">
        <v>25.752259590000005</v>
      </c>
      <c r="V62" s="73">
        <v>23.058312200000003</v>
      </c>
      <c r="W62" s="73">
        <v>24.880944920000005</v>
      </c>
      <c r="X62" s="162">
        <v>21.175024029999999</v>
      </c>
      <c r="Y62" s="183">
        <v>19.406645129999994</v>
      </c>
      <c r="Z62" s="183">
        <v>18.738525619999997</v>
      </c>
      <c r="AB62" s="183">
        <v>6.6429999999999998</v>
      </c>
      <c r="AC62" s="183">
        <v>14.532024030000001</v>
      </c>
      <c r="AD62" s="183">
        <v>0</v>
      </c>
      <c r="AE62" s="83">
        <f t="shared" si="14"/>
        <v>21.175024029999999</v>
      </c>
      <c r="AG62" s="183">
        <v>0</v>
      </c>
      <c r="AH62" s="183">
        <v>19.406645129999994</v>
      </c>
      <c r="AI62" s="183">
        <v>0</v>
      </c>
      <c r="AJ62" s="83">
        <f t="shared" si="19"/>
        <v>19.406645129999994</v>
      </c>
      <c r="AL62" s="183">
        <v>0</v>
      </c>
      <c r="AM62" s="183">
        <v>18.738525619999997</v>
      </c>
      <c r="AN62" s="183">
        <v>0</v>
      </c>
      <c r="AO62" s="83">
        <f t="shared" si="20"/>
        <v>18.738525619999997</v>
      </c>
    </row>
    <row r="63" spans="1:41" ht="18.75" thickTop="1" thickBot="1">
      <c r="A63" s="70" t="s">
        <v>37</v>
      </c>
      <c r="B63" s="97" t="s">
        <v>262</v>
      </c>
      <c r="C63" s="71" t="s">
        <v>53</v>
      </c>
      <c r="D63" s="72">
        <v>0</v>
      </c>
      <c r="E63" s="72">
        <v>0</v>
      </c>
      <c r="F63" s="72">
        <v>0</v>
      </c>
      <c r="G63" s="72">
        <v>0</v>
      </c>
      <c r="H63" s="73">
        <v>0</v>
      </c>
      <c r="I63" s="73">
        <v>7</v>
      </c>
      <c r="J63" s="72">
        <v>8</v>
      </c>
      <c r="K63" s="73">
        <v>5</v>
      </c>
      <c r="L63" s="73">
        <v>0</v>
      </c>
      <c r="M63" s="73">
        <v>11</v>
      </c>
      <c r="N63" s="73">
        <v>10</v>
      </c>
      <c r="O63" s="73">
        <v>10</v>
      </c>
      <c r="P63" s="73">
        <v>40.543379999999999</v>
      </c>
      <c r="Q63" s="73">
        <v>40.869999999999997</v>
      </c>
      <c r="R63" s="73">
        <v>33.091149590000001</v>
      </c>
      <c r="S63" s="73">
        <v>43.635000000000005</v>
      </c>
      <c r="T63" s="73">
        <v>6.6541922400000004</v>
      </c>
      <c r="U63" s="73">
        <v>32.507752250000003</v>
      </c>
      <c r="V63" s="73">
        <v>32.015085109999994</v>
      </c>
      <c r="W63" s="73">
        <v>30.878967330000002</v>
      </c>
      <c r="X63" s="162">
        <v>28.646943759999992</v>
      </c>
      <c r="Y63" s="183">
        <v>39.40094672</v>
      </c>
      <c r="Z63" s="183">
        <v>38.728287410000007</v>
      </c>
      <c r="AB63" s="183">
        <v>22.50751</v>
      </c>
      <c r="AC63" s="183">
        <v>6.2337682899999924</v>
      </c>
      <c r="AD63" s="183">
        <v>9.433453E-2</v>
      </c>
      <c r="AE63" s="83">
        <f t="shared" si="14"/>
        <v>28.646943759999992</v>
      </c>
      <c r="AG63" s="183">
        <v>34</v>
      </c>
      <c r="AH63" s="183">
        <v>5.4009467199999985</v>
      </c>
      <c r="AI63" s="183">
        <v>0</v>
      </c>
      <c r="AJ63" s="83">
        <f t="shared" si="19"/>
        <v>39.40094672</v>
      </c>
      <c r="AL63" s="183">
        <v>33.057898000000002</v>
      </c>
      <c r="AM63" s="183">
        <v>5.6737071400000056</v>
      </c>
      <c r="AN63" s="183">
        <v>3.3177300000000001E-3</v>
      </c>
      <c r="AO63" s="83">
        <f t="shared" si="20"/>
        <v>38.728287410000007</v>
      </c>
    </row>
    <row r="64" spans="1:41" ht="18.75" thickTop="1" thickBot="1">
      <c r="A64" s="70" t="s">
        <v>38</v>
      </c>
      <c r="B64" s="97" t="s">
        <v>318</v>
      </c>
      <c r="C64" s="71" t="s">
        <v>53</v>
      </c>
      <c r="D64" s="72">
        <v>7</v>
      </c>
      <c r="E64" s="72">
        <v>5</v>
      </c>
      <c r="F64" s="72">
        <v>4</v>
      </c>
      <c r="G64" s="72">
        <v>0</v>
      </c>
      <c r="H64" s="73">
        <v>0</v>
      </c>
      <c r="I64" s="73">
        <v>2</v>
      </c>
      <c r="J64" s="72">
        <v>2</v>
      </c>
      <c r="K64" s="73">
        <v>11</v>
      </c>
      <c r="L64" s="73">
        <v>6</v>
      </c>
      <c r="M64" s="73">
        <v>29</v>
      </c>
      <c r="N64" s="73">
        <v>3</v>
      </c>
      <c r="O64" s="73">
        <v>3</v>
      </c>
      <c r="P64" s="73">
        <v>6.0068057599999998</v>
      </c>
      <c r="Q64" s="73">
        <v>5.8920000000000003</v>
      </c>
      <c r="R64" s="73">
        <v>6.6485518499999996</v>
      </c>
      <c r="S64" s="73">
        <v>8.3574024500000004</v>
      </c>
      <c r="T64" s="73">
        <v>4.0148681699999997</v>
      </c>
      <c r="U64" s="73">
        <v>3.8542498199999993</v>
      </c>
      <c r="V64" s="73">
        <v>3.7935188000000024</v>
      </c>
      <c r="W64" s="73">
        <v>3.8370057600000003</v>
      </c>
      <c r="X64" s="162">
        <v>4.3160582500000029</v>
      </c>
      <c r="Y64" s="183">
        <v>5.7136227000000002</v>
      </c>
      <c r="Z64" s="183">
        <v>5.6503181000000033</v>
      </c>
      <c r="AB64" s="183">
        <v>0</v>
      </c>
      <c r="AC64" s="183">
        <v>4.5023140500000025</v>
      </c>
      <c r="AD64" s="183">
        <v>0.1862558</v>
      </c>
      <c r="AE64" s="83">
        <f t="shared" si="14"/>
        <v>4.3160582500000029</v>
      </c>
      <c r="AG64" s="183">
        <v>0</v>
      </c>
      <c r="AH64" s="183">
        <v>6</v>
      </c>
      <c r="AI64" s="183">
        <v>0.2863773</v>
      </c>
      <c r="AJ64" s="83">
        <f t="shared" si="19"/>
        <v>5.7136227000000002</v>
      </c>
      <c r="AL64" s="183">
        <v>0</v>
      </c>
      <c r="AM64" s="183">
        <v>5.6878040000000034</v>
      </c>
      <c r="AN64" s="183">
        <v>3.7485900000000003E-2</v>
      </c>
      <c r="AO64" s="83">
        <f t="shared" si="20"/>
        <v>5.6503181000000033</v>
      </c>
    </row>
    <row r="65" spans="1:41" ht="40.5" customHeight="1" thickTop="1" thickBot="1">
      <c r="A65" s="70" t="s">
        <v>39</v>
      </c>
      <c r="B65" s="98" t="s">
        <v>309</v>
      </c>
      <c r="C65" s="71" t="s">
        <v>53</v>
      </c>
      <c r="D65" s="72">
        <v>5</v>
      </c>
      <c r="E65" s="72">
        <v>5</v>
      </c>
      <c r="F65" s="72">
        <v>5</v>
      </c>
      <c r="G65" s="72">
        <v>5</v>
      </c>
      <c r="H65" s="72">
        <v>5</v>
      </c>
      <c r="I65" s="72">
        <v>5</v>
      </c>
      <c r="J65" s="72">
        <v>5</v>
      </c>
      <c r="K65" s="72">
        <v>6</v>
      </c>
      <c r="L65" s="72">
        <v>5</v>
      </c>
      <c r="M65" s="72">
        <v>4</v>
      </c>
      <c r="N65" s="72">
        <v>5</v>
      </c>
      <c r="O65" s="72">
        <v>5</v>
      </c>
      <c r="P65" s="72">
        <v>2.3262428399999999</v>
      </c>
      <c r="Q65" s="72">
        <v>2.4169999999999998</v>
      </c>
      <c r="R65" s="72">
        <v>2.1629526800000001</v>
      </c>
      <c r="S65" s="72">
        <v>2.109</v>
      </c>
      <c r="T65" s="72">
        <v>0.37943234000000003</v>
      </c>
      <c r="U65" s="72">
        <v>0.39636102999999995</v>
      </c>
      <c r="V65" s="72">
        <v>0.25098541000000002</v>
      </c>
      <c r="W65" s="72">
        <v>0.23466571</v>
      </c>
      <c r="X65" s="192">
        <v>0.10673982999999999</v>
      </c>
      <c r="Y65" s="72">
        <v>0.10673982999999999</v>
      </c>
      <c r="Z65" s="72">
        <v>0.19997067999999998</v>
      </c>
      <c r="AB65" s="183">
        <v>0</v>
      </c>
      <c r="AC65" s="72">
        <v>0.10673982999999999</v>
      </c>
      <c r="AD65" s="159">
        <v>0</v>
      </c>
      <c r="AE65" s="83">
        <f t="shared" si="14"/>
        <v>0.10673982999999999</v>
      </c>
      <c r="AG65" s="183">
        <v>0</v>
      </c>
      <c r="AH65" s="72">
        <v>0.10673982999999999</v>
      </c>
      <c r="AI65" s="159">
        <v>0</v>
      </c>
      <c r="AJ65" s="83">
        <f t="shared" si="19"/>
        <v>0.10673982999999999</v>
      </c>
      <c r="AL65" s="183">
        <v>0</v>
      </c>
      <c r="AM65" s="72">
        <v>0.19997067999999998</v>
      </c>
      <c r="AN65" s="159">
        <v>0</v>
      </c>
      <c r="AO65" s="83">
        <f t="shared" si="20"/>
        <v>0.19997067999999998</v>
      </c>
    </row>
    <row r="66" spans="1:41" ht="41.25" customHeight="1" thickTop="1" thickBot="1">
      <c r="A66" s="85">
        <v>10.4</v>
      </c>
      <c r="B66" s="95" t="s">
        <v>247</v>
      </c>
      <c r="C66" s="86" t="s">
        <v>53</v>
      </c>
      <c r="D66" s="87">
        <v>9</v>
      </c>
      <c r="E66" s="87">
        <v>9</v>
      </c>
      <c r="F66" s="87">
        <v>9</v>
      </c>
      <c r="G66" s="87">
        <v>7</v>
      </c>
      <c r="H66" s="87">
        <v>10</v>
      </c>
      <c r="I66" s="87">
        <v>7</v>
      </c>
      <c r="J66" s="87">
        <v>8</v>
      </c>
      <c r="K66" s="87">
        <v>7</v>
      </c>
      <c r="L66" s="87">
        <v>7</v>
      </c>
      <c r="M66" s="87">
        <v>10</v>
      </c>
      <c r="N66" s="87">
        <v>11</v>
      </c>
      <c r="O66" s="87">
        <v>11</v>
      </c>
      <c r="P66" s="87">
        <v>8.5154408700000008</v>
      </c>
      <c r="Q66" s="87">
        <v>7.9598080000000007</v>
      </c>
      <c r="R66" s="87">
        <v>6.5999962700000001</v>
      </c>
      <c r="S66" s="87">
        <v>6.4530470000000006</v>
      </c>
      <c r="T66" s="87">
        <v>0.52791104999999994</v>
      </c>
      <c r="U66" s="87">
        <v>0.4778070499999999</v>
      </c>
      <c r="V66" s="87">
        <v>0.47389075000000003</v>
      </c>
      <c r="W66" s="87">
        <v>0.40564833999999972</v>
      </c>
      <c r="X66" s="176">
        <v>0.32122379999999984</v>
      </c>
      <c r="Y66" s="87">
        <v>0.32122379999999984</v>
      </c>
      <c r="Z66" s="87">
        <v>0.35371277000000034</v>
      </c>
      <c r="AB66" s="87">
        <v>4.0235100000000001E-3</v>
      </c>
      <c r="AC66" s="87">
        <v>0.32122379999999984</v>
      </c>
      <c r="AD66" s="87">
        <v>4.0235100000000001E-3</v>
      </c>
      <c r="AE66" s="83">
        <f t="shared" si="14"/>
        <v>0.32122379999999984</v>
      </c>
      <c r="AG66" s="87">
        <v>8.5330300000000005E-3</v>
      </c>
      <c r="AH66" s="87">
        <v>0.32122379999999984</v>
      </c>
      <c r="AI66" s="87">
        <v>8.5330300000000005E-3</v>
      </c>
      <c r="AJ66" s="83">
        <f t="shared" si="19"/>
        <v>0.32122379999999984</v>
      </c>
      <c r="AL66" s="87">
        <v>8.0673399999999992E-3</v>
      </c>
      <c r="AM66" s="87">
        <v>0.35371277000000034</v>
      </c>
      <c r="AN66" s="87">
        <v>8.0673399999999992E-3</v>
      </c>
      <c r="AO66" s="83">
        <f t="shared" si="20"/>
        <v>0.35371277000000034</v>
      </c>
    </row>
    <row r="67" spans="1:41" ht="13.5" thickTop="1"/>
    <row r="68" spans="1:41" ht="15.75">
      <c r="B68" s="99" t="s">
        <v>181</v>
      </c>
    </row>
    <row r="69" spans="1:41" ht="15.75">
      <c r="B69" s="99" t="s">
        <v>158</v>
      </c>
    </row>
    <row r="70" spans="1:41" ht="15.75">
      <c r="B70" s="100" t="s">
        <v>159</v>
      </c>
    </row>
    <row r="72" spans="1:41">
      <c r="B72" s="13"/>
    </row>
  </sheetData>
  <mergeCells count="4">
    <mergeCell ref="E9:K9"/>
    <mergeCell ref="AB15:AE15"/>
    <mergeCell ref="AG15:AJ15"/>
    <mergeCell ref="A12:Z12"/>
  </mergeCells>
  <pageMargins left="0.59055118110236227" right="0.19685039370078741" top="0.98425196850393704" bottom="0.39370078740157483" header="0" footer="0"/>
  <pageSetup paperSize="9" scale="6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N63"/>
  <sheetViews>
    <sheetView showGridLines="0" zoomScale="73" zoomScaleNormal="73" workbookViewId="0">
      <pane xSplit="2" topLeftCell="C1" activePane="topRight" state="frozen"/>
      <selection pane="topRight" activeCell="AI21" sqref="AI21"/>
    </sheetView>
  </sheetViews>
  <sheetFormatPr baseColWidth="10" defaultRowHeight="12.75"/>
  <cols>
    <col min="1" max="1" width="16.42578125" customWidth="1"/>
    <col min="2" max="2" width="94.140625" customWidth="1"/>
    <col min="3" max="3" width="13" customWidth="1"/>
    <col min="4" max="9" width="11.42578125" customWidth="1"/>
    <col min="10" max="15" width="11.42578125" style="57" customWidth="1"/>
    <col min="16" max="16" width="12.42578125" bestFit="1" customWidth="1"/>
    <col min="17" max="17" width="13.5703125" bestFit="1" customWidth="1"/>
    <col min="18" max="18" width="13.85546875" bestFit="1" customWidth="1"/>
    <col min="19" max="19" width="10.7109375" bestFit="1" customWidth="1"/>
    <col min="21" max="21" width="18" customWidth="1"/>
    <col min="22" max="22" width="16" customWidth="1"/>
    <col min="23" max="23" width="15.28515625" customWidth="1"/>
    <col min="26" max="26" width="17.28515625" customWidth="1"/>
    <col min="27" max="27" width="21.85546875" customWidth="1"/>
    <col min="28" max="28" width="19" customWidth="1"/>
    <col min="31" max="31" width="17.28515625" customWidth="1"/>
    <col min="32" max="32" width="21.85546875" customWidth="1"/>
    <col min="33" max="33" width="19" customWidth="1"/>
    <col min="37" max="37" width="13" bestFit="1" customWidth="1"/>
    <col min="38" max="38" width="14.28515625" bestFit="1" customWidth="1"/>
    <col min="39" max="39" width="14.42578125" bestFit="1" customWidth="1"/>
  </cols>
  <sheetData>
    <row r="2" spans="1:40">
      <c r="B2" s="4"/>
      <c r="C2" s="10"/>
    </row>
    <row r="3" spans="1:40">
      <c r="B3" s="4"/>
      <c r="C3" s="10"/>
    </row>
    <row r="4" spans="1:40">
      <c r="B4" s="4"/>
      <c r="C4" s="10"/>
    </row>
    <row r="5" spans="1:40">
      <c r="B5" s="4"/>
      <c r="C5" s="10"/>
    </row>
    <row r="6" spans="1:40" ht="36">
      <c r="B6" s="4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</row>
    <row r="7" spans="1:40">
      <c r="B7" s="4"/>
      <c r="C7" s="10"/>
      <c r="P7">
        <v>11842.59420172</v>
      </c>
      <c r="Q7">
        <v>6.1512276000000004</v>
      </c>
      <c r="R7">
        <v>193.56511999999975</v>
      </c>
      <c r="S7">
        <f t="shared" ref="S7" si="0">+P7+Q7-R7</f>
        <v>11655.18030932</v>
      </c>
    </row>
    <row r="8" spans="1:40" ht="23.25">
      <c r="C8" s="10"/>
      <c r="F8" s="220"/>
      <c r="G8" s="220"/>
      <c r="H8" s="220"/>
      <c r="I8" s="220"/>
      <c r="J8" s="220"/>
      <c r="K8" s="220"/>
      <c r="L8" s="220"/>
      <c r="M8" s="220"/>
      <c r="N8" s="220"/>
      <c r="O8" s="220"/>
    </row>
    <row r="9" spans="1:40">
      <c r="B9" s="4"/>
      <c r="C9" s="10"/>
    </row>
    <row r="10" spans="1:40" ht="18">
      <c r="B10" s="4"/>
      <c r="C10" s="10"/>
      <c r="K10" s="63"/>
      <c r="L10" s="63"/>
      <c r="M10" s="63"/>
      <c r="N10" s="63"/>
      <c r="O10" s="63"/>
    </row>
    <row r="11" spans="1:40" ht="23.25">
      <c r="A11" s="222" t="s">
        <v>163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58"/>
      <c r="Q11" s="111">
        <v>2019</v>
      </c>
      <c r="V11" s="111">
        <v>2020</v>
      </c>
      <c r="AA11" s="111">
        <v>2021</v>
      </c>
      <c r="AF11" s="111">
        <v>2022</v>
      </c>
      <c r="AK11" s="224" t="s">
        <v>351</v>
      </c>
      <c r="AL11" s="224"/>
      <c r="AM11" s="224"/>
    </row>
    <row r="12" spans="1:40" ht="18" thickBot="1">
      <c r="A12" s="78" t="s">
        <v>101</v>
      </c>
      <c r="B12" s="78" t="s">
        <v>102</v>
      </c>
      <c r="C12" s="79" t="s">
        <v>103</v>
      </c>
      <c r="D12" s="78">
        <v>2012</v>
      </c>
      <c r="E12" s="78">
        <v>2013</v>
      </c>
      <c r="F12" s="78">
        <v>2014</v>
      </c>
      <c r="G12" s="78">
        <v>2015</v>
      </c>
      <c r="H12" s="78">
        <v>2016</v>
      </c>
      <c r="I12" s="78">
        <v>2017</v>
      </c>
      <c r="J12" s="78">
        <v>2018</v>
      </c>
      <c r="K12" s="78">
        <v>2019</v>
      </c>
      <c r="L12" s="78">
        <v>2020</v>
      </c>
      <c r="M12" s="78">
        <v>2021</v>
      </c>
      <c r="N12" s="78">
        <v>2022</v>
      </c>
      <c r="O12" s="59"/>
      <c r="P12" s="78" t="s">
        <v>90</v>
      </c>
      <c r="Q12" s="78" t="s">
        <v>93</v>
      </c>
      <c r="R12" s="78" t="s">
        <v>91</v>
      </c>
      <c r="S12" s="78" t="s">
        <v>92</v>
      </c>
      <c r="U12" s="78" t="s">
        <v>90</v>
      </c>
      <c r="V12" s="78" t="s">
        <v>93</v>
      </c>
      <c r="W12" s="78" t="s">
        <v>91</v>
      </c>
      <c r="X12" s="78" t="s">
        <v>92</v>
      </c>
      <c r="Z12" s="78" t="s">
        <v>90</v>
      </c>
      <c r="AA12" s="78" t="s">
        <v>93</v>
      </c>
      <c r="AB12" s="78" t="s">
        <v>91</v>
      </c>
      <c r="AC12" s="78" t="s">
        <v>92</v>
      </c>
      <c r="AE12" s="78" t="s">
        <v>90</v>
      </c>
      <c r="AF12" s="78" t="s">
        <v>93</v>
      </c>
      <c r="AG12" s="78" t="s">
        <v>91</v>
      </c>
      <c r="AH12" s="78" t="s">
        <v>92</v>
      </c>
      <c r="AK12" s="211" t="s">
        <v>90</v>
      </c>
      <c r="AL12" s="78" t="s">
        <v>93</v>
      </c>
      <c r="AM12" s="78" t="s">
        <v>91</v>
      </c>
    </row>
    <row r="13" spans="1:40" ht="18.75" thickTop="1" thickBot="1">
      <c r="A13" s="80">
        <v>2</v>
      </c>
      <c r="B13" s="94" t="s">
        <v>228</v>
      </c>
      <c r="C13" s="81" t="s">
        <v>17</v>
      </c>
      <c r="D13" s="82">
        <v>1.8178869</v>
      </c>
      <c r="E13" s="82">
        <v>1.895</v>
      </c>
      <c r="F13" s="82">
        <v>2.1432545099999998</v>
      </c>
      <c r="G13" s="82">
        <v>2.0734497699999999</v>
      </c>
      <c r="H13" s="82">
        <v>3.0190652</v>
      </c>
      <c r="I13" s="82">
        <v>3.02204899</v>
      </c>
      <c r="J13" s="82">
        <v>3.0504179900000001</v>
      </c>
      <c r="K13" s="82">
        <v>3.55</v>
      </c>
      <c r="L13" s="82">
        <v>3.4796927500000003</v>
      </c>
      <c r="M13" s="82">
        <v>3.8313125799999996</v>
      </c>
      <c r="N13" s="82">
        <v>4.4944379800000007</v>
      </c>
      <c r="O13" s="64"/>
      <c r="P13" s="83">
        <v>0</v>
      </c>
      <c r="Q13" s="82">
        <v>3.55</v>
      </c>
      <c r="R13" s="82">
        <v>0</v>
      </c>
      <c r="S13" s="83">
        <f t="shared" ref="S13:S59" si="1">+P13+Q13-R13</f>
        <v>3.55</v>
      </c>
      <c r="U13" s="83">
        <v>0</v>
      </c>
      <c r="V13" s="82">
        <v>3.4796927500000003</v>
      </c>
      <c r="W13" s="82">
        <v>0</v>
      </c>
      <c r="X13" s="83">
        <f t="shared" ref="X13:X59" si="2">+U13+V13-W13</f>
        <v>3.4796927500000003</v>
      </c>
      <c r="Z13" s="83">
        <v>0</v>
      </c>
      <c r="AA13" s="82">
        <v>3.8313125799999996</v>
      </c>
      <c r="AB13" s="82">
        <v>0</v>
      </c>
      <c r="AC13" s="83">
        <f t="shared" ref="AC13:AC17" si="3">+Z13+AA13-AB13</f>
        <v>3.8313125799999996</v>
      </c>
      <c r="AE13" s="83">
        <v>0</v>
      </c>
      <c r="AF13" s="82">
        <v>4.4944379800000007</v>
      </c>
      <c r="AG13" s="82">
        <v>0</v>
      </c>
      <c r="AH13" s="83">
        <f>+AE13+AF13-AG13</f>
        <v>4.4944379800000007</v>
      </c>
      <c r="AJ13" s="13" t="s">
        <v>348</v>
      </c>
      <c r="AK13" s="212">
        <v>100.29600000000001</v>
      </c>
      <c r="AL13" s="212">
        <v>8.5734644714285739</v>
      </c>
      <c r="AM13" s="212">
        <v>60.177599999999998</v>
      </c>
      <c r="AN13" s="83">
        <f>+AK13+AL13-AM13</f>
        <v>48.691864471428588</v>
      </c>
    </row>
    <row r="14" spans="1:40" ht="18.75" thickTop="1" thickBot="1">
      <c r="A14" s="80" t="s">
        <v>96</v>
      </c>
      <c r="B14" s="94" t="s">
        <v>229</v>
      </c>
      <c r="C14" s="81" t="s">
        <v>41</v>
      </c>
      <c r="D14" s="82">
        <f>SUM(D15:D16)</f>
        <v>66.496858999999958</v>
      </c>
      <c r="E14" s="82">
        <f>SUM(E15:E16)</f>
        <v>14.7</v>
      </c>
      <c r="F14" s="82">
        <f>SUM(F15:F16)</f>
        <v>439.51576844444429</v>
      </c>
      <c r="G14" s="82">
        <f>SUM(G15:G16)</f>
        <v>190.62061441037034</v>
      </c>
      <c r="H14" s="82">
        <v>3.1175422799999524</v>
      </c>
      <c r="I14" s="82">
        <v>-0.21725752296299561</v>
      </c>
      <c r="J14" s="82">
        <v>0.38317337481475988</v>
      </c>
      <c r="K14" s="82">
        <f>SUM(K15:K16)</f>
        <v>0.51345076000007861</v>
      </c>
      <c r="L14" s="82">
        <v>7.774613333333491E-2</v>
      </c>
      <c r="M14" s="82">
        <v>0.17899239250004939</v>
      </c>
      <c r="N14" s="82">
        <v>-1.3257079260256432E-2</v>
      </c>
      <c r="O14" s="64"/>
      <c r="P14" s="83">
        <v>1261</v>
      </c>
      <c r="Q14" s="82">
        <f>SUM(Q15:Q16)</f>
        <v>0.11844542666666669</v>
      </c>
      <c r="R14" s="82">
        <f>SUM(R15:R16)</f>
        <v>1260.2137333333333</v>
      </c>
      <c r="S14" s="83">
        <f t="shared" si="1"/>
        <v>0.90471209333350089</v>
      </c>
      <c r="U14" s="83">
        <f>SUM(U15:U16)</f>
        <v>245.00072524444445</v>
      </c>
      <c r="V14" s="83">
        <f t="shared" ref="V14:W14" si="4">SUM(V15:V16)</f>
        <v>7.7746133333333328E-2</v>
      </c>
      <c r="W14" s="83">
        <f t="shared" si="4"/>
        <v>245.00072524444445</v>
      </c>
      <c r="X14" s="83">
        <f t="shared" si="2"/>
        <v>7.774613333333491E-2</v>
      </c>
      <c r="Z14" s="83">
        <v>1039.2880233185185</v>
      </c>
      <c r="AA14" s="83">
        <v>0.17899239249999999</v>
      </c>
      <c r="AB14" s="83">
        <v>1039.2880233185185</v>
      </c>
      <c r="AC14" s="83">
        <f t="shared" si="3"/>
        <v>0.17899239250004939</v>
      </c>
      <c r="AE14" s="83">
        <v>1332.163296172768</v>
      </c>
      <c r="AF14" s="83">
        <v>0.15628943925925926</v>
      </c>
      <c r="AG14" s="83">
        <v>1332.163296172768</v>
      </c>
      <c r="AH14" s="83">
        <f t="shared" ref="AH14:AH17" si="5">+AE14+AF14-AG14</f>
        <v>0.15628943925935346</v>
      </c>
      <c r="AJ14" s="13" t="s">
        <v>349</v>
      </c>
      <c r="AK14" s="212">
        <v>33.411000000000001</v>
      </c>
      <c r="AL14" s="212">
        <v>4.96630067142857</v>
      </c>
      <c r="AM14" s="212">
        <v>20.046600000000002</v>
      </c>
      <c r="AN14" s="83">
        <f t="shared" ref="AN14:AN15" si="6">+AK14+AL14-AM14</f>
        <v>18.33070067142857</v>
      </c>
    </row>
    <row r="15" spans="1:40" ht="18.75" thickTop="1" thickBot="1">
      <c r="A15" s="85" t="s">
        <v>97</v>
      </c>
      <c r="B15" s="95" t="s">
        <v>230</v>
      </c>
      <c r="C15" s="86" t="s">
        <v>41</v>
      </c>
      <c r="D15" s="87">
        <v>64.506858999999963</v>
      </c>
      <c r="E15" s="87">
        <v>14.5</v>
      </c>
      <c r="F15" s="87">
        <v>42.556863599999815</v>
      </c>
      <c r="G15" s="87">
        <v>10.58095390666665</v>
      </c>
      <c r="H15" s="87">
        <v>3.082312839999986</v>
      </c>
      <c r="I15" s="87">
        <v>-0.25034789333335539</v>
      </c>
      <c r="J15" s="87">
        <v>0.12663109333334432</v>
      </c>
      <c r="K15" s="87">
        <v>0.49345409333341195</v>
      </c>
      <c r="L15" s="87">
        <v>5.3688266666654272E-2</v>
      </c>
      <c r="M15" s="87">
        <v>6.2142562499957421E-2</v>
      </c>
      <c r="N15" s="87">
        <v>6.2245309258059933E-2</v>
      </c>
      <c r="O15" s="64"/>
      <c r="P15" s="87">
        <v>1259.3950086666669</v>
      </c>
      <c r="Q15" s="87">
        <v>9.8445426666666683E-2</v>
      </c>
      <c r="R15" s="87">
        <v>1259</v>
      </c>
      <c r="S15" s="83">
        <f t="shared" si="1"/>
        <v>0.49345409333341195</v>
      </c>
      <c r="U15" s="87">
        <v>245</v>
      </c>
      <c r="V15" s="87">
        <v>5.3688266666666665E-2</v>
      </c>
      <c r="W15" s="87">
        <v>245</v>
      </c>
      <c r="X15" s="83">
        <f t="shared" si="2"/>
        <v>5.3688266666654272E-2</v>
      </c>
      <c r="Z15" s="87">
        <v>1039.1184768000001</v>
      </c>
      <c r="AA15" s="87">
        <v>6.2142562499999998E-2</v>
      </c>
      <c r="AB15" s="87">
        <v>1039.1184768000001</v>
      </c>
      <c r="AC15" s="83">
        <f t="shared" si="3"/>
        <v>6.2142562499957421E-2</v>
      </c>
      <c r="AE15" s="87">
        <v>1332.163296172768</v>
      </c>
      <c r="AF15" s="87">
        <v>6.2245309259259252E-2</v>
      </c>
      <c r="AG15" s="87">
        <v>1332.163296172768</v>
      </c>
      <c r="AH15" s="83">
        <f t="shared" si="5"/>
        <v>6.2245309259196802E-2</v>
      </c>
      <c r="AJ15" s="13" t="s">
        <v>350</v>
      </c>
      <c r="AK15" s="213">
        <v>140.88499999999999</v>
      </c>
      <c r="AL15" s="212">
        <v>1.83262321428571</v>
      </c>
      <c r="AM15" s="212">
        <v>114.11685</v>
      </c>
      <c r="AN15" s="83">
        <f t="shared" si="6"/>
        <v>28.600773214285709</v>
      </c>
    </row>
    <row r="16" spans="1:40" ht="18.75" thickTop="1" thickBot="1">
      <c r="A16" s="85" t="s">
        <v>98</v>
      </c>
      <c r="B16" s="95" t="s">
        <v>265</v>
      </c>
      <c r="C16" s="86" t="s">
        <v>41</v>
      </c>
      <c r="D16" s="87">
        <v>1.9900000000000002</v>
      </c>
      <c r="E16" s="87">
        <v>0.2</v>
      </c>
      <c r="F16" s="87">
        <v>396.95890484444448</v>
      </c>
      <c r="G16" s="87">
        <v>180.03966050370369</v>
      </c>
      <c r="H16" s="87">
        <v>3.5229440000000001E-2</v>
      </c>
      <c r="I16" s="87">
        <v>3.3090370370370374E-2</v>
      </c>
      <c r="J16" s="87">
        <v>0.25654228148148128</v>
      </c>
      <c r="K16" s="87">
        <v>1.9996666666666663E-2</v>
      </c>
      <c r="L16" s="87">
        <v>2.405786666666667E-2</v>
      </c>
      <c r="M16" s="87">
        <v>0.11684982999999999</v>
      </c>
      <c r="N16" s="87">
        <v>-7.5502388518518482E-2</v>
      </c>
      <c r="O16" s="65"/>
      <c r="P16" s="87">
        <v>1.21373</v>
      </c>
      <c r="Q16" s="87">
        <v>0.02</v>
      </c>
      <c r="R16" s="87">
        <v>1.2137333333333333</v>
      </c>
      <c r="S16" s="83">
        <f t="shared" si="1"/>
        <v>1.9996666666666663E-2</v>
      </c>
      <c r="U16" s="87">
        <v>7.2524444444444435E-4</v>
      </c>
      <c r="V16" s="87">
        <v>2.405786666666667E-2</v>
      </c>
      <c r="W16" s="87">
        <v>7.2524444444444435E-4</v>
      </c>
      <c r="X16" s="83">
        <f t="shared" si="2"/>
        <v>2.405786666666667E-2</v>
      </c>
      <c r="Z16" s="87">
        <v>0.16954651851851849</v>
      </c>
      <c r="AA16" s="87">
        <v>0.11684983</v>
      </c>
      <c r="AB16" s="87">
        <v>0.16954651851851849</v>
      </c>
      <c r="AC16" s="83">
        <f t="shared" si="3"/>
        <v>0.11684982999999999</v>
      </c>
      <c r="AE16" s="87">
        <v>0</v>
      </c>
      <c r="AF16" s="87">
        <v>9.4044130000000004E-2</v>
      </c>
      <c r="AG16" s="87">
        <v>0.16954651851851849</v>
      </c>
      <c r="AH16" s="83">
        <f t="shared" si="5"/>
        <v>-7.5502388518518482E-2</v>
      </c>
      <c r="AK16" s="204"/>
    </row>
    <row r="17" spans="1:39" ht="18.75" thickTop="1" thickBot="1">
      <c r="A17" s="80" t="s">
        <v>99</v>
      </c>
      <c r="B17" s="94" t="s">
        <v>288</v>
      </c>
      <c r="C17" s="81" t="s">
        <v>17</v>
      </c>
      <c r="D17" s="82">
        <v>0</v>
      </c>
      <c r="E17" s="82">
        <v>0</v>
      </c>
      <c r="F17" s="82">
        <v>0</v>
      </c>
      <c r="G17" s="82">
        <v>0</v>
      </c>
      <c r="H17" s="82">
        <v>0.56886599999999998</v>
      </c>
      <c r="I17" s="82">
        <v>1.5095279900000003</v>
      </c>
      <c r="J17" s="82">
        <v>3.0403473600000002</v>
      </c>
      <c r="K17" s="82">
        <v>2.8031476899999999</v>
      </c>
      <c r="L17" s="82">
        <v>4.269861563703703</v>
      </c>
      <c r="M17" s="82">
        <v>6.3825002200000007</v>
      </c>
      <c r="N17" s="82">
        <v>6.1808050899999998</v>
      </c>
      <c r="O17" s="65"/>
      <c r="P17" s="83">
        <v>0</v>
      </c>
      <c r="Q17" s="82">
        <v>2.8031476899999999</v>
      </c>
      <c r="R17" s="82">
        <v>0</v>
      </c>
      <c r="S17" s="83">
        <f t="shared" si="1"/>
        <v>2.8031476899999999</v>
      </c>
      <c r="U17" s="83">
        <v>0</v>
      </c>
      <c r="V17" s="82">
        <v>4.269861563703703</v>
      </c>
      <c r="W17" s="82">
        <v>0</v>
      </c>
      <c r="X17" s="83">
        <f t="shared" si="2"/>
        <v>4.269861563703703</v>
      </c>
      <c r="Z17" s="83">
        <v>0</v>
      </c>
      <c r="AA17" s="82">
        <v>6.3825002200000007</v>
      </c>
      <c r="AB17" s="82">
        <v>0</v>
      </c>
      <c r="AC17" s="83">
        <f t="shared" si="3"/>
        <v>6.3825002200000007</v>
      </c>
      <c r="AE17" s="83">
        <v>0</v>
      </c>
      <c r="AF17" s="82">
        <v>6.1808050899999998</v>
      </c>
      <c r="AG17" s="82">
        <v>0</v>
      </c>
      <c r="AH17" s="83">
        <f t="shared" si="5"/>
        <v>6.1808050899999998</v>
      </c>
      <c r="AK17" s="205"/>
      <c r="AM17" s="212"/>
    </row>
    <row r="18" spans="1:39" ht="18.75" thickTop="1" thickBot="1">
      <c r="A18" s="80">
        <v>5</v>
      </c>
      <c r="B18" s="94" t="s">
        <v>117</v>
      </c>
      <c r="C18" s="81" t="s">
        <v>41</v>
      </c>
      <c r="D18" s="82">
        <v>279.00969700000007</v>
      </c>
      <c r="E18" s="82">
        <v>255.92488399999996</v>
      </c>
      <c r="F18" s="82">
        <v>310.65099281818186</v>
      </c>
      <c r="G18" s="82">
        <v>304.19956595621341</v>
      </c>
      <c r="H18" s="82">
        <v>239.82324294418035</v>
      </c>
      <c r="I18" s="82">
        <v>261.84266760389619</v>
      </c>
      <c r="J18" s="82">
        <v>210.0856293363637</v>
      </c>
      <c r="K18" s="82">
        <v>197.71876996493512</v>
      </c>
      <c r="L18" s="82">
        <v>125.53813033272741</v>
      </c>
      <c r="M18" s="82">
        <v>142.82979408954543</v>
      </c>
      <c r="N18" s="82">
        <v>166.31209762363653</v>
      </c>
      <c r="O18" s="46"/>
      <c r="P18" s="83">
        <f>P19+P20</f>
        <v>527.904</v>
      </c>
      <c r="Q18" s="82">
        <f t="shared" ref="Q18" si="7">SUM(Q19:Q20)</f>
        <v>8.1166100922077931</v>
      </c>
      <c r="R18" s="82">
        <f>SUM(R19:R20)</f>
        <v>338.30184012727267</v>
      </c>
      <c r="S18" s="83">
        <f t="shared" si="1"/>
        <v>197.71876996493512</v>
      </c>
      <c r="U18" s="83">
        <v>580.18304086000012</v>
      </c>
      <c r="V18" s="82">
        <v>14.355089472727254</v>
      </c>
      <c r="W18" s="82">
        <f>+SUM(W19:W21)</f>
        <v>469</v>
      </c>
      <c r="X18" s="83">
        <f>+U18+V18-W18</f>
        <v>125.53813033272741</v>
      </c>
      <c r="Z18" s="83">
        <v>684.80504085999996</v>
      </c>
      <c r="AA18" s="82">
        <v>15.271299999999997</v>
      </c>
      <c r="AB18" s="82">
        <v>557.24654677045453</v>
      </c>
      <c r="AC18" s="83">
        <f>+Z18+AA18-AB18</f>
        <v>142.82979408954543</v>
      </c>
      <c r="AE18" s="83">
        <v>755.80091086000004</v>
      </c>
      <c r="AF18" s="82">
        <v>18.731056872727269</v>
      </c>
      <c r="AG18" s="82">
        <v>608.21987010909083</v>
      </c>
      <c r="AH18" s="83">
        <f>+AE18+AF18-AG18</f>
        <v>166.31209762363653</v>
      </c>
      <c r="AK18" s="205"/>
      <c r="AM18" s="212"/>
    </row>
    <row r="19" spans="1:39" ht="18.75" thickTop="1" thickBot="1">
      <c r="A19" s="70" t="s">
        <v>18</v>
      </c>
      <c r="B19" s="96" t="s">
        <v>125</v>
      </c>
      <c r="C19" s="71" t="s">
        <v>41</v>
      </c>
      <c r="D19" s="72">
        <v>91.626727000000002</v>
      </c>
      <c r="E19" s="72">
        <v>84.77</v>
      </c>
      <c r="F19" s="72">
        <v>119.18744281818181</v>
      </c>
      <c r="G19" s="72">
        <v>136.38794299553982</v>
      </c>
      <c r="H19" s="73">
        <v>128.77544278676794</v>
      </c>
      <c r="I19" s="73">
        <v>160.08847303636369</v>
      </c>
      <c r="J19" s="73">
        <v>125.42424892727274</v>
      </c>
      <c r="K19" s="183">
        <v>124.02923832727279</v>
      </c>
      <c r="L19" s="183">
        <v>46.967320454545472</v>
      </c>
      <c r="M19" s="183">
        <v>47.333736502272757</v>
      </c>
      <c r="N19" s="183">
        <v>59.597192418181919</v>
      </c>
      <c r="O19" s="60"/>
      <c r="P19" s="73">
        <v>319.85000000000002</v>
      </c>
      <c r="Q19" s="73">
        <v>1.8214043636363635</v>
      </c>
      <c r="R19" s="73">
        <v>197.64216603636359</v>
      </c>
      <c r="S19" s="83">
        <f t="shared" si="1"/>
        <v>124.02923832727279</v>
      </c>
      <c r="U19" s="73">
        <v>377.54</v>
      </c>
      <c r="V19" s="73">
        <v>2.4273204545454545</v>
      </c>
      <c r="W19" s="73">
        <v>333</v>
      </c>
      <c r="X19" s="83">
        <f t="shared" si="2"/>
        <v>46.967320454545472</v>
      </c>
      <c r="Z19" s="183">
        <v>422.79300000000001</v>
      </c>
      <c r="AA19" s="183">
        <v>2.6773693272727268</v>
      </c>
      <c r="AB19" s="183">
        <v>378.13663282499999</v>
      </c>
      <c r="AC19" s="83">
        <f t="shared" ref="AC19:AC59" si="8">+Z19+AA19-AB19</f>
        <v>47.333736502272757</v>
      </c>
      <c r="AE19" s="183">
        <v>481.23187000000001</v>
      </c>
      <c r="AF19" s="183">
        <v>3.246345618181818</v>
      </c>
      <c r="AG19" s="183">
        <v>424.8810231999999</v>
      </c>
      <c r="AH19" s="83">
        <f t="shared" ref="AH19:AH59" si="9">+AE19+AF19-AG19</f>
        <v>59.597192418181919</v>
      </c>
      <c r="AM19" s="212"/>
    </row>
    <row r="20" spans="1:39" ht="18.75" thickTop="1" thickBot="1">
      <c r="A20" s="70" t="s">
        <v>19</v>
      </c>
      <c r="B20" s="96" t="s">
        <v>126</v>
      </c>
      <c r="C20" s="71" t="s">
        <v>41</v>
      </c>
      <c r="D20" s="72">
        <v>187.38297000000006</v>
      </c>
      <c r="E20" s="72">
        <v>171.15488399999998</v>
      </c>
      <c r="F20" s="72">
        <v>191.46355</v>
      </c>
      <c r="G20" s="72">
        <v>167.81162296067362</v>
      </c>
      <c r="H20" s="73">
        <v>111.0478001574124</v>
      </c>
      <c r="I20" s="73">
        <v>101.75419456753247</v>
      </c>
      <c r="J20" s="73">
        <v>84.661380409090953</v>
      </c>
      <c r="K20" s="183">
        <v>73.689531637662355</v>
      </c>
      <c r="L20" s="183">
        <v>78.570809878181819</v>
      </c>
      <c r="M20" s="183">
        <v>95.496057587272759</v>
      </c>
      <c r="N20" s="183">
        <v>106.71490520545458</v>
      </c>
      <c r="O20" s="60"/>
      <c r="P20" s="73">
        <v>208.054</v>
      </c>
      <c r="Q20" s="73">
        <v>6.29520572857143</v>
      </c>
      <c r="R20" s="73">
        <v>140.65967409090908</v>
      </c>
      <c r="S20" s="83">
        <f t="shared" si="1"/>
        <v>73.689531637662355</v>
      </c>
      <c r="U20" s="73">
        <v>202.64304086000001</v>
      </c>
      <c r="V20" s="73">
        <v>11.927769018181801</v>
      </c>
      <c r="W20" s="73">
        <v>136</v>
      </c>
      <c r="X20" s="83">
        <f t="shared" si="2"/>
        <v>78.570809878181819</v>
      </c>
      <c r="Z20" s="183">
        <v>262.01204086000001</v>
      </c>
      <c r="AA20" s="183">
        <v>12.59393067272727</v>
      </c>
      <c r="AB20" s="183">
        <v>179.10991394545451</v>
      </c>
      <c r="AC20" s="83">
        <f t="shared" si="8"/>
        <v>95.496057587272759</v>
      </c>
      <c r="AE20" s="183">
        <v>274.56904086000003</v>
      </c>
      <c r="AF20" s="183">
        <v>15.48471125454545</v>
      </c>
      <c r="AG20" s="183">
        <v>183.3388469090909</v>
      </c>
      <c r="AH20" s="83">
        <f t="shared" si="9"/>
        <v>106.71490520545458</v>
      </c>
    </row>
    <row r="21" spans="1:39" ht="18.75" thickTop="1" thickBot="1">
      <c r="A21" s="70" t="s">
        <v>161</v>
      </c>
      <c r="B21" s="96" t="s">
        <v>155</v>
      </c>
      <c r="C21" s="71" t="s">
        <v>41</v>
      </c>
      <c r="D21" s="72">
        <v>5.7076000000000002</v>
      </c>
      <c r="E21" s="72">
        <v>4.8877971000000002</v>
      </c>
      <c r="F21" s="72">
        <v>7.5290999999999872</v>
      </c>
      <c r="G21" s="72">
        <v>7.7427839428571446</v>
      </c>
      <c r="H21" s="73">
        <v>2.5626611142857141</v>
      </c>
      <c r="I21" s="73">
        <v>6.7767949857142833</v>
      </c>
      <c r="J21" s="73">
        <v>6.9789379000000027</v>
      </c>
      <c r="K21" s="183">
        <v>5.7477235285714299</v>
      </c>
      <c r="L21" s="183">
        <v>11.607652709090916</v>
      </c>
      <c r="M21" s="183">
        <v>12.257899327272726</v>
      </c>
      <c r="N21" s="183">
        <v>6.3306458545454527</v>
      </c>
      <c r="O21" s="60"/>
      <c r="P21" s="160">
        <v>0</v>
      </c>
      <c r="Q21" s="73">
        <v>5.7477235285714299</v>
      </c>
      <c r="R21">
        <v>0</v>
      </c>
      <c r="S21" s="83">
        <f t="shared" si="1"/>
        <v>5.7477235285714299</v>
      </c>
      <c r="U21" s="160">
        <v>0</v>
      </c>
      <c r="V21" s="73">
        <v>11.607652709090916</v>
      </c>
      <c r="W21" s="73">
        <v>0</v>
      </c>
      <c r="X21" s="83">
        <f t="shared" si="2"/>
        <v>11.607652709090916</v>
      </c>
      <c r="Z21" s="160">
        <v>0</v>
      </c>
      <c r="AA21" s="183">
        <v>12.257899327272726</v>
      </c>
      <c r="AB21" s="183">
        <v>0</v>
      </c>
      <c r="AC21" s="83">
        <f t="shared" si="8"/>
        <v>12.257899327272726</v>
      </c>
      <c r="AE21" s="160">
        <v>0</v>
      </c>
      <c r="AF21" s="183">
        <v>6.3306458545454527</v>
      </c>
      <c r="AG21" s="183">
        <v>0</v>
      </c>
      <c r="AH21" s="83">
        <f t="shared" si="9"/>
        <v>6.3306458545454527</v>
      </c>
    </row>
    <row r="22" spans="1:39" ht="18.75" thickTop="1" thickBot="1">
      <c r="A22" s="80">
        <v>6</v>
      </c>
      <c r="B22" s="94" t="s">
        <v>281</v>
      </c>
      <c r="C22" s="81" t="s">
        <v>41</v>
      </c>
      <c r="D22" s="82">
        <v>107.63803148400001</v>
      </c>
      <c r="E22" s="82">
        <v>60.020122080000021</v>
      </c>
      <c r="F22" s="82">
        <v>111.21720091648817</v>
      </c>
      <c r="G22" s="82">
        <v>107.8486859674569</v>
      </c>
      <c r="H22" s="82">
        <v>97.714117787080482</v>
      </c>
      <c r="I22" s="82">
        <v>61.771124800607282</v>
      </c>
      <c r="J22" s="82">
        <v>110.40007857538774</v>
      </c>
      <c r="K22" s="82">
        <v>43.822339380138828</v>
      </c>
      <c r="L22" s="82">
        <v>76.642372968749299</v>
      </c>
      <c r="M22" s="82">
        <v>135.27980527142864</v>
      </c>
      <c r="N22" s="82">
        <f>N23+N27+N28+N30</f>
        <v>150.31199145035055</v>
      </c>
      <c r="O22" s="46"/>
      <c r="P22" s="161">
        <f>P27</f>
        <v>238</v>
      </c>
      <c r="Q22" s="82">
        <f>+Q23+Q27+Q28+Q30</f>
        <v>44.21433938013881</v>
      </c>
      <c r="R22" s="82">
        <f>+R23+R27+R28+R30</f>
        <v>215</v>
      </c>
      <c r="S22" s="83">
        <f t="shared" si="1"/>
        <v>67.214339380138824</v>
      </c>
      <c r="U22" s="161">
        <v>242.99299999999999</v>
      </c>
      <c r="V22" s="82">
        <v>49.248479622082655</v>
      </c>
      <c r="W22" s="82">
        <v>215.59910665333334</v>
      </c>
      <c r="X22" s="83">
        <f t="shared" si="2"/>
        <v>76.642372968749299</v>
      </c>
      <c r="Z22" s="161">
        <v>246.78820000000002</v>
      </c>
      <c r="AA22" s="82">
        <v>71.873805271428623</v>
      </c>
      <c r="AB22" s="82">
        <v>183.38220000000001</v>
      </c>
      <c r="AC22" s="83">
        <f t="shared" si="8"/>
        <v>135.27980527142864</v>
      </c>
      <c r="AE22" s="161">
        <f>AE27+AE23</f>
        <v>283.68700000000001</v>
      </c>
      <c r="AF22" s="161">
        <f t="shared" ref="AF22:AG22" si="10">AF27+AF23</f>
        <v>12.054150109090909</v>
      </c>
      <c r="AG22" s="161">
        <f t="shared" si="10"/>
        <v>201.1097908769222</v>
      </c>
      <c r="AH22" s="83">
        <f>+AE22+AF22-AG22</f>
        <v>94.631359232168734</v>
      </c>
    </row>
    <row r="23" spans="1:39" ht="18.75" thickTop="1" thickBot="1">
      <c r="A23" s="85">
        <v>6.1</v>
      </c>
      <c r="B23" s="95" t="s">
        <v>217</v>
      </c>
      <c r="C23" s="86" t="s">
        <v>41</v>
      </c>
      <c r="D23" s="87">
        <v>3.7287873999999999E-2</v>
      </c>
      <c r="E23" s="87">
        <v>1.0697600000000002E-2</v>
      </c>
      <c r="F23" s="87">
        <v>-0.10630831999999994</v>
      </c>
      <c r="G23" s="87">
        <v>1.5314238974358975E-2</v>
      </c>
      <c r="H23" s="87">
        <v>2.8815082051282057E-2</v>
      </c>
      <c r="I23" s="87">
        <v>2.9609555897435896E-2</v>
      </c>
      <c r="J23" s="87">
        <v>4.5490367179487172E-2</v>
      </c>
      <c r="K23" s="87">
        <v>9.9134092307692281E-3</v>
      </c>
      <c r="L23" s="87">
        <v>-2.310939282051282E-2</v>
      </c>
      <c r="M23" s="87">
        <v>1.1949654545454547E-2</v>
      </c>
      <c r="N23" s="87">
        <v>2.1292301090909067</v>
      </c>
      <c r="O23" s="60"/>
      <c r="P23" s="87">
        <v>0</v>
      </c>
      <c r="Q23" s="87">
        <f t="shared" ref="Q23" si="11">SUM(Q24:Q25)</f>
        <v>9.9134092307692281E-3</v>
      </c>
      <c r="R23" s="87">
        <f>SUM(R25:R25)</f>
        <v>0</v>
      </c>
      <c r="S23" s="83">
        <f t="shared" si="1"/>
        <v>9.9134092307692281E-3</v>
      </c>
      <c r="U23" s="87">
        <v>0</v>
      </c>
      <c r="V23" s="87">
        <v>1.9997260512820515E-2</v>
      </c>
      <c r="W23" s="87">
        <v>4.3106653333333335E-2</v>
      </c>
      <c r="X23" s="83">
        <f t="shared" si="2"/>
        <v>-2.310939282051282E-2</v>
      </c>
      <c r="Z23" s="87">
        <v>0.29620000000000002</v>
      </c>
      <c r="AA23" s="87">
        <v>1.1949654545454545E-2</v>
      </c>
      <c r="AB23" s="87">
        <v>0.29620000000000002</v>
      </c>
      <c r="AC23" s="83">
        <f t="shared" si="8"/>
        <v>1.1949654545454547E-2</v>
      </c>
      <c r="AE23" s="87">
        <v>8.6869999999999994</v>
      </c>
      <c r="AF23" s="87">
        <v>5.4150109090909136E-2</v>
      </c>
      <c r="AG23" s="87">
        <v>6.6119200000000014</v>
      </c>
      <c r="AH23" s="83">
        <f t="shared" si="9"/>
        <v>2.1292301090909067</v>
      </c>
    </row>
    <row r="24" spans="1:39" ht="18.75" thickTop="1" thickBot="1">
      <c r="A24" s="70" t="s">
        <v>20</v>
      </c>
      <c r="B24" s="96" t="s">
        <v>125</v>
      </c>
      <c r="C24" s="71" t="s">
        <v>41</v>
      </c>
      <c r="D24" s="72">
        <v>1.6217400000000001E-4</v>
      </c>
      <c r="E24" s="72">
        <v>3.457E-3</v>
      </c>
      <c r="F24" s="72">
        <v>-2.2154000000000002E-3</v>
      </c>
      <c r="G24" s="72">
        <v>7.2009230769230759E-4</v>
      </c>
      <c r="H24" s="73">
        <v>1.1858153846153847E-3</v>
      </c>
      <c r="I24" s="73">
        <v>2.8933692307692308E-3</v>
      </c>
      <c r="J24" s="73">
        <v>4.0935384615384615E-4</v>
      </c>
      <c r="K24" s="183">
        <v>9.9369230769230782E-5</v>
      </c>
      <c r="L24" s="183">
        <v>6.3675384615384609E-4</v>
      </c>
      <c r="M24" s="183">
        <v>3.2290909090909088E-4</v>
      </c>
      <c r="N24" s="183">
        <v>1.4614545454545453E-4</v>
      </c>
      <c r="O24" s="60"/>
      <c r="P24" s="73">
        <v>0</v>
      </c>
      <c r="Q24" s="73">
        <v>9.9369230769230782E-5</v>
      </c>
      <c r="R24" s="73">
        <v>0</v>
      </c>
      <c r="S24" s="83">
        <f t="shared" si="1"/>
        <v>9.9369230769230782E-5</v>
      </c>
      <c r="U24" s="73">
        <v>0</v>
      </c>
      <c r="V24" s="73">
        <v>6.3675384615384609E-4</v>
      </c>
      <c r="W24" s="73">
        <v>0</v>
      </c>
      <c r="X24" s="83">
        <f t="shared" si="2"/>
        <v>6.3675384615384609E-4</v>
      </c>
      <c r="Z24" s="183">
        <v>0</v>
      </c>
      <c r="AA24" s="183">
        <v>3.2290909090909088E-4</v>
      </c>
      <c r="AB24" s="183">
        <v>0</v>
      </c>
      <c r="AC24" s="83">
        <f t="shared" si="8"/>
        <v>3.2290909090909088E-4</v>
      </c>
      <c r="AE24" s="183">
        <v>0</v>
      </c>
      <c r="AF24" s="183">
        <v>1.4614545454545453E-4</v>
      </c>
      <c r="AG24" s="183">
        <v>0</v>
      </c>
      <c r="AH24" s="83">
        <f t="shared" si="9"/>
        <v>1.4614545454545453E-4</v>
      </c>
    </row>
    <row r="25" spans="1:39" ht="18.75" thickTop="1" thickBot="1">
      <c r="A25" s="70" t="s">
        <v>21</v>
      </c>
      <c r="B25" s="96" t="s">
        <v>126</v>
      </c>
      <c r="C25" s="71" t="s">
        <v>41</v>
      </c>
      <c r="D25" s="72">
        <v>3.7125699999999998E-2</v>
      </c>
      <c r="E25" s="72">
        <v>7.2405999999999998E-3</v>
      </c>
      <c r="F25" s="72">
        <v>-0.10409291999999995</v>
      </c>
      <c r="G25" s="72">
        <v>1.4594146666666667E-2</v>
      </c>
      <c r="H25" s="73">
        <v>2.7629266666666673E-2</v>
      </c>
      <c r="I25" s="73">
        <v>2.6716186666666666E-2</v>
      </c>
      <c r="J25" s="73">
        <v>4.5081013333333322E-2</v>
      </c>
      <c r="K25" s="183">
        <v>9.8140399999999978E-3</v>
      </c>
      <c r="L25" s="183">
        <v>-2.3746146666666666E-2</v>
      </c>
      <c r="M25" s="183">
        <v>1.1626745454545451E-2</v>
      </c>
      <c r="N25" s="183">
        <v>2.1290839636363614</v>
      </c>
      <c r="O25" s="60"/>
      <c r="P25" s="73">
        <v>0</v>
      </c>
      <c r="Q25" s="73">
        <v>9.8140399999999978E-3</v>
      </c>
      <c r="R25" s="73">
        <v>0</v>
      </c>
      <c r="S25" s="83">
        <f t="shared" si="1"/>
        <v>9.8140399999999978E-3</v>
      </c>
      <c r="U25" s="73">
        <v>0</v>
      </c>
      <c r="V25" s="73">
        <v>1.9360506666666669E-2</v>
      </c>
      <c r="W25" s="73">
        <v>4.3106653333333335E-2</v>
      </c>
      <c r="X25" s="83">
        <f t="shared" si="2"/>
        <v>-2.3746146666666666E-2</v>
      </c>
      <c r="Z25" s="183">
        <v>0.29620000000000002</v>
      </c>
      <c r="AA25" s="183">
        <v>1.1626745454545454E-2</v>
      </c>
      <c r="AB25" s="183">
        <v>0.29620000000000002</v>
      </c>
      <c r="AC25" s="83">
        <f t="shared" si="8"/>
        <v>1.1626745454545451E-2</v>
      </c>
      <c r="AE25" s="183">
        <v>8.6869999999999994</v>
      </c>
      <c r="AF25" s="183">
        <v>5.4003963636363679E-2</v>
      </c>
      <c r="AG25" s="183">
        <v>6.6119200000000014</v>
      </c>
      <c r="AH25" s="83">
        <f t="shared" si="9"/>
        <v>2.1290839636363614</v>
      </c>
    </row>
    <row r="26" spans="1:39" ht="18.75" thickTop="1" thickBot="1">
      <c r="A26" s="70" t="s">
        <v>65</v>
      </c>
      <c r="B26" s="96" t="s">
        <v>155</v>
      </c>
      <c r="C26" s="71" t="s">
        <v>41</v>
      </c>
      <c r="D26" s="72">
        <v>8.2140000000000002E-4</v>
      </c>
      <c r="E26" s="72">
        <v>1.4347520000000001E-2</v>
      </c>
      <c r="F26" s="72">
        <v>4.8973333333333317E-3</v>
      </c>
      <c r="G26" s="72">
        <v>1.8081333333333331E-4</v>
      </c>
      <c r="H26" s="73">
        <v>2.7629266666666673E-2</v>
      </c>
      <c r="I26" s="73">
        <v>2.6716186666666666E-2</v>
      </c>
      <c r="J26" s="73">
        <v>4.5081013333333322E-2</v>
      </c>
      <c r="K26" s="183">
        <v>9.8140399999999978E-3</v>
      </c>
      <c r="L26" s="183">
        <v>1.6323226666666669E-2</v>
      </c>
      <c r="M26" s="183">
        <v>2.1429454545454549E-3</v>
      </c>
      <c r="N26" s="183">
        <v>2.0816181818181798E-3</v>
      </c>
      <c r="O26" s="46"/>
      <c r="P26" s="160">
        <v>0</v>
      </c>
      <c r="Q26" s="73">
        <v>9.8140399999999978E-3</v>
      </c>
      <c r="R26">
        <v>0</v>
      </c>
      <c r="S26" s="83">
        <f t="shared" si="1"/>
        <v>9.8140399999999978E-3</v>
      </c>
      <c r="U26" s="160">
        <v>0</v>
      </c>
      <c r="V26" s="73">
        <v>1.6323226666666669E-2</v>
      </c>
      <c r="W26" s="174">
        <v>0</v>
      </c>
      <c r="X26" s="83">
        <f t="shared" si="2"/>
        <v>1.6323226666666669E-2</v>
      </c>
      <c r="Z26" s="160">
        <v>0</v>
      </c>
      <c r="AA26" s="183">
        <v>2.1429454545454549E-3</v>
      </c>
      <c r="AB26" s="174">
        <v>0</v>
      </c>
      <c r="AC26" s="83">
        <f t="shared" si="8"/>
        <v>2.1429454545454549E-3</v>
      </c>
      <c r="AE26" s="160">
        <v>0</v>
      </c>
      <c r="AF26" s="183">
        <v>2.0816181818181798E-3</v>
      </c>
      <c r="AG26" s="174">
        <v>0</v>
      </c>
      <c r="AH26" s="83">
        <f t="shared" si="9"/>
        <v>2.0816181818181798E-3</v>
      </c>
    </row>
    <row r="27" spans="1:39" ht="18.75" thickTop="1" thickBot="1">
      <c r="A27" s="85">
        <v>6.2</v>
      </c>
      <c r="B27" s="95" t="s">
        <v>128</v>
      </c>
      <c r="C27" s="86" t="s">
        <v>41</v>
      </c>
      <c r="D27" s="87">
        <v>69.570866610000024</v>
      </c>
      <c r="E27" s="87">
        <v>27.148848000000015</v>
      </c>
      <c r="F27" s="87">
        <v>71.646320039821518</v>
      </c>
      <c r="G27" s="87">
        <v>71.214937134636358</v>
      </c>
      <c r="H27" s="87">
        <v>61.295022723076897</v>
      </c>
      <c r="I27" s="87">
        <v>21.754894907692318</v>
      </c>
      <c r="J27" s="87">
        <v>72.141652123076682</v>
      </c>
      <c r="K27" s="87">
        <v>30</v>
      </c>
      <c r="L27" s="87">
        <v>62</v>
      </c>
      <c r="M27" s="87">
        <v>75.572469657142847</v>
      </c>
      <c r="N27" s="87">
        <v>92.502129123077793</v>
      </c>
      <c r="O27" s="64"/>
      <c r="P27" s="87">
        <v>238</v>
      </c>
      <c r="Q27" s="87">
        <v>6.6532080769230788</v>
      </c>
      <c r="R27" s="87">
        <v>215</v>
      </c>
      <c r="S27" s="83">
        <v>29.653208076923079</v>
      </c>
      <c r="U27" s="87">
        <v>242.99299999999999</v>
      </c>
      <c r="V27" s="87">
        <v>10.182506461538463</v>
      </c>
      <c r="W27" s="87">
        <v>191</v>
      </c>
      <c r="X27" s="83">
        <f t="shared" si="2"/>
        <v>62.175506461538447</v>
      </c>
      <c r="Z27" s="87">
        <v>246.40600000000001</v>
      </c>
      <c r="AA27" s="87">
        <v>12.166469657142862</v>
      </c>
      <c r="AB27" s="87">
        <v>183</v>
      </c>
      <c r="AC27" s="83">
        <f t="shared" si="8"/>
        <v>75.572469657142847</v>
      </c>
      <c r="AE27" s="87">
        <v>275</v>
      </c>
      <c r="AF27" s="87">
        <v>12</v>
      </c>
      <c r="AG27" s="87">
        <v>194.49787087692221</v>
      </c>
      <c r="AH27" s="83">
        <f>+AE27+AF27-AG27</f>
        <v>92.502129123077793</v>
      </c>
    </row>
    <row r="28" spans="1:39" ht="33" thickTop="1" thickBot="1">
      <c r="A28" s="85">
        <v>6.3</v>
      </c>
      <c r="B28" s="95" t="s">
        <v>301</v>
      </c>
      <c r="C28" s="86" t="s">
        <v>41</v>
      </c>
      <c r="D28" s="87">
        <v>7.9409999999999998</v>
      </c>
      <c r="E28" s="87">
        <v>9</v>
      </c>
      <c r="F28" s="87">
        <v>9.4497675166666664</v>
      </c>
      <c r="G28" s="87">
        <v>6.9058849538461544</v>
      </c>
      <c r="H28" s="87">
        <v>7.8984638285714253</v>
      </c>
      <c r="I28" s="87">
        <v>9.9510497999999981</v>
      </c>
      <c r="J28" s="87">
        <v>7.8861468000000015</v>
      </c>
      <c r="K28" s="87">
        <v>6.7898007571428591</v>
      </c>
      <c r="L28" s="87">
        <v>7.0205046142857173</v>
      </c>
      <c r="M28" s="87">
        <v>9.4387747090909073</v>
      </c>
      <c r="N28" s="87">
        <v>6.4165297636363627</v>
      </c>
      <c r="O28" s="60"/>
      <c r="P28" s="87">
        <v>0</v>
      </c>
      <c r="Q28" s="87">
        <f>Q29</f>
        <v>6.7898007571428591</v>
      </c>
      <c r="R28" s="87">
        <f t="shared" ref="R28" si="12">R29</f>
        <v>0</v>
      </c>
      <c r="S28" s="83">
        <f t="shared" si="1"/>
        <v>6.7898007571428591</v>
      </c>
      <c r="U28" s="87">
        <v>0</v>
      </c>
      <c r="V28" s="87">
        <v>7.0205046142857173</v>
      </c>
      <c r="W28" s="87">
        <v>0</v>
      </c>
      <c r="X28" s="83">
        <f t="shared" si="2"/>
        <v>7.0205046142857173</v>
      </c>
      <c r="Z28" s="87">
        <v>0</v>
      </c>
      <c r="AA28" s="87">
        <v>9.4387747090909073</v>
      </c>
      <c r="AB28" s="87">
        <v>0</v>
      </c>
      <c r="AC28" s="83">
        <f t="shared" si="8"/>
        <v>9.4387747090909073</v>
      </c>
      <c r="AE28" s="87">
        <v>0</v>
      </c>
      <c r="AF28" s="87">
        <v>6.4165297636363627</v>
      </c>
      <c r="AG28" s="87">
        <v>0</v>
      </c>
      <c r="AH28" s="83">
        <f t="shared" si="9"/>
        <v>6.4165297636363627</v>
      </c>
    </row>
    <row r="29" spans="1:39" ht="18.75" thickTop="1" thickBot="1">
      <c r="A29" s="70" t="s">
        <v>24</v>
      </c>
      <c r="B29" s="96" t="s">
        <v>290</v>
      </c>
      <c r="C29" s="71" t="s">
        <v>41</v>
      </c>
      <c r="D29" s="72">
        <v>7.9409999999999998</v>
      </c>
      <c r="E29" s="72">
        <v>9</v>
      </c>
      <c r="F29" s="72">
        <v>9.4497675166666664</v>
      </c>
      <c r="G29" s="72">
        <v>6.9058849538461544</v>
      </c>
      <c r="H29" s="72">
        <v>7.8984638285714253</v>
      </c>
      <c r="I29" s="72">
        <v>9.9510497999999981</v>
      </c>
      <c r="J29" s="72">
        <v>7.8861468000000015</v>
      </c>
      <c r="K29" s="72">
        <v>6.7898007571428591</v>
      </c>
      <c r="L29" s="72">
        <v>7.0205046142857173</v>
      </c>
      <c r="M29" s="72">
        <v>9.4387747090909073</v>
      </c>
      <c r="N29" s="72">
        <v>6.4165297636363627</v>
      </c>
      <c r="O29" s="59"/>
      <c r="P29" s="73">
        <v>0</v>
      </c>
      <c r="Q29" s="72">
        <v>6.7898007571428591</v>
      </c>
      <c r="R29" s="159">
        <v>0</v>
      </c>
      <c r="S29" s="83">
        <f t="shared" si="1"/>
        <v>6.7898007571428591</v>
      </c>
      <c r="U29" s="73">
        <v>0</v>
      </c>
      <c r="V29" s="72">
        <v>7.0205046142857173</v>
      </c>
      <c r="W29" s="159">
        <v>0</v>
      </c>
      <c r="X29" s="83">
        <f t="shared" si="2"/>
        <v>7.0205046142857173</v>
      </c>
      <c r="Z29" s="183">
        <v>0</v>
      </c>
      <c r="AA29" s="72">
        <v>9.4387747090909073</v>
      </c>
      <c r="AB29" s="159">
        <v>0</v>
      </c>
      <c r="AC29" s="83">
        <f t="shared" si="8"/>
        <v>9.4387747090909073</v>
      </c>
      <c r="AE29" s="183">
        <v>0</v>
      </c>
      <c r="AF29" s="72">
        <v>6.4165297636363627</v>
      </c>
      <c r="AG29" s="159">
        <v>0</v>
      </c>
      <c r="AH29" s="83">
        <f t="shared" si="9"/>
        <v>6.4165297636363627</v>
      </c>
    </row>
    <row r="30" spans="1:39" ht="18.75" thickTop="1" thickBot="1">
      <c r="A30" s="85">
        <v>6.4</v>
      </c>
      <c r="B30" s="95" t="s">
        <v>129</v>
      </c>
      <c r="C30" s="86" t="s">
        <v>41</v>
      </c>
      <c r="D30" s="87">
        <v>30.088877</v>
      </c>
      <c r="E30" s="87">
        <v>23.860576479999999</v>
      </c>
      <c r="F30" s="87">
        <v>30.227421680000006</v>
      </c>
      <c r="G30" s="87">
        <v>29.712549639999981</v>
      </c>
      <c r="H30" s="87">
        <v>28.318097891842097</v>
      </c>
      <c r="I30" s="87">
        <v>30.035570537017538</v>
      </c>
      <c r="J30" s="87">
        <v>30.326789285131596</v>
      </c>
      <c r="K30" s="87">
        <v>30.761417136842105</v>
      </c>
      <c r="L30" s="87">
        <v>32.025471285745652</v>
      </c>
      <c r="M30" s="87">
        <v>50.256611250649399</v>
      </c>
      <c r="N30" s="87">
        <v>49.26410245454548</v>
      </c>
      <c r="P30" s="87">
        <f t="shared" ref="P30" si="13">SUM(P31:P33)</f>
        <v>0</v>
      </c>
      <c r="Q30" s="87">
        <f>Q31+Q32+Q33</f>
        <v>30.761417136842105</v>
      </c>
      <c r="R30" s="87">
        <f t="shared" ref="R30" si="14">R31+R32+R33</f>
        <v>0</v>
      </c>
      <c r="S30" s="83">
        <f t="shared" si="1"/>
        <v>30.761417136842105</v>
      </c>
      <c r="U30" s="87">
        <v>0</v>
      </c>
      <c r="V30" s="87">
        <v>32.025471285745652</v>
      </c>
      <c r="W30" s="87">
        <v>0</v>
      </c>
      <c r="X30" s="83">
        <f t="shared" si="2"/>
        <v>32.025471285745652</v>
      </c>
      <c r="Z30" s="87">
        <v>8.5999999999999993E-2</v>
      </c>
      <c r="AA30" s="87">
        <v>50.256611250649399</v>
      </c>
      <c r="AB30" s="87">
        <v>8.5999999999999993E-2</v>
      </c>
      <c r="AC30" s="83">
        <f t="shared" si="8"/>
        <v>50.256611250649399</v>
      </c>
      <c r="AE30" s="87">
        <v>8.5999999999999993E-2</v>
      </c>
      <c r="AF30" s="87">
        <v>49.26410245454548</v>
      </c>
      <c r="AG30" s="87">
        <v>8.5999999999999993E-2</v>
      </c>
      <c r="AH30" s="83">
        <f t="shared" si="9"/>
        <v>49.26410245454548</v>
      </c>
    </row>
    <row r="31" spans="1:39" ht="18.75" thickTop="1" thickBot="1">
      <c r="A31" s="70" t="s">
        <v>25</v>
      </c>
      <c r="B31" s="96" t="s">
        <v>232</v>
      </c>
      <c r="C31" s="71" t="s">
        <v>41</v>
      </c>
      <c r="D31" s="72">
        <v>4.3204010000000004</v>
      </c>
      <c r="E31" s="72">
        <v>5.9709483199999998</v>
      </c>
      <c r="F31" s="72">
        <v>5.9004236666666667</v>
      </c>
      <c r="G31" s="72">
        <v>3.3669527466666702</v>
      </c>
      <c r="H31" s="73">
        <v>2.032710936842105</v>
      </c>
      <c r="I31" s="73">
        <v>1.9364724736842105</v>
      </c>
      <c r="J31" s="73">
        <v>1.6826136526315787</v>
      </c>
      <c r="K31" s="183">
        <v>1.5414171368421055</v>
      </c>
      <c r="L31" s="183">
        <v>1.2195456315789475</v>
      </c>
      <c r="M31" s="183">
        <v>1.8562010142857142</v>
      </c>
      <c r="N31" s="183">
        <v>1.5012530000000002</v>
      </c>
      <c r="P31" s="73">
        <v>0</v>
      </c>
      <c r="Q31" s="73">
        <v>1.5414171368421055</v>
      </c>
      <c r="R31" s="73">
        <v>0</v>
      </c>
      <c r="S31" s="83">
        <f t="shared" si="1"/>
        <v>1.5414171368421055</v>
      </c>
      <c r="U31" s="73">
        <v>0</v>
      </c>
      <c r="V31" s="73">
        <v>1.2195456315789475</v>
      </c>
      <c r="W31" s="73">
        <v>0</v>
      </c>
      <c r="X31" s="83">
        <f t="shared" si="2"/>
        <v>1.2195456315789475</v>
      </c>
      <c r="Z31" s="183">
        <v>0</v>
      </c>
      <c r="AA31" s="183">
        <v>1.8562010142857142</v>
      </c>
      <c r="AB31" s="183">
        <v>0</v>
      </c>
      <c r="AC31" s="83">
        <f t="shared" si="8"/>
        <v>1.8562010142857142</v>
      </c>
      <c r="AE31" s="183">
        <v>0</v>
      </c>
      <c r="AF31" s="183">
        <v>1.5012530000000002</v>
      </c>
      <c r="AG31" s="183">
        <v>0</v>
      </c>
      <c r="AH31" s="83">
        <f t="shared" si="9"/>
        <v>1.5012530000000002</v>
      </c>
    </row>
    <row r="32" spans="1:39" ht="18.75" thickTop="1" thickBot="1">
      <c r="A32" s="70" t="s">
        <v>26</v>
      </c>
      <c r="B32" s="96" t="s">
        <v>130</v>
      </c>
      <c r="C32" s="71" t="s">
        <v>41</v>
      </c>
      <c r="D32" s="72">
        <v>25.659552000000009</v>
      </c>
      <c r="E32" s="72">
        <v>17.619806360000005</v>
      </c>
      <c r="F32" s="72">
        <v>24.251005133333337</v>
      </c>
      <c r="G32" s="72">
        <v>25.583792853333311</v>
      </c>
      <c r="H32" s="73">
        <v>25.972676074999992</v>
      </c>
      <c r="I32" s="73">
        <v>27.749357649999993</v>
      </c>
      <c r="J32" s="73">
        <v>28.350429912500019</v>
      </c>
      <c r="K32" s="183">
        <v>28.99</v>
      </c>
      <c r="L32" s="183">
        <v>30.674774387500033</v>
      </c>
      <c r="M32" s="183">
        <v>48.117748800000044</v>
      </c>
      <c r="N32" s="183">
        <v>47.267297690909118</v>
      </c>
      <c r="P32" s="73">
        <v>0</v>
      </c>
      <c r="Q32" s="73">
        <v>28.99</v>
      </c>
      <c r="R32" s="73">
        <v>0</v>
      </c>
      <c r="S32" s="83">
        <f t="shared" si="1"/>
        <v>28.99</v>
      </c>
      <c r="U32" s="73">
        <v>0</v>
      </c>
      <c r="V32" s="73">
        <v>30.674774387500033</v>
      </c>
      <c r="W32" s="73">
        <v>0</v>
      </c>
      <c r="X32" s="83">
        <f t="shared" si="2"/>
        <v>30.674774387500033</v>
      </c>
      <c r="Z32" s="183">
        <v>0</v>
      </c>
      <c r="AA32" s="183">
        <v>48.117748800000044</v>
      </c>
      <c r="AB32" s="183">
        <v>0</v>
      </c>
      <c r="AC32" s="83">
        <f t="shared" si="8"/>
        <v>48.117748800000044</v>
      </c>
      <c r="AE32" s="183">
        <v>0</v>
      </c>
      <c r="AF32" s="183">
        <v>47.267297690909118</v>
      </c>
      <c r="AG32" s="183">
        <v>0</v>
      </c>
      <c r="AH32" s="83">
        <f t="shared" si="9"/>
        <v>47.267297690909118</v>
      </c>
    </row>
    <row r="33" spans="1:34" ht="18.75" thickTop="1" thickBot="1">
      <c r="A33" s="70" t="s">
        <v>27</v>
      </c>
      <c r="B33" s="96" t="s">
        <v>160</v>
      </c>
      <c r="C33" s="71" t="s">
        <v>41</v>
      </c>
      <c r="D33" s="72">
        <v>0.10892400000000001</v>
      </c>
      <c r="E33" s="72">
        <v>0.2698218</v>
      </c>
      <c r="F33" s="72">
        <v>7.5992879999999999E-2</v>
      </c>
      <c r="G33" s="72">
        <v>0.26180403999999996</v>
      </c>
      <c r="H33" s="73">
        <v>0.31271087999999997</v>
      </c>
      <c r="I33" s="73">
        <v>0.34974041333333344</v>
      </c>
      <c r="J33" s="73">
        <v>0.29374571999999999</v>
      </c>
      <c r="K33" s="183">
        <v>0.23</v>
      </c>
      <c r="L33" s="183">
        <v>0.13115126666666665</v>
      </c>
      <c r="M33" s="183">
        <v>0.28266143636363639</v>
      </c>
      <c r="N33" s="183">
        <v>0.49555176363636355</v>
      </c>
      <c r="P33" s="73">
        <v>0</v>
      </c>
      <c r="Q33" s="73">
        <v>0.23</v>
      </c>
      <c r="R33" s="73">
        <v>0</v>
      </c>
      <c r="S33" s="83">
        <f t="shared" si="1"/>
        <v>0.23</v>
      </c>
      <c r="U33" s="73">
        <v>0</v>
      </c>
      <c r="V33" s="73">
        <v>0.13115126666666665</v>
      </c>
      <c r="W33" s="73">
        <v>0</v>
      </c>
      <c r="X33" s="83">
        <f t="shared" si="2"/>
        <v>0.13115126666666665</v>
      </c>
      <c r="Z33" s="183">
        <v>8.5999999999999993E-2</v>
      </c>
      <c r="AA33" s="183">
        <v>0.28266143636363639</v>
      </c>
      <c r="AB33" s="183">
        <v>8.5999999999999993E-2</v>
      </c>
      <c r="AC33" s="83">
        <f t="shared" si="8"/>
        <v>0.28266143636363639</v>
      </c>
      <c r="AE33" s="183">
        <v>8.5999999999999993E-2</v>
      </c>
      <c r="AF33" s="183">
        <v>0.49555176363636355</v>
      </c>
      <c r="AG33" s="183">
        <v>8.5999999999999993E-2</v>
      </c>
      <c r="AH33" s="83">
        <f t="shared" si="9"/>
        <v>0.49555176363636355</v>
      </c>
    </row>
    <row r="34" spans="1:34" ht="18.75" thickTop="1" thickBot="1">
      <c r="A34" s="80">
        <v>7</v>
      </c>
      <c r="B34" s="94" t="s">
        <v>118</v>
      </c>
      <c r="C34" s="81" t="s">
        <v>53</v>
      </c>
      <c r="D34" s="82">
        <v>61.782195199999933</v>
      </c>
      <c r="E34" s="82">
        <v>52.056521999999859</v>
      </c>
      <c r="F34" s="82">
        <v>27.477669099999957</v>
      </c>
      <c r="G34" s="82">
        <v>57</v>
      </c>
      <c r="H34" s="82">
        <v>44</v>
      </c>
      <c r="I34" s="82">
        <v>10.230967659999806</v>
      </c>
      <c r="J34" s="82">
        <v>9.452239610000106</v>
      </c>
      <c r="K34" s="82">
        <v>24.352993319999769</v>
      </c>
      <c r="L34" s="82">
        <v>16.211648720000085</v>
      </c>
      <c r="M34" s="82">
        <v>13.303646720000415</v>
      </c>
      <c r="N34" s="82">
        <v>18.357172120000087</v>
      </c>
      <c r="O34" s="64"/>
      <c r="P34" s="83">
        <v>2618</v>
      </c>
      <c r="Q34" s="82">
        <f>+Q35+Q36+Q37+Q41</f>
        <v>5.5729933200000001</v>
      </c>
      <c r="R34" s="82">
        <f>SUM(R35:R37)</f>
        <v>2599.2200000000003</v>
      </c>
      <c r="S34" s="83">
        <f t="shared" si="1"/>
        <v>24.352993319999769</v>
      </c>
      <c r="U34" s="83">
        <v>2792.7809999999999</v>
      </c>
      <c r="V34" s="82">
        <v>6.0976487200000022</v>
      </c>
      <c r="W34" s="82">
        <v>2782.6669999999999</v>
      </c>
      <c r="X34" s="83">
        <f t="shared" si="2"/>
        <v>16.211648720000085</v>
      </c>
      <c r="Z34" s="83">
        <v>2770.7299899999998</v>
      </c>
      <c r="AA34" s="82">
        <v>6.0976487200000022</v>
      </c>
      <c r="AB34" s="82">
        <v>2763.5239919999995</v>
      </c>
      <c r="AC34" s="83">
        <f t="shared" si="8"/>
        <v>13.303646720000415</v>
      </c>
      <c r="AE34" s="83">
        <v>2711.1374369999999</v>
      </c>
      <c r="AF34" s="82">
        <v>4.3872401200000013</v>
      </c>
      <c r="AG34" s="82">
        <v>2697.1675049999999</v>
      </c>
      <c r="AH34" s="83">
        <f t="shared" si="9"/>
        <v>18.357172120000087</v>
      </c>
    </row>
    <row r="35" spans="1:34" ht="18.75" thickTop="1" thickBot="1">
      <c r="A35" s="85">
        <v>7.1</v>
      </c>
      <c r="B35" s="95" t="s">
        <v>233</v>
      </c>
      <c r="C35" s="86" t="s">
        <v>53</v>
      </c>
      <c r="D35" s="87">
        <v>8.3599999999999994E-3</v>
      </c>
      <c r="E35" s="87">
        <v>0</v>
      </c>
      <c r="F35" s="87">
        <v>1.1220000000000001E-2</v>
      </c>
      <c r="G35" s="87">
        <v>2.2440000000000002E-2</v>
      </c>
      <c r="H35" s="87">
        <v>3.3841000000000003E-2</v>
      </c>
      <c r="I35" s="87">
        <v>4.4880000000000003E-2</v>
      </c>
      <c r="J35" s="87">
        <v>3.4499000000000002E-2</v>
      </c>
      <c r="K35" s="87">
        <v>3.4680000000000002E-2</v>
      </c>
      <c r="L35" s="87">
        <v>2.3460000000000002E-2</v>
      </c>
      <c r="M35" s="87">
        <v>8.6951854545454538E-2</v>
      </c>
      <c r="N35" s="87">
        <v>2.346581E-2</v>
      </c>
      <c r="O35" s="67"/>
      <c r="P35" s="87">
        <v>0</v>
      </c>
      <c r="Q35" s="87">
        <v>3.4680000000000002E-2</v>
      </c>
      <c r="R35" s="87">
        <v>0</v>
      </c>
      <c r="S35" s="83">
        <f t="shared" si="1"/>
        <v>3.4680000000000002E-2</v>
      </c>
      <c r="U35" s="87">
        <v>0</v>
      </c>
      <c r="V35" s="87">
        <v>2.3460000000000002E-2</v>
      </c>
      <c r="W35" s="87">
        <v>0</v>
      </c>
      <c r="X35" s="83">
        <f t="shared" si="2"/>
        <v>2.3460000000000002E-2</v>
      </c>
      <c r="Z35" s="87">
        <v>0</v>
      </c>
      <c r="AA35" s="87">
        <v>8.6951854545454538E-2</v>
      </c>
      <c r="AB35" s="87">
        <v>0</v>
      </c>
      <c r="AC35" s="83">
        <f t="shared" si="8"/>
        <v>8.6951854545454538E-2</v>
      </c>
      <c r="AE35" s="87">
        <v>0</v>
      </c>
      <c r="AF35" s="87">
        <v>2.346581E-2</v>
      </c>
      <c r="AG35" s="87">
        <v>0</v>
      </c>
      <c r="AH35" s="83">
        <f t="shared" si="9"/>
        <v>2.346581E-2</v>
      </c>
    </row>
    <row r="36" spans="1:34" ht="18.75" thickTop="1" thickBot="1">
      <c r="A36" s="85">
        <v>7.2</v>
      </c>
      <c r="B36" s="95" t="s">
        <v>234</v>
      </c>
      <c r="C36" s="86" t="s">
        <v>53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67"/>
      <c r="P36" s="87">
        <v>0</v>
      </c>
      <c r="Q36" s="87">
        <v>0</v>
      </c>
      <c r="R36" s="87">
        <v>0</v>
      </c>
      <c r="S36" s="83">
        <f t="shared" si="1"/>
        <v>0</v>
      </c>
      <c r="U36" s="87">
        <v>0</v>
      </c>
      <c r="V36" s="87">
        <v>0</v>
      </c>
      <c r="W36" s="87">
        <v>0</v>
      </c>
      <c r="X36" s="83">
        <f t="shared" si="2"/>
        <v>0</v>
      </c>
      <c r="Z36" s="87">
        <v>0</v>
      </c>
      <c r="AA36" s="87">
        <v>0</v>
      </c>
      <c r="AB36" s="87">
        <v>0</v>
      </c>
      <c r="AC36" s="83">
        <f t="shared" si="8"/>
        <v>0</v>
      </c>
      <c r="AE36" s="87">
        <v>0</v>
      </c>
      <c r="AF36" s="87">
        <v>0</v>
      </c>
      <c r="AG36" s="87">
        <v>0</v>
      </c>
      <c r="AH36" s="83">
        <f t="shared" si="9"/>
        <v>0</v>
      </c>
    </row>
    <row r="37" spans="1:34" ht="18.75" thickTop="1" thickBot="1">
      <c r="A37" s="85">
        <v>7.3</v>
      </c>
      <c r="B37" s="95" t="s">
        <v>251</v>
      </c>
      <c r="C37" s="86" t="s">
        <v>53</v>
      </c>
      <c r="D37" s="87">
        <v>61.773835199999894</v>
      </c>
      <c r="E37" s="87">
        <v>52.032999999999902</v>
      </c>
      <c r="F37" s="87">
        <v>27.463571100000081</v>
      </c>
      <c r="G37" s="87">
        <v>57</v>
      </c>
      <c r="H37" s="87">
        <v>44</v>
      </c>
      <c r="I37" s="87">
        <v>10.171007659999759</v>
      </c>
      <c r="J37" s="87">
        <v>9.4136766100000386</v>
      </c>
      <c r="K37" s="87">
        <v>24.309283319999849</v>
      </c>
      <c r="L37" s="87">
        <v>16.188188720000198</v>
      </c>
      <c r="M37" s="87">
        <v>13.083836830000564</v>
      </c>
      <c r="N37" s="87">
        <v>18.283786309999869</v>
      </c>
      <c r="O37" s="66"/>
      <c r="P37" s="87">
        <v>2618</v>
      </c>
      <c r="Q37" s="87">
        <f>SUM(Q39:Q41)</f>
        <v>5.5292833200000002</v>
      </c>
      <c r="R37" s="87">
        <f>SUM(R38:R41)</f>
        <v>2599.2200000000003</v>
      </c>
      <c r="S37" s="83">
        <f t="shared" si="1"/>
        <v>24.309283319999849</v>
      </c>
      <c r="U37" s="87">
        <v>2792.7809999999999</v>
      </c>
      <c r="V37" s="87">
        <v>6.0741887200000022</v>
      </c>
      <c r="W37" s="87">
        <v>2782.6669999999999</v>
      </c>
      <c r="X37" s="83">
        <f t="shared" si="2"/>
        <v>16.188188720000198</v>
      </c>
      <c r="Z37" s="87">
        <v>2770.7299899999998</v>
      </c>
      <c r="AA37" s="87">
        <v>5.8778388299999991</v>
      </c>
      <c r="AB37" s="87">
        <v>2763.5239919999995</v>
      </c>
      <c r="AC37" s="83">
        <f t="shared" si="8"/>
        <v>13.083836830000564</v>
      </c>
      <c r="AE37" s="87">
        <v>2711.1374369999999</v>
      </c>
      <c r="AF37" s="87">
        <v>4.3138543100000009</v>
      </c>
      <c r="AG37" s="87">
        <v>2697.1675049999999</v>
      </c>
      <c r="AH37" s="83">
        <f t="shared" si="9"/>
        <v>18.283786309999869</v>
      </c>
    </row>
    <row r="38" spans="1:34" ht="18.75" thickTop="1" thickBot="1">
      <c r="A38" s="70" t="s">
        <v>28</v>
      </c>
      <c r="B38" s="96" t="s">
        <v>291</v>
      </c>
      <c r="C38" s="71" t="s">
        <v>53</v>
      </c>
      <c r="D38" s="72">
        <v>8.7410000000000005E-4</v>
      </c>
      <c r="E38" s="72">
        <v>0</v>
      </c>
      <c r="F38" s="72">
        <v>4.13E-3</v>
      </c>
      <c r="G38" s="72">
        <v>0</v>
      </c>
      <c r="H38" s="73">
        <v>0</v>
      </c>
      <c r="I38" s="73">
        <v>0</v>
      </c>
      <c r="J38" s="73">
        <v>0</v>
      </c>
      <c r="K38" s="183">
        <v>0</v>
      </c>
      <c r="L38" s="183">
        <v>0</v>
      </c>
      <c r="M38" s="183">
        <v>0</v>
      </c>
      <c r="N38" s="183">
        <v>0</v>
      </c>
      <c r="O38" s="65"/>
      <c r="P38" s="73">
        <v>0</v>
      </c>
      <c r="Q38" s="73">
        <v>0</v>
      </c>
      <c r="R38" s="73">
        <v>0</v>
      </c>
      <c r="S38" s="83">
        <f t="shared" si="1"/>
        <v>0</v>
      </c>
      <c r="U38" s="73">
        <v>0</v>
      </c>
      <c r="V38" s="73">
        <v>0</v>
      </c>
      <c r="W38" s="73">
        <v>0</v>
      </c>
      <c r="X38" s="83">
        <f t="shared" si="2"/>
        <v>0</v>
      </c>
      <c r="Z38" s="183">
        <v>0</v>
      </c>
      <c r="AA38" s="183">
        <v>0</v>
      </c>
      <c r="AB38" s="183">
        <v>0</v>
      </c>
      <c r="AC38" s="83">
        <f t="shared" si="8"/>
        <v>0</v>
      </c>
      <c r="AE38" s="183">
        <v>0</v>
      </c>
      <c r="AF38" s="183">
        <v>0</v>
      </c>
      <c r="AG38" s="183">
        <v>0</v>
      </c>
      <c r="AH38" s="83">
        <f t="shared" si="9"/>
        <v>0</v>
      </c>
    </row>
    <row r="39" spans="1:34" ht="18.75" thickTop="1" thickBot="1">
      <c r="A39" s="70" t="s">
        <v>29</v>
      </c>
      <c r="B39" s="96" t="s">
        <v>236</v>
      </c>
      <c r="C39" s="71" t="s">
        <v>53</v>
      </c>
      <c r="D39" s="72">
        <v>61.772665999999845</v>
      </c>
      <c r="E39" s="72">
        <v>52.027000000000044</v>
      </c>
      <c r="F39" s="72">
        <v>27.448225099999945</v>
      </c>
      <c r="G39" s="72">
        <v>57</v>
      </c>
      <c r="H39" s="73">
        <v>44</v>
      </c>
      <c r="I39" s="73">
        <v>10.155927660000089</v>
      </c>
      <c r="J39" s="73">
        <v>9.4096126100002948</v>
      </c>
      <c r="K39" s="183">
        <v>24.300253319999683</v>
      </c>
      <c r="L39" s="183">
        <v>16.188188720000198</v>
      </c>
      <c r="M39" s="183">
        <v>13.083836830000564</v>
      </c>
      <c r="N39" s="183">
        <v>18.233866309999939</v>
      </c>
      <c r="O39" s="66"/>
      <c r="P39" s="73">
        <v>2618</v>
      </c>
      <c r="Q39" s="73">
        <v>5.5202533200000001</v>
      </c>
      <c r="R39" s="73">
        <v>2599.2200000000003</v>
      </c>
      <c r="S39" s="83">
        <f t="shared" si="1"/>
        <v>24.300253319999683</v>
      </c>
      <c r="U39" s="73">
        <v>2792.7809999999999</v>
      </c>
      <c r="V39" s="73">
        <v>6.0741887200000022</v>
      </c>
      <c r="W39" s="73">
        <v>2782.6669999999999</v>
      </c>
      <c r="X39" s="83">
        <f t="shared" si="2"/>
        <v>16.188188720000198</v>
      </c>
      <c r="Z39" s="183">
        <v>2770.7299899999998</v>
      </c>
      <c r="AA39" s="183">
        <v>5.8778388299999991</v>
      </c>
      <c r="AB39" s="183">
        <v>2763.5239919999995</v>
      </c>
      <c r="AC39" s="83">
        <f t="shared" si="8"/>
        <v>13.083836830000564</v>
      </c>
      <c r="AE39" s="183">
        <v>2711.1374369999999</v>
      </c>
      <c r="AF39" s="183">
        <v>4.2639343100000007</v>
      </c>
      <c r="AG39" s="183">
        <v>2697.1675049999999</v>
      </c>
      <c r="AH39" s="83">
        <f t="shared" si="9"/>
        <v>18.233866309999939</v>
      </c>
    </row>
    <row r="40" spans="1:34" ht="18.75" thickTop="1" thickBot="1">
      <c r="A40" s="70" t="s">
        <v>30</v>
      </c>
      <c r="B40" s="96" t="s">
        <v>292</v>
      </c>
      <c r="C40" s="71" t="s">
        <v>53</v>
      </c>
      <c r="D40" s="72">
        <v>0</v>
      </c>
      <c r="E40" s="72">
        <v>0</v>
      </c>
      <c r="F40" s="72">
        <v>0</v>
      </c>
      <c r="G40" s="72">
        <v>0</v>
      </c>
      <c r="H40" s="73">
        <v>4.5399999999999998E-3</v>
      </c>
      <c r="I40" s="73">
        <v>0</v>
      </c>
      <c r="J40" s="73">
        <v>0</v>
      </c>
      <c r="K40" s="183">
        <v>0</v>
      </c>
      <c r="L40" s="183">
        <v>0</v>
      </c>
      <c r="M40" s="183">
        <v>0</v>
      </c>
      <c r="N40" s="183">
        <v>0</v>
      </c>
      <c r="O40" s="67"/>
      <c r="P40" s="73">
        <v>0</v>
      </c>
      <c r="Q40" s="73">
        <v>0</v>
      </c>
      <c r="R40" s="73">
        <v>0</v>
      </c>
      <c r="S40" s="83">
        <f t="shared" si="1"/>
        <v>0</v>
      </c>
      <c r="U40" s="73">
        <v>0</v>
      </c>
      <c r="V40" s="73">
        <v>0</v>
      </c>
      <c r="W40" s="73">
        <v>0</v>
      </c>
      <c r="X40" s="83">
        <f t="shared" si="2"/>
        <v>0</v>
      </c>
      <c r="Z40" s="183">
        <v>0</v>
      </c>
      <c r="AA40" s="183">
        <v>0</v>
      </c>
      <c r="AB40" s="183">
        <v>0</v>
      </c>
      <c r="AC40" s="83">
        <f t="shared" si="8"/>
        <v>0</v>
      </c>
      <c r="AE40" s="183">
        <v>0</v>
      </c>
      <c r="AF40" s="183">
        <v>0</v>
      </c>
      <c r="AG40" s="183">
        <v>0</v>
      </c>
      <c r="AH40" s="83">
        <f t="shared" si="9"/>
        <v>0</v>
      </c>
    </row>
    <row r="41" spans="1:34" ht="18.75" thickTop="1" thickBot="1">
      <c r="A41" s="70" t="s">
        <v>31</v>
      </c>
      <c r="B41" s="96" t="s">
        <v>254</v>
      </c>
      <c r="C41" s="71" t="s">
        <v>53</v>
      </c>
      <c r="D41" s="72">
        <v>2.9510000000000002E-4</v>
      </c>
      <c r="E41" s="72">
        <v>6.0000000000000001E-3</v>
      </c>
      <c r="F41" s="72">
        <v>5.2159999999999984E-3</v>
      </c>
      <c r="G41" s="72">
        <v>8.5910499999999994E-3</v>
      </c>
      <c r="H41" s="73">
        <v>1.7782659999999999E-2</v>
      </c>
      <c r="I41" s="73">
        <v>1.508E-2</v>
      </c>
      <c r="J41" s="73">
        <v>4.0639999999999999E-3</v>
      </c>
      <c r="K41" s="183">
        <v>9.0299999999999998E-3</v>
      </c>
      <c r="L41" s="183">
        <v>0</v>
      </c>
      <c r="M41" s="183">
        <v>0</v>
      </c>
      <c r="N41" s="183">
        <v>4.9919999999999999E-2</v>
      </c>
      <c r="P41" s="73">
        <v>0</v>
      </c>
      <c r="Q41" s="73">
        <v>9.0299999999999998E-3</v>
      </c>
      <c r="R41" s="73">
        <v>0</v>
      </c>
      <c r="S41" s="83">
        <f t="shared" si="1"/>
        <v>9.0299999999999998E-3</v>
      </c>
      <c r="U41" s="73">
        <v>0</v>
      </c>
      <c r="V41" s="73">
        <v>0</v>
      </c>
      <c r="W41" s="73">
        <v>0</v>
      </c>
      <c r="X41" s="83">
        <f t="shared" si="2"/>
        <v>0</v>
      </c>
      <c r="Z41" s="183">
        <v>0</v>
      </c>
      <c r="AA41" s="183">
        <v>0</v>
      </c>
      <c r="AB41" s="183">
        <v>0</v>
      </c>
      <c r="AC41" s="83">
        <f t="shared" si="8"/>
        <v>0</v>
      </c>
      <c r="AE41" s="183">
        <v>0</v>
      </c>
      <c r="AF41" s="183">
        <v>4.9919999999999999E-2</v>
      </c>
      <c r="AG41" s="183">
        <v>0</v>
      </c>
      <c r="AH41" s="83">
        <f t="shared" si="9"/>
        <v>4.9919999999999999E-2</v>
      </c>
    </row>
    <row r="42" spans="1:34" ht="18.75" thickTop="1" thickBot="1">
      <c r="A42" s="85">
        <v>7.4</v>
      </c>
      <c r="B42" s="95" t="s">
        <v>203</v>
      </c>
      <c r="C42" s="86" t="s">
        <v>53</v>
      </c>
      <c r="D42" s="87">
        <v>0</v>
      </c>
      <c r="E42" s="87">
        <v>2.3522000000000001E-2</v>
      </c>
      <c r="F42" s="87">
        <v>2.8779999999999986E-3</v>
      </c>
      <c r="G42" s="87">
        <v>-3.1362666666666698E-2</v>
      </c>
      <c r="H42" s="87">
        <v>1.7782659999999999E-2</v>
      </c>
      <c r="I42" s="87">
        <v>-4.9626666666666985E-3</v>
      </c>
      <c r="J42" s="87">
        <v>0</v>
      </c>
      <c r="K42" s="87">
        <v>0</v>
      </c>
      <c r="L42" s="87">
        <v>4.3200000000000002E-2</v>
      </c>
      <c r="M42" s="87">
        <v>4.3200000000000002E-2</v>
      </c>
      <c r="N42" s="87">
        <v>4.9919999999999999E-2</v>
      </c>
      <c r="P42" s="87">
        <v>0</v>
      </c>
      <c r="Q42" s="87">
        <v>0</v>
      </c>
      <c r="R42" s="87">
        <v>0</v>
      </c>
      <c r="S42" s="83">
        <f t="shared" si="1"/>
        <v>0</v>
      </c>
      <c r="U42" s="87">
        <v>0</v>
      </c>
      <c r="V42" s="87">
        <v>4.3200000000000002E-2</v>
      </c>
      <c r="W42" s="87">
        <v>0</v>
      </c>
      <c r="X42" s="83">
        <f t="shared" si="2"/>
        <v>4.3200000000000002E-2</v>
      </c>
      <c r="Z42" s="87">
        <v>0</v>
      </c>
      <c r="AA42" s="87">
        <v>4.3200000000000002E-2</v>
      </c>
      <c r="AB42" s="87">
        <v>0</v>
      </c>
      <c r="AC42" s="83">
        <f t="shared" si="8"/>
        <v>4.3200000000000002E-2</v>
      </c>
      <c r="AE42" s="87">
        <v>0</v>
      </c>
      <c r="AF42" s="87">
        <v>4.9919999999999999E-2</v>
      </c>
      <c r="AG42" s="87">
        <v>0</v>
      </c>
      <c r="AH42" s="83">
        <f t="shared" si="9"/>
        <v>4.9919999999999999E-2</v>
      </c>
    </row>
    <row r="43" spans="1:34" ht="18.75" thickTop="1" thickBot="1">
      <c r="A43" s="80">
        <v>8</v>
      </c>
      <c r="B43" s="94" t="s">
        <v>239</v>
      </c>
      <c r="C43" s="81" t="s">
        <v>53</v>
      </c>
      <c r="D43" s="82">
        <v>0.14849999999999999</v>
      </c>
      <c r="E43" s="82">
        <v>0.14849999999999999</v>
      </c>
      <c r="F43" s="82">
        <v>0.15039527999999999</v>
      </c>
      <c r="G43" s="82">
        <v>0.13113580999999999</v>
      </c>
      <c r="H43" s="82">
        <v>0.12814233999999999</v>
      </c>
      <c r="I43" s="82">
        <v>8.9864219999999995E-2</v>
      </c>
      <c r="J43" s="82">
        <v>6.99018E-2</v>
      </c>
      <c r="K43" s="82">
        <v>6.8151690000000001E-2</v>
      </c>
      <c r="L43" s="82">
        <v>9.0345399999999992E-2</v>
      </c>
      <c r="M43" s="82">
        <v>9.0345399999999992E-2</v>
      </c>
      <c r="N43" s="82">
        <v>0.10684099999999999</v>
      </c>
      <c r="O43" s="46"/>
      <c r="P43" s="83">
        <v>0</v>
      </c>
      <c r="Q43" s="82">
        <f t="shared" ref="Q43" si="15">SUM(Q44:Q45)</f>
        <v>6.8151690000000001E-2</v>
      </c>
      <c r="R43" s="82">
        <f t="shared" ref="R43" si="16">R44+R45</f>
        <v>0</v>
      </c>
      <c r="S43" s="83">
        <f t="shared" si="1"/>
        <v>6.8151690000000001E-2</v>
      </c>
      <c r="U43" s="83">
        <v>0</v>
      </c>
      <c r="V43" s="82">
        <v>9.0345399999999992E-2</v>
      </c>
      <c r="W43" s="82">
        <v>0</v>
      </c>
      <c r="X43" s="83">
        <f t="shared" si="2"/>
        <v>9.0345399999999992E-2</v>
      </c>
      <c r="Z43" s="83">
        <v>0</v>
      </c>
      <c r="AA43" s="82">
        <v>9.0345399999999992E-2</v>
      </c>
      <c r="AB43" s="82">
        <v>0</v>
      </c>
      <c r="AC43" s="83">
        <f t="shared" si="8"/>
        <v>9.0345399999999992E-2</v>
      </c>
      <c r="AE43" s="83">
        <v>0</v>
      </c>
      <c r="AF43" s="82">
        <v>0.10684099999999999</v>
      </c>
      <c r="AG43" s="82">
        <v>0</v>
      </c>
      <c r="AH43" s="83">
        <f t="shared" si="9"/>
        <v>0.10684099999999999</v>
      </c>
    </row>
    <row r="44" spans="1:34" ht="18.75" thickTop="1" thickBot="1">
      <c r="A44" s="85">
        <v>8.1</v>
      </c>
      <c r="B44" s="95" t="s">
        <v>319</v>
      </c>
      <c r="C44" s="86" t="s">
        <v>53</v>
      </c>
      <c r="D44" s="87">
        <v>9.2999999999999999E-2</v>
      </c>
      <c r="E44" s="87">
        <v>9.2999999999999999E-2</v>
      </c>
      <c r="F44" s="87">
        <v>0.10716299999999999</v>
      </c>
      <c r="G44" s="87">
        <v>9.5614999999999992E-2</v>
      </c>
      <c r="H44" s="87">
        <v>8.133E-2</v>
      </c>
      <c r="I44" s="87">
        <v>4.5359999999999998E-2</v>
      </c>
      <c r="J44" s="87">
        <v>4.6060000000000004E-2</v>
      </c>
      <c r="K44" s="87">
        <v>5.6850000000000005E-2</v>
      </c>
      <c r="L44" s="87">
        <v>6.9134399999999999E-2</v>
      </c>
      <c r="M44" s="87">
        <v>6.9134399999999999E-2</v>
      </c>
      <c r="N44" s="87">
        <v>8.6029999999999995E-2</v>
      </c>
      <c r="O44" s="60"/>
      <c r="P44" s="87">
        <v>0</v>
      </c>
      <c r="Q44" s="87">
        <v>5.6850000000000005E-2</v>
      </c>
      <c r="R44" s="87">
        <v>0</v>
      </c>
      <c r="S44" s="83">
        <f t="shared" si="1"/>
        <v>5.6850000000000005E-2</v>
      </c>
      <c r="U44" s="87">
        <v>0</v>
      </c>
      <c r="V44" s="87">
        <v>6.9134399999999999E-2</v>
      </c>
      <c r="W44" s="87">
        <v>0</v>
      </c>
      <c r="X44" s="83">
        <f t="shared" si="2"/>
        <v>6.9134399999999999E-2</v>
      </c>
      <c r="Z44" s="87">
        <v>0</v>
      </c>
      <c r="AA44" s="87">
        <v>6.9134399999999999E-2</v>
      </c>
      <c r="AB44" s="87">
        <v>0</v>
      </c>
      <c r="AC44" s="83">
        <f t="shared" si="8"/>
        <v>6.9134399999999999E-2</v>
      </c>
      <c r="AE44" s="87">
        <v>0</v>
      </c>
      <c r="AF44" s="87">
        <v>8.6029999999999995E-2</v>
      </c>
      <c r="AG44" s="87">
        <v>0</v>
      </c>
      <c r="AH44" s="83">
        <f t="shared" si="9"/>
        <v>8.6029999999999995E-2</v>
      </c>
    </row>
    <row r="45" spans="1:34" ht="18.75" thickTop="1" thickBot="1">
      <c r="A45" s="85">
        <v>8.1999999999999993</v>
      </c>
      <c r="B45" s="95" t="s">
        <v>132</v>
      </c>
      <c r="C45" s="86" t="s">
        <v>53</v>
      </c>
      <c r="D45" s="87">
        <v>5.5500000000000001E-2</v>
      </c>
      <c r="E45" s="87">
        <v>5.5500000000000001E-2</v>
      </c>
      <c r="F45" s="87">
        <v>4.3232279999999998E-2</v>
      </c>
      <c r="G45" s="87">
        <v>3.552081E-2</v>
      </c>
      <c r="H45" s="87">
        <v>4.6812340000000001E-2</v>
      </c>
      <c r="I45" s="87">
        <v>4.4504220000000004E-2</v>
      </c>
      <c r="J45" s="87">
        <v>2.38418E-2</v>
      </c>
      <c r="K45" s="87">
        <v>1.1301690000000001E-2</v>
      </c>
      <c r="L45" s="87">
        <v>2.1210999999999997E-2</v>
      </c>
      <c r="M45" s="87">
        <v>2.1210999999999997E-2</v>
      </c>
      <c r="N45" s="87">
        <v>2.0811E-2</v>
      </c>
      <c r="O45" s="60"/>
      <c r="P45" s="87">
        <v>0</v>
      </c>
      <c r="Q45" s="87">
        <v>1.1301690000000001E-2</v>
      </c>
      <c r="R45" s="87">
        <v>0</v>
      </c>
      <c r="S45" s="83">
        <f t="shared" si="1"/>
        <v>1.1301690000000001E-2</v>
      </c>
      <c r="U45" s="87">
        <v>0</v>
      </c>
      <c r="V45" s="87">
        <v>2.1210999999999997E-2</v>
      </c>
      <c r="W45" s="87">
        <v>0</v>
      </c>
      <c r="X45" s="83">
        <f t="shared" si="2"/>
        <v>2.1210999999999997E-2</v>
      </c>
      <c r="Z45" s="87">
        <v>0</v>
      </c>
      <c r="AA45" s="87">
        <v>2.1210999999999997E-2</v>
      </c>
      <c r="AB45" s="87">
        <v>0</v>
      </c>
      <c r="AC45" s="83">
        <f t="shared" si="8"/>
        <v>2.1210999999999997E-2</v>
      </c>
      <c r="AE45" s="87">
        <v>0</v>
      </c>
      <c r="AF45" s="87">
        <v>2.0811E-2</v>
      </c>
      <c r="AG45" s="87">
        <v>0</v>
      </c>
      <c r="AH45" s="83">
        <f t="shared" si="9"/>
        <v>2.0811E-2</v>
      </c>
    </row>
    <row r="46" spans="1:34" ht="18.75" thickTop="1" thickBot="1">
      <c r="A46" s="80">
        <v>9</v>
      </c>
      <c r="B46" s="94" t="s">
        <v>120</v>
      </c>
      <c r="C46" s="81" t="s">
        <v>53</v>
      </c>
      <c r="D46" s="82">
        <v>29.23659945</v>
      </c>
      <c r="E46" s="82">
        <v>30.490000000000002</v>
      </c>
      <c r="F46" s="82">
        <v>4.1107470700000004</v>
      </c>
      <c r="G46" s="82">
        <v>4.9970591400000011</v>
      </c>
      <c r="H46" s="82">
        <v>4.6839621500000028</v>
      </c>
      <c r="I46" s="82">
        <v>61</v>
      </c>
      <c r="J46" s="82">
        <v>62</v>
      </c>
      <c r="K46" s="82">
        <v>62.755916479999996</v>
      </c>
      <c r="L46" s="82">
        <v>52.886191560000007</v>
      </c>
      <c r="M46" s="82">
        <v>12.609509260000001</v>
      </c>
      <c r="N46" s="82">
        <v>8.256003879999998</v>
      </c>
      <c r="P46" s="82">
        <v>71</v>
      </c>
      <c r="Q46" s="82">
        <v>5.5418714800000002</v>
      </c>
      <c r="R46" s="82">
        <v>13.785955</v>
      </c>
      <c r="S46" s="83">
        <f t="shared" si="1"/>
        <v>62.755916479999996</v>
      </c>
      <c r="U46" s="82">
        <v>70.150930000000002</v>
      </c>
      <c r="V46" s="82">
        <v>2.3094485599999999</v>
      </c>
      <c r="W46" s="82">
        <v>19.574187000000002</v>
      </c>
      <c r="X46" s="83">
        <f t="shared" si="2"/>
        <v>52.886191560000007</v>
      </c>
      <c r="Z46" s="82">
        <v>23.46</v>
      </c>
      <c r="AA46" s="82">
        <v>3.60747426</v>
      </c>
      <c r="AB46" s="82">
        <v>14.457965</v>
      </c>
      <c r="AC46" s="83">
        <f t="shared" si="8"/>
        <v>12.609509260000001</v>
      </c>
      <c r="AE46" s="82">
        <v>24.203888669999998</v>
      </c>
      <c r="AF46" s="82">
        <v>1.2803538799999998</v>
      </c>
      <c r="AG46" s="82">
        <v>17.22823867</v>
      </c>
      <c r="AH46" s="83">
        <f t="shared" si="9"/>
        <v>8.256003879999998</v>
      </c>
    </row>
    <row r="47" spans="1:34" ht="18.75" thickTop="1" thickBot="1">
      <c r="A47" s="80">
        <v>10</v>
      </c>
      <c r="B47" s="94" t="s">
        <v>121</v>
      </c>
      <c r="C47" s="81" t="s">
        <v>53</v>
      </c>
      <c r="D47" s="82">
        <v>165.30777610000001</v>
      </c>
      <c r="E47" s="82">
        <v>163.02768800000001</v>
      </c>
      <c r="F47" s="82">
        <v>143.87505904</v>
      </c>
      <c r="G47" s="82">
        <v>142.38654725000009</v>
      </c>
      <c r="H47" s="82">
        <v>119.80034456</v>
      </c>
      <c r="I47" s="82">
        <v>127.20746292999999</v>
      </c>
      <c r="J47" s="82">
        <v>124.97489188000003</v>
      </c>
      <c r="K47" s="82">
        <v>115.01948593</v>
      </c>
      <c r="L47" s="82">
        <v>100.95757735999997</v>
      </c>
      <c r="M47" s="82">
        <v>138.35432430000006</v>
      </c>
      <c r="N47" s="82">
        <v>119.30187476999998</v>
      </c>
      <c r="P47" s="83">
        <v>54</v>
      </c>
      <c r="Q47" s="82">
        <v>64.382936049999998</v>
      </c>
      <c r="R47" s="82">
        <f t="shared" ref="R47" si="17">R48+R53+R54+R59</f>
        <v>3.36345012</v>
      </c>
      <c r="S47" s="83">
        <f t="shared" si="1"/>
        <v>115.01948593</v>
      </c>
      <c r="U47" s="83">
        <v>49.150509999999997</v>
      </c>
      <c r="V47" s="82">
        <v>54.896158909999983</v>
      </c>
      <c r="W47" s="82">
        <v>3.0890915500000005</v>
      </c>
      <c r="X47" s="83">
        <f t="shared" si="2"/>
        <v>100.95757735999997</v>
      </c>
      <c r="Z47" s="83">
        <v>56.515924040000002</v>
      </c>
      <c r="AA47" s="82">
        <v>86.511362540000064</v>
      </c>
      <c r="AB47" s="82">
        <v>4.6729622799999975</v>
      </c>
      <c r="AC47" s="83">
        <f t="shared" si="8"/>
        <v>138.35432430000006</v>
      </c>
      <c r="AE47" s="83">
        <v>51.66804132</v>
      </c>
      <c r="AF47" s="82">
        <v>67.82151927999999</v>
      </c>
      <c r="AG47" s="82">
        <v>0.18768583</v>
      </c>
      <c r="AH47" s="83">
        <f t="shared" si="9"/>
        <v>119.30187476999998</v>
      </c>
    </row>
    <row r="48" spans="1:34" ht="18.75" thickTop="1" thickBot="1">
      <c r="A48" s="85">
        <v>10.1</v>
      </c>
      <c r="B48" s="95" t="s">
        <v>285</v>
      </c>
      <c r="C48" s="86" t="s">
        <v>53</v>
      </c>
      <c r="D48" s="87">
        <v>47.963021380000001</v>
      </c>
      <c r="E48" s="87">
        <v>54.509415000000004</v>
      </c>
      <c r="F48" s="87">
        <v>54.972407400000002</v>
      </c>
      <c r="G48" s="87">
        <v>44.625530440000091</v>
      </c>
      <c r="H48" s="87">
        <v>36.833316949999997</v>
      </c>
      <c r="I48" s="87">
        <v>39.09071196</v>
      </c>
      <c r="J48" s="87">
        <v>39.796203350000013</v>
      </c>
      <c r="K48" s="87">
        <v>34.967311119999991</v>
      </c>
      <c r="L48" s="87">
        <v>27.524913489999992</v>
      </c>
      <c r="M48" s="87">
        <v>52.990765570000057</v>
      </c>
      <c r="N48" s="87">
        <v>34.144128909999999</v>
      </c>
      <c r="P48" s="87">
        <v>0</v>
      </c>
      <c r="Q48" s="87">
        <v>35.357105119999993</v>
      </c>
      <c r="R48" s="87">
        <f>SUM(R49:R52)</f>
        <v>0.38979399999999997</v>
      </c>
      <c r="S48" s="83">
        <f t="shared" si="1"/>
        <v>34.967311119999991</v>
      </c>
      <c r="U48" s="87">
        <v>0</v>
      </c>
      <c r="V48" s="87">
        <v>27.776998139999993</v>
      </c>
      <c r="W48" s="87">
        <v>0.25208465000000002</v>
      </c>
      <c r="X48" s="83">
        <f t="shared" si="2"/>
        <v>27.524913489999992</v>
      </c>
      <c r="Z48" s="87">
        <v>4.0099240399999996</v>
      </c>
      <c r="AA48" s="87">
        <v>53.401262480000057</v>
      </c>
      <c r="AB48" s="87">
        <v>4.4204209499999978</v>
      </c>
      <c r="AC48" s="83">
        <f t="shared" si="8"/>
        <v>52.990765570000057</v>
      </c>
      <c r="AE48" s="87">
        <v>0.21507598</v>
      </c>
      <c r="AF48" s="87">
        <v>34.086246519999996</v>
      </c>
      <c r="AG48" s="87">
        <v>0.15719358999999999</v>
      </c>
      <c r="AH48" s="83">
        <f t="shared" si="9"/>
        <v>34.144128909999999</v>
      </c>
    </row>
    <row r="49" spans="1:34" ht="18.75" thickTop="1" thickBot="1">
      <c r="A49" s="70" t="s">
        <v>32</v>
      </c>
      <c r="B49" s="97" t="s">
        <v>241</v>
      </c>
      <c r="C49" s="71" t="s">
        <v>53</v>
      </c>
      <c r="D49" s="72">
        <v>8.4705770000000005</v>
      </c>
      <c r="E49" s="72">
        <v>8.6364000000000001</v>
      </c>
      <c r="F49" s="72">
        <v>8.0673292399999994</v>
      </c>
      <c r="G49" s="72">
        <v>7.1292749999999998</v>
      </c>
      <c r="H49" s="73">
        <v>6.1487093800000006</v>
      </c>
      <c r="I49" s="73">
        <v>5.5809910899999995</v>
      </c>
      <c r="J49" s="73">
        <v>5.9200210600000007</v>
      </c>
      <c r="K49" s="183">
        <v>4.38</v>
      </c>
      <c r="L49" s="183">
        <v>3.2790942599999995</v>
      </c>
      <c r="M49" s="183">
        <v>2.9074079900000003</v>
      </c>
      <c r="N49" s="183">
        <v>3.2294899800000003</v>
      </c>
      <c r="P49" s="73">
        <v>0</v>
      </c>
      <c r="Q49" s="73">
        <v>4.38</v>
      </c>
      <c r="R49" s="73">
        <v>0</v>
      </c>
      <c r="S49" s="83">
        <f t="shared" si="1"/>
        <v>4.38</v>
      </c>
      <c r="U49" s="73">
        <v>0</v>
      </c>
      <c r="V49" s="73">
        <v>3.2825072599999996</v>
      </c>
      <c r="W49" s="73">
        <v>3.4129999999999998E-3</v>
      </c>
      <c r="X49" s="83">
        <f t="shared" si="2"/>
        <v>3.2790942599999995</v>
      </c>
      <c r="Z49" s="183">
        <v>9.8879999999999992E-3</v>
      </c>
      <c r="AA49" s="183">
        <v>2.9074079900000003</v>
      </c>
      <c r="AB49" s="183">
        <v>9.8879999999999992E-3</v>
      </c>
      <c r="AC49" s="83">
        <f t="shared" si="8"/>
        <v>2.9074079900000003</v>
      </c>
      <c r="AE49" s="183">
        <v>0</v>
      </c>
      <c r="AF49" s="183">
        <v>3.2294899800000003</v>
      </c>
      <c r="AG49" s="183">
        <v>0</v>
      </c>
      <c r="AH49" s="83">
        <f t="shared" si="9"/>
        <v>3.2294899800000003</v>
      </c>
    </row>
    <row r="50" spans="1:34" ht="18.75" thickTop="1" thickBot="1">
      <c r="A50" s="70" t="s">
        <v>33</v>
      </c>
      <c r="B50" s="97" t="s">
        <v>256</v>
      </c>
      <c r="C50" s="71" t="s">
        <v>53</v>
      </c>
      <c r="D50" s="72">
        <v>0</v>
      </c>
      <c r="E50" s="72">
        <v>0</v>
      </c>
      <c r="F50" s="72">
        <v>1.6153289499999999</v>
      </c>
      <c r="G50" s="72">
        <v>1.6376336100000002</v>
      </c>
      <c r="H50" s="73">
        <v>0</v>
      </c>
      <c r="I50" s="73">
        <v>0</v>
      </c>
      <c r="J50" s="73">
        <v>0</v>
      </c>
      <c r="K50" s="183">
        <v>0</v>
      </c>
      <c r="L50" s="183">
        <v>0.30322850000000001</v>
      </c>
      <c r="M50" s="183">
        <v>0.5980630600000002</v>
      </c>
      <c r="N50" s="183">
        <v>0.17383202</v>
      </c>
      <c r="P50" s="73">
        <v>0</v>
      </c>
      <c r="Q50" s="73">
        <v>0</v>
      </c>
      <c r="R50" s="73">
        <v>0</v>
      </c>
      <c r="S50" s="83">
        <f t="shared" si="1"/>
        <v>0</v>
      </c>
      <c r="U50" s="73">
        <v>0</v>
      </c>
      <c r="V50" s="73">
        <v>0.30322850000000001</v>
      </c>
      <c r="W50" s="73">
        <v>0</v>
      </c>
      <c r="X50" s="83">
        <f t="shared" si="2"/>
        <v>0.30322850000000001</v>
      </c>
      <c r="Z50" s="183">
        <v>0</v>
      </c>
      <c r="AA50" s="183">
        <v>0.5980630600000002</v>
      </c>
      <c r="AB50" s="183">
        <v>0</v>
      </c>
      <c r="AC50" s="83">
        <f t="shared" si="8"/>
        <v>0.5980630600000002</v>
      </c>
      <c r="AE50" s="183">
        <v>0</v>
      </c>
      <c r="AF50" s="183">
        <v>0.17383202</v>
      </c>
      <c r="AG50" s="183">
        <v>0</v>
      </c>
      <c r="AH50" s="83">
        <f t="shared" si="9"/>
        <v>0.17383202</v>
      </c>
    </row>
    <row r="51" spans="1:34" ht="18.75" thickTop="1" thickBot="1">
      <c r="A51" s="70" t="s">
        <v>34</v>
      </c>
      <c r="B51" s="97" t="s">
        <v>257</v>
      </c>
      <c r="C51" s="71" t="s">
        <v>53</v>
      </c>
      <c r="D51" s="72">
        <v>19.793051730000002</v>
      </c>
      <c r="E51" s="72">
        <v>22.380863999999999</v>
      </c>
      <c r="F51" s="72">
        <v>22.97439001</v>
      </c>
      <c r="G51" s="72">
        <v>18.609756120000004</v>
      </c>
      <c r="H51" s="73">
        <v>16.241223189999999</v>
      </c>
      <c r="I51" s="73">
        <v>19.180307200000005</v>
      </c>
      <c r="J51" s="73">
        <v>17.751383820000008</v>
      </c>
      <c r="K51" s="73">
        <v>17.188205999999997</v>
      </c>
      <c r="L51" s="73">
        <v>13.759297439999996</v>
      </c>
      <c r="M51" s="183">
        <v>14.625523879999994</v>
      </c>
      <c r="N51" s="183">
        <v>16.158832589999999</v>
      </c>
      <c r="P51" s="73">
        <v>0</v>
      </c>
      <c r="Q51" s="73">
        <v>17.329999999999998</v>
      </c>
      <c r="R51" s="73">
        <v>0.141794</v>
      </c>
      <c r="S51" s="83">
        <f t="shared" si="1"/>
        <v>17.188205999999997</v>
      </c>
      <c r="U51" s="73">
        <v>0</v>
      </c>
      <c r="V51" s="73">
        <v>13.759969089999995</v>
      </c>
      <c r="W51" s="73">
        <v>6.7164999999999998E-4</v>
      </c>
      <c r="X51" s="83">
        <f t="shared" si="2"/>
        <v>13.759297439999996</v>
      </c>
      <c r="Z51" s="183">
        <v>3.6040000000000001E-5</v>
      </c>
      <c r="AA51" s="183">
        <v>14.625523879999994</v>
      </c>
      <c r="AB51" s="183">
        <v>3.6040000000000001E-5</v>
      </c>
      <c r="AC51" s="83">
        <f t="shared" si="8"/>
        <v>14.625523879999994</v>
      </c>
      <c r="AE51" s="183">
        <v>0.21507598</v>
      </c>
      <c r="AF51" s="183">
        <v>16.100950199999996</v>
      </c>
      <c r="AG51" s="183">
        <v>0.15719358999999999</v>
      </c>
      <c r="AH51" s="83">
        <f t="shared" si="9"/>
        <v>16.158832589999999</v>
      </c>
    </row>
    <row r="52" spans="1:34" ht="18.75" thickTop="1" thickBot="1">
      <c r="A52" s="70" t="s">
        <v>35</v>
      </c>
      <c r="B52" s="97" t="s">
        <v>258</v>
      </c>
      <c r="C52" s="71" t="s">
        <v>53</v>
      </c>
      <c r="D52" s="72">
        <v>19.69939265</v>
      </c>
      <c r="E52" s="72">
        <v>23.492150999999996</v>
      </c>
      <c r="F52" s="72">
        <v>22.315359199999996</v>
      </c>
      <c r="G52" s="72">
        <v>16.796665070000003</v>
      </c>
      <c r="H52" s="73">
        <v>14.443384379999994</v>
      </c>
      <c r="I52" s="73">
        <v>14.329413669999994</v>
      </c>
      <c r="J52" s="73">
        <v>16.124798470000002</v>
      </c>
      <c r="K52" s="73">
        <v>13.457104819999994</v>
      </c>
      <c r="L52" s="73">
        <v>10.18329329</v>
      </c>
      <c r="M52" s="183">
        <v>34.859770640000065</v>
      </c>
      <c r="N52" s="183">
        <v>14.58197432</v>
      </c>
      <c r="P52" s="73">
        <v>0</v>
      </c>
      <c r="Q52" s="73">
        <v>13.705104819999994</v>
      </c>
      <c r="R52" s="73">
        <v>0.248</v>
      </c>
      <c r="S52" s="83">
        <f t="shared" si="1"/>
        <v>13.457104819999994</v>
      </c>
      <c r="U52" s="73">
        <v>0</v>
      </c>
      <c r="V52" s="73">
        <v>10.431293289999999</v>
      </c>
      <c r="W52" s="73">
        <v>0.248</v>
      </c>
      <c r="X52" s="83">
        <f t="shared" si="2"/>
        <v>10.18329329</v>
      </c>
      <c r="Z52" s="183">
        <v>4</v>
      </c>
      <c r="AA52" s="183">
        <v>35.270267550000064</v>
      </c>
      <c r="AB52" s="183">
        <v>4.4104969099999982</v>
      </c>
      <c r="AC52" s="83">
        <f t="shared" si="8"/>
        <v>34.859770640000065</v>
      </c>
      <c r="AE52" s="183">
        <v>0</v>
      </c>
      <c r="AF52" s="183">
        <v>14.58197432</v>
      </c>
      <c r="AG52" s="183">
        <v>0</v>
      </c>
      <c r="AH52" s="83">
        <f t="shared" si="9"/>
        <v>14.58197432</v>
      </c>
    </row>
    <row r="53" spans="1:34" ht="18.75" thickTop="1" thickBot="1">
      <c r="A53" s="85">
        <v>10.199999999999999</v>
      </c>
      <c r="B53" s="95" t="s">
        <v>135</v>
      </c>
      <c r="C53" s="86" t="s">
        <v>53</v>
      </c>
      <c r="D53" s="87">
        <v>33.126983249999995</v>
      </c>
      <c r="E53" s="87">
        <v>30.167373000000001</v>
      </c>
      <c r="F53" s="87">
        <v>21.990152469999998</v>
      </c>
      <c r="G53" s="87">
        <v>19.141999999999999</v>
      </c>
      <c r="H53" s="87">
        <v>24.294790089999999</v>
      </c>
      <c r="I53" s="87">
        <v>25.135563750000003</v>
      </c>
      <c r="J53" s="87">
        <v>25.588699369999997</v>
      </c>
      <c r="K53" s="87">
        <v>19.628942749999997</v>
      </c>
      <c r="L53" s="87">
        <v>18.868018459999998</v>
      </c>
      <c r="M53" s="87">
        <v>20.507572419999999</v>
      </c>
      <c r="N53" s="87">
        <v>21.45857037</v>
      </c>
      <c r="P53" s="87">
        <v>21.646999999999998</v>
      </c>
      <c r="Q53" s="87">
        <v>0.8462917499999999</v>
      </c>
      <c r="R53" s="87">
        <v>2.8643490000000003</v>
      </c>
      <c r="S53" s="83">
        <f t="shared" si="1"/>
        <v>19.628942749999997</v>
      </c>
      <c r="U53" s="87">
        <v>20</v>
      </c>
      <c r="V53" s="87">
        <v>1.44772952</v>
      </c>
      <c r="W53" s="87">
        <v>2.5797110600000002</v>
      </c>
      <c r="X53" s="83">
        <f t="shared" si="2"/>
        <v>18.868018459999998</v>
      </c>
      <c r="Z53" s="87">
        <v>18.506</v>
      </c>
      <c r="AA53" s="87">
        <v>2.00157242</v>
      </c>
      <c r="AB53" s="87">
        <v>0</v>
      </c>
      <c r="AC53" s="83">
        <f t="shared" si="8"/>
        <v>20.507572419999999</v>
      </c>
      <c r="AE53" s="87">
        <v>18.387</v>
      </c>
      <c r="AF53" s="87">
        <v>3.0872709399999994</v>
      </c>
      <c r="AG53" s="87">
        <v>1.570057E-2</v>
      </c>
      <c r="AH53" s="83">
        <f t="shared" si="9"/>
        <v>21.45857037</v>
      </c>
    </row>
    <row r="54" spans="1:34" ht="18.75" thickTop="1" thickBot="1">
      <c r="A54" s="85">
        <v>10.3</v>
      </c>
      <c r="B54" s="95" t="s">
        <v>136</v>
      </c>
      <c r="C54" s="86" t="s">
        <v>53</v>
      </c>
      <c r="D54" s="87">
        <v>75.681810600000006</v>
      </c>
      <c r="E54" s="87">
        <v>70.385900000000007</v>
      </c>
      <c r="F54" s="87">
        <v>60.311073359999995</v>
      </c>
      <c r="G54" s="87">
        <v>72.204266950000004</v>
      </c>
      <c r="H54" s="87">
        <v>58.144326469999996</v>
      </c>
      <c r="I54" s="87">
        <v>62.503548670000008</v>
      </c>
      <c r="J54" s="87">
        <v>59.116098409999999</v>
      </c>
      <c r="K54" s="87">
        <v>59.664583720000003</v>
      </c>
      <c r="L54" s="87">
        <v>54.241183869999993</v>
      </c>
      <c r="M54" s="87">
        <v>64.507703469999996</v>
      </c>
      <c r="N54" s="87">
        <v>63.345693030000007</v>
      </c>
      <c r="O54" s="46"/>
      <c r="P54" s="87">
        <v>32</v>
      </c>
      <c r="Q54" s="87">
        <v>27.77385571000001</v>
      </c>
      <c r="R54" s="87">
        <f t="shared" ref="R54" si="18">SUM(R55:R58)</f>
        <v>0.10927198999999997</v>
      </c>
      <c r="S54" s="83">
        <f t="shared" si="1"/>
        <v>59.664583720000003</v>
      </c>
      <c r="U54" s="87">
        <v>29.150510000000001</v>
      </c>
      <c r="V54" s="87">
        <v>25.343946199999994</v>
      </c>
      <c r="W54" s="87">
        <v>0.25327232999999999</v>
      </c>
      <c r="X54" s="83">
        <f t="shared" si="2"/>
        <v>54.241183869999993</v>
      </c>
      <c r="Z54" s="87">
        <v>34</v>
      </c>
      <c r="AA54" s="87">
        <v>30.751711770000004</v>
      </c>
      <c r="AB54" s="87">
        <v>0.24400829999999998</v>
      </c>
      <c r="AC54" s="83">
        <f t="shared" si="8"/>
        <v>64.507703469999996</v>
      </c>
      <c r="AE54" s="87">
        <v>33.057898000000002</v>
      </c>
      <c r="AF54" s="87">
        <v>30.294519360000006</v>
      </c>
      <c r="AG54" s="87">
        <v>6.7243300000000006E-3</v>
      </c>
      <c r="AH54" s="83">
        <f t="shared" si="9"/>
        <v>63.345693030000007</v>
      </c>
    </row>
    <row r="55" spans="1:34" ht="18.75" thickTop="1" thickBot="1">
      <c r="A55" s="70" t="s">
        <v>36</v>
      </c>
      <c r="B55" s="97" t="s">
        <v>320</v>
      </c>
      <c r="C55" s="71" t="s">
        <v>53</v>
      </c>
      <c r="D55" s="72">
        <v>26.784682</v>
      </c>
      <c r="E55" s="72">
        <v>21.186900000000001</v>
      </c>
      <c r="F55" s="72">
        <v>18.375103649999996</v>
      </c>
      <c r="G55" s="72">
        <v>18.016266949999999</v>
      </c>
      <c r="H55" s="73">
        <v>11.387622210000002</v>
      </c>
      <c r="I55" s="73">
        <v>25.752259590000005</v>
      </c>
      <c r="J55" s="73">
        <v>23.058312200000003</v>
      </c>
      <c r="K55" s="73">
        <v>24.880944920000005</v>
      </c>
      <c r="L55" s="73">
        <v>21.175024029999999</v>
      </c>
      <c r="M55" s="183">
        <v>19.406645129999994</v>
      </c>
      <c r="N55" s="183">
        <v>18.738525619999997</v>
      </c>
      <c r="P55" s="73">
        <v>7.1669999999999998</v>
      </c>
      <c r="Q55" s="73">
        <v>17.713944920000007</v>
      </c>
      <c r="R55" s="73">
        <v>0</v>
      </c>
      <c r="S55" s="83">
        <f t="shared" si="1"/>
        <v>24.880944920000005</v>
      </c>
      <c r="U55" s="73">
        <v>6.6429999999999998</v>
      </c>
      <c r="V55" s="73">
        <v>14.532024030000001</v>
      </c>
      <c r="W55" s="73">
        <v>0</v>
      </c>
      <c r="X55" s="83">
        <f t="shared" si="2"/>
        <v>21.175024029999999</v>
      </c>
      <c r="Z55" s="183">
        <v>0</v>
      </c>
      <c r="AA55" s="183">
        <v>19.406645129999994</v>
      </c>
      <c r="AB55" s="183">
        <v>0</v>
      </c>
      <c r="AC55" s="83">
        <f t="shared" si="8"/>
        <v>19.406645129999994</v>
      </c>
      <c r="AE55" s="183">
        <v>0</v>
      </c>
      <c r="AF55" s="183">
        <v>18.738525619999997</v>
      </c>
      <c r="AG55" s="183">
        <v>0</v>
      </c>
      <c r="AH55" s="83">
        <f t="shared" si="9"/>
        <v>18.738525619999997</v>
      </c>
    </row>
    <row r="56" spans="1:34" ht="18.75" thickTop="1" thickBot="1">
      <c r="A56" s="70" t="s">
        <v>37</v>
      </c>
      <c r="B56" s="97" t="s">
        <v>262</v>
      </c>
      <c r="C56" s="71" t="s">
        <v>53</v>
      </c>
      <c r="D56" s="72">
        <v>40.563380000000002</v>
      </c>
      <c r="E56" s="72">
        <v>40.869999999999997</v>
      </c>
      <c r="F56" s="72">
        <v>33.091149590000001</v>
      </c>
      <c r="G56" s="72">
        <v>43.635000000000005</v>
      </c>
      <c r="H56" s="73">
        <v>40.65419224</v>
      </c>
      <c r="I56" s="73">
        <v>32.503849210000006</v>
      </c>
      <c r="J56" s="73">
        <v>32.013437949999989</v>
      </c>
      <c r="K56" s="73">
        <v>30.88</v>
      </c>
      <c r="L56" s="73">
        <v>28.63519891999999</v>
      </c>
      <c r="M56" s="183">
        <v>39.40094672</v>
      </c>
      <c r="N56" s="183">
        <v>38.730798460000003</v>
      </c>
      <c r="P56" s="73">
        <v>25</v>
      </c>
      <c r="Q56" s="73">
        <v>5.88</v>
      </c>
      <c r="R56" s="73">
        <v>0</v>
      </c>
      <c r="S56" s="83">
        <f t="shared" si="1"/>
        <v>30.88</v>
      </c>
      <c r="U56" s="73">
        <v>22.50751</v>
      </c>
      <c r="V56" s="73">
        <v>6.222023449999992</v>
      </c>
      <c r="W56" s="73">
        <v>9.433453E-2</v>
      </c>
      <c r="X56" s="83">
        <f t="shared" si="2"/>
        <v>28.63519891999999</v>
      </c>
      <c r="Z56" s="183">
        <v>34</v>
      </c>
      <c r="AA56" s="183">
        <v>5.4009467199999985</v>
      </c>
      <c r="AB56" s="183">
        <v>0</v>
      </c>
      <c r="AC56" s="83">
        <f t="shared" si="8"/>
        <v>39.40094672</v>
      </c>
      <c r="AE56" s="183">
        <v>33.057898000000002</v>
      </c>
      <c r="AF56" s="183">
        <v>5.6736447900000053</v>
      </c>
      <c r="AG56" s="183">
        <v>7.4433000000000008E-4</v>
      </c>
      <c r="AH56" s="83">
        <f t="shared" si="9"/>
        <v>38.730798460000003</v>
      </c>
    </row>
    <row r="57" spans="1:34" ht="18.75" thickTop="1" thickBot="1">
      <c r="A57" s="70" t="s">
        <v>38</v>
      </c>
      <c r="B57" s="97" t="s">
        <v>294</v>
      </c>
      <c r="C57" s="71" t="s">
        <v>53</v>
      </c>
      <c r="D57" s="72">
        <v>6.0075057599999999</v>
      </c>
      <c r="E57" s="72">
        <v>5.9119999999999999</v>
      </c>
      <c r="F57" s="72">
        <v>6.6818674399999995</v>
      </c>
      <c r="G57" s="72">
        <v>8.3574024500000004</v>
      </c>
      <c r="H57" s="73">
        <v>5.7230796799999997</v>
      </c>
      <c r="I57" s="73">
        <v>3.8540788400000001</v>
      </c>
      <c r="J57" s="73">
        <v>3.7933628500000025</v>
      </c>
      <c r="K57" s="73">
        <v>3.8407280100000003</v>
      </c>
      <c r="L57" s="73">
        <v>4.3124762500000022</v>
      </c>
      <c r="M57" s="183">
        <v>5.6132251900000085</v>
      </c>
      <c r="N57" s="183">
        <v>5.6763982700000035</v>
      </c>
      <c r="P57" s="73">
        <v>0</v>
      </c>
      <c r="Q57" s="73">
        <v>3.95</v>
      </c>
      <c r="R57" s="73">
        <v>0.10927198999999997</v>
      </c>
      <c r="S57" s="83">
        <f t="shared" si="1"/>
        <v>3.8407280100000003</v>
      </c>
      <c r="U57" s="73">
        <v>0</v>
      </c>
      <c r="V57" s="73">
        <v>4.4714140500000026</v>
      </c>
      <c r="W57" s="73">
        <v>0.15893779999999999</v>
      </c>
      <c r="X57" s="83">
        <f t="shared" si="2"/>
        <v>4.3124762500000022</v>
      </c>
      <c r="Z57" s="183">
        <v>0</v>
      </c>
      <c r="AA57" s="183">
        <v>5.8572334900000085</v>
      </c>
      <c r="AB57" s="183">
        <v>0.24400829999999998</v>
      </c>
      <c r="AC57" s="83">
        <f t="shared" si="8"/>
        <v>5.6132251900000085</v>
      </c>
      <c r="AE57" s="183">
        <v>0</v>
      </c>
      <c r="AF57" s="183">
        <v>5.6823782700000036</v>
      </c>
      <c r="AG57" s="183">
        <v>5.9800000000000001E-3</v>
      </c>
      <c r="AH57" s="83">
        <f t="shared" si="9"/>
        <v>5.6763982700000035</v>
      </c>
    </row>
    <row r="58" spans="1:34" ht="33" thickTop="1" thickBot="1">
      <c r="A58" s="70" t="s">
        <v>39</v>
      </c>
      <c r="B58" s="98" t="s">
        <v>302</v>
      </c>
      <c r="C58" s="71" t="s">
        <v>53</v>
      </c>
      <c r="D58" s="72">
        <v>2.3262428399999999</v>
      </c>
      <c r="E58" s="72">
        <v>2.4169999999999998</v>
      </c>
      <c r="F58" s="72">
        <v>2.1629526800000001</v>
      </c>
      <c r="G58" s="72">
        <v>2.109</v>
      </c>
      <c r="H58" s="72">
        <v>0.37943234000000003</v>
      </c>
      <c r="I58" s="72">
        <v>0.39336102999999994</v>
      </c>
      <c r="J58" s="72">
        <v>0.25098541000000002</v>
      </c>
      <c r="K58" s="72">
        <v>0.23466571</v>
      </c>
      <c r="L58" s="72">
        <v>0.10673982999999999</v>
      </c>
      <c r="M58" s="72">
        <v>0.10673982999999999</v>
      </c>
      <c r="N58" s="72">
        <v>0.19997067999999998</v>
      </c>
      <c r="P58" s="73">
        <v>0</v>
      </c>
      <c r="Q58" s="72">
        <v>0.23466571</v>
      </c>
      <c r="R58" s="159">
        <v>0</v>
      </c>
      <c r="S58" s="83">
        <f t="shared" si="1"/>
        <v>0.23466571</v>
      </c>
      <c r="U58" s="73">
        <v>0</v>
      </c>
      <c r="V58" s="72">
        <v>0.10673982999999999</v>
      </c>
      <c r="W58" s="159">
        <v>0</v>
      </c>
      <c r="X58" s="83">
        <f t="shared" si="2"/>
        <v>0.10673982999999999</v>
      </c>
      <c r="Z58" s="183">
        <v>0</v>
      </c>
      <c r="AA58" s="72">
        <v>0.10673982999999999</v>
      </c>
      <c r="AB58" s="159">
        <v>0</v>
      </c>
      <c r="AC58" s="83">
        <f t="shared" si="8"/>
        <v>0.10673982999999999</v>
      </c>
      <c r="AE58" s="183">
        <v>0</v>
      </c>
      <c r="AF58" s="72">
        <v>0.19997067999999998</v>
      </c>
      <c r="AG58" s="159">
        <v>0</v>
      </c>
      <c r="AH58" s="83">
        <f t="shared" si="9"/>
        <v>0.19997067999999998</v>
      </c>
    </row>
    <row r="59" spans="1:34" ht="33" thickTop="1" thickBot="1">
      <c r="A59" s="85">
        <v>10.4</v>
      </c>
      <c r="B59" s="95" t="s">
        <v>247</v>
      </c>
      <c r="C59" s="86" t="s">
        <v>53</v>
      </c>
      <c r="D59" s="87">
        <v>8.5359608700000003</v>
      </c>
      <c r="E59" s="87">
        <v>7.9650000000000007</v>
      </c>
      <c r="F59" s="87">
        <v>6.6014258100000003</v>
      </c>
      <c r="G59" s="87">
        <v>6.4530470000000006</v>
      </c>
      <c r="H59" s="87">
        <v>0.52791104999999994</v>
      </c>
      <c r="I59" s="87">
        <v>0.47763854999999994</v>
      </c>
      <c r="J59" s="87">
        <v>0.47389075000000003</v>
      </c>
      <c r="K59" s="87">
        <v>0.40564833999999972</v>
      </c>
      <c r="L59" s="87">
        <v>0.31720028999999983</v>
      </c>
      <c r="M59" s="87">
        <v>0.32122379999999984</v>
      </c>
      <c r="N59" s="87">
        <v>0.35348246000000033</v>
      </c>
      <c r="P59" s="87">
        <v>0</v>
      </c>
      <c r="Q59" s="87">
        <v>0.40568346999999971</v>
      </c>
      <c r="R59" s="87">
        <v>3.5130000000000004E-5</v>
      </c>
      <c r="S59" s="83">
        <f t="shared" si="1"/>
        <v>0.40564833999999972</v>
      </c>
      <c r="U59" s="87">
        <v>0</v>
      </c>
      <c r="V59" s="87">
        <v>0.32122379999999984</v>
      </c>
      <c r="W59" s="87">
        <v>4.0235100000000001E-3</v>
      </c>
      <c r="X59" s="83">
        <f t="shared" si="2"/>
        <v>0.31720028999999983</v>
      </c>
      <c r="Z59" s="87">
        <v>8.5330300000000005E-3</v>
      </c>
      <c r="AA59" s="87">
        <v>0.32122379999999984</v>
      </c>
      <c r="AB59" s="87">
        <v>8.5330300000000005E-3</v>
      </c>
      <c r="AC59" s="83">
        <f t="shared" si="8"/>
        <v>0.32122379999999984</v>
      </c>
      <c r="AE59" s="87">
        <v>8.0673399999999992E-3</v>
      </c>
      <c r="AF59" s="87">
        <v>0.35348246000000033</v>
      </c>
      <c r="AG59" s="87">
        <v>8.0673399999999992E-3</v>
      </c>
      <c r="AH59" s="83">
        <f t="shared" si="9"/>
        <v>0.35348246000000033</v>
      </c>
    </row>
    <row r="60" spans="1:34" ht="13.5" thickTop="1"/>
    <row r="61" spans="1:34" ht="15.75">
      <c r="B61" s="99" t="s">
        <v>181</v>
      </c>
    </row>
    <row r="62" spans="1:34" ht="15.75">
      <c r="B62" s="99" t="s">
        <v>158</v>
      </c>
    </row>
    <row r="63" spans="1:34" ht="15.75">
      <c r="B63" s="100" t="s">
        <v>159</v>
      </c>
    </row>
  </sheetData>
  <mergeCells count="4">
    <mergeCell ref="C6:O6"/>
    <mergeCell ref="F8:O8"/>
    <mergeCell ref="A11:N11"/>
    <mergeCell ref="AK11:AM11"/>
  </mergeCells>
  <pageMargins left="0.7" right="0.7" top="0.75" bottom="0.75" header="0.3" footer="0.3"/>
  <pageSetup orientation="portrait" horizontalDpi="0" verticalDpi="0" r:id="rId1"/>
  <ignoredErrors>
    <ignoredError sqref="K14 U14:W14" formulaRange="1"/>
    <ignoredError sqref="N2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97"/>
  <sheetViews>
    <sheetView showGridLines="0" topLeftCell="A7" zoomScale="50" zoomScaleNormal="50" workbookViewId="0">
      <pane xSplit="2" topLeftCell="U1" activePane="topRight" state="frozen"/>
      <selection pane="topRight" activeCell="AC30" sqref="AC30"/>
    </sheetView>
  </sheetViews>
  <sheetFormatPr baseColWidth="10" defaultRowHeight="12.75"/>
  <cols>
    <col min="1" max="1" width="18.140625" style="157" customWidth="1"/>
    <col min="2" max="2" width="107.7109375" style="157" customWidth="1"/>
    <col min="3" max="3" width="20.7109375" customWidth="1"/>
    <col min="4" max="15" width="11.42578125" customWidth="1"/>
    <col min="16" max="20" width="10.7109375" customWidth="1"/>
    <col min="26" max="26" width="10.42578125" bestFit="1" customWidth="1"/>
  </cols>
  <sheetData>
    <row r="1" spans="1:28" ht="15.75">
      <c r="A1" s="135"/>
      <c r="B1" s="136"/>
      <c r="C1" s="3"/>
      <c r="D1" s="3"/>
      <c r="E1" s="3"/>
      <c r="F1" s="3"/>
      <c r="G1" s="3"/>
      <c r="H1" s="2"/>
      <c r="I1" s="2"/>
    </row>
    <row r="2" spans="1:28">
      <c r="A2" s="137"/>
      <c r="B2" s="138"/>
      <c r="C2" s="2"/>
      <c r="D2" s="2"/>
      <c r="E2" s="2"/>
      <c r="F2" s="2"/>
      <c r="G2" s="2"/>
      <c r="H2" s="1">
        <v>51</v>
      </c>
      <c r="I2" s="1">
        <v>51</v>
      </c>
    </row>
    <row r="3" spans="1:28">
      <c r="A3" s="137"/>
      <c r="B3" s="138"/>
      <c r="C3" s="2"/>
      <c r="D3" s="2"/>
      <c r="E3" s="2"/>
      <c r="F3" s="2"/>
      <c r="G3" s="2"/>
      <c r="H3" s="1"/>
      <c r="I3" s="1"/>
    </row>
    <row r="4" spans="1:28">
      <c r="A4" s="137"/>
      <c r="B4" s="138"/>
      <c r="C4" s="2"/>
      <c r="D4" s="2"/>
      <c r="E4" s="2"/>
      <c r="F4" s="2"/>
      <c r="G4" s="2"/>
      <c r="H4" s="1"/>
      <c r="I4" s="1"/>
    </row>
    <row r="5" spans="1:28">
      <c r="A5" s="137"/>
      <c r="B5" s="138"/>
      <c r="C5" s="2"/>
      <c r="D5" s="2"/>
      <c r="E5" s="2"/>
      <c r="F5" s="2"/>
      <c r="G5" s="2"/>
      <c r="H5" s="1"/>
      <c r="I5" s="1"/>
    </row>
    <row r="6" spans="1:28">
      <c r="A6" s="137"/>
      <c r="B6" s="138"/>
      <c r="C6" s="2"/>
      <c r="D6" s="2"/>
      <c r="E6" s="2"/>
      <c r="F6" s="2"/>
      <c r="G6" s="2"/>
      <c r="H6" s="1"/>
      <c r="I6" s="1"/>
    </row>
    <row r="7" spans="1:28">
      <c r="A7" s="137"/>
      <c r="B7" s="138"/>
      <c r="C7" s="2"/>
      <c r="D7" s="2"/>
      <c r="E7" s="2"/>
      <c r="F7" s="2"/>
      <c r="G7" s="2"/>
      <c r="H7" s="1"/>
      <c r="I7" s="1"/>
    </row>
    <row r="8" spans="1:28" ht="36">
      <c r="A8" s="137"/>
      <c r="B8" s="138"/>
      <c r="C8" s="24"/>
      <c r="D8" s="25"/>
      <c r="E8" s="25"/>
      <c r="F8" s="25"/>
      <c r="G8" s="25"/>
      <c r="H8" s="26"/>
      <c r="I8" s="26"/>
      <c r="J8" s="27"/>
      <c r="K8" s="27"/>
      <c r="L8" s="28"/>
      <c r="M8" s="28"/>
    </row>
    <row r="9" spans="1:28">
      <c r="A9" s="137"/>
      <c r="B9" s="138"/>
      <c r="C9" s="2"/>
      <c r="D9" s="2"/>
      <c r="E9" s="2"/>
      <c r="F9" s="2"/>
      <c r="G9" s="2"/>
      <c r="H9" s="1"/>
      <c r="I9" s="1"/>
    </row>
    <row r="10" spans="1:28" ht="23.25">
      <c r="A10" s="137"/>
      <c r="B10" s="138"/>
      <c r="C10" s="2"/>
      <c r="D10" s="2"/>
      <c r="F10" s="23"/>
      <c r="G10" s="23"/>
      <c r="H10" s="1"/>
      <c r="I10" s="1"/>
    </row>
    <row r="11" spans="1:28">
      <c r="A11" s="137"/>
      <c r="B11" s="138"/>
      <c r="C11" s="2"/>
      <c r="D11" s="2"/>
      <c r="E11" s="2"/>
      <c r="F11" s="2"/>
      <c r="G11" s="2"/>
      <c r="H11" s="1"/>
      <c r="I11" s="1"/>
    </row>
    <row r="12" spans="1:28" ht="12.75" customHeight="1">
      <c r="A12" s="137"/>
      <c r="B12" s="138"/>
      <c r="C12" s="2"/>
      <c r="D12" s="2"/>
      <c r="E12" s="2"/>
      <c r="F12" s="2"/>
      <c r="G12" s="2"/>
      <c r="H12" s="1"/>
      <c r="I12" s="1"/>
    </row>
    <row r="13" spans="1:28" ht="35.25" customHeight="1">
      <c r="A13" s="218" t="s">
        <v>114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</row>
    <row r="14" spans="1:28" ht="40.15" customHeight="1">
      <c r="A14" s="139" t="s">
        <v>101</v>
      </c>
      <c r="B14" s="139" t="s">
        <v>102</v>
      </c>
      <c r="C14" s="89" t="s">
        <v>103</v>
      </c>
      <c r="D14" s="22">
        <v>2000</v>
      </c>
      <c r="E14" s="22">
        <v>2001</v>
      </c>
      <c r="F14" s="22">
        <v>2002</v>
      </c>
      <c r="G14" s="22">
        <v>2003</v>
      </c>
      <c r="H14" s="15">
        <v>2004</v>
      </c>
      <c r="I14" s="15">
        <v>2005</v>
      </c>
      <c r="J14" s="22">
        <v>2006</v>
      </c>
      <c r="K14" s="22">
        <v>2007</v>
      </c>
      <c r="L14" s="22">
        <v>2008</v>
      </c>
      <c r="M14" s="22">
        <v>2009</v>
      </c>
      <c r="N14" s="22">
        <v>2010</v>
      </c>
      <c r="O14" s="22">
        <v>2011</v>
      </c>
      <c r="P14" s="22">
        <v>2012</v>
      </c>
      <c r="Q14" s="22">
        <v>2013</v>
      </c>
      <c r="R14" s="30">
        <v>2014</v>
      </c>
      <c r="S14" s="30">
        <v>2015</v>
      </c>
      <c r="T14" s="30">
        <v>2016</v>
      </c>
      <c r="U14" s="133">
        <v>2017</v>
      </c>
      <c r="V14" s="30">
        <v>2018</v>
      </c>
      <c r="W14" s="133">
        <v>2019</v>
      </c>
      <c r="X14" s="30">
        <v>2020</v>
      </c>
      <c r="Y14" s="133">
        <v>2021</v>
      </c>
      <c r="Z14" s="133">
        <v>2022</v>
      </c>
    </row>
    <row r="15" spans="1:28" ht="40.15" customHeight="1" thickBot="1">
      <c r="A15" s="140">
        <v>1</v>
      </c>
      <c r="B15" s="141" t="s">
        <v>106</v>
      </c>
      <c r="C15" s="81" t="s">
        <v>40</v>
      </c>
      <c r="D15" s="200">
        <f>SUM(D16:D17)</f>
        <v>3498.8235532004369</v>
      </c>
      <c r="E15" s="200">
        <f t="shared" ref="E15:R15" si="0">SUM(E16:E17)</f>
        <v>3536.05167419998</v>
      </c>
      <c r="F15" s="200">
        <f t="shared" si="0"/>
        <v>3794.2060005941366</v>
      </c>
      <c r="G15" s="201">
        <f t="shared" si="0"/>
        <v>4175.492465594898</v>
      </c>
      <c r="H15" s="201">
        <f t="shared" si="0"/>
        <v>5387.6909205344809</v>
      </c>
      <c r="I15" s="201">
        <f t="shared" si="0"/>
        <v>5919.7933930811269</v>
      </c>
      <c r="J15" s="200">
        <f t="shared" si="0"/>
        <v>6706.3880168108499</v>
      </c>
      <c r="K15" s="200">
        <f t="shared" si="0"/>
        <v>7645.6597722964689</v>
      </c>
      <c r="L15" s="200">
        <f t="shared" si="0"/>
        <v>9598.6383255979435</v>
      </c>
      <c r="M15" s="201">
        <f t="shared" si="0"/>
        <v>8576.6161378103916</v>
      </c>
      <c r="N15" s="201">
        <f t="shared" si="0"/>
        <v>12005.424173024516</v>
      </c>
      <c r="O15" s="201">
        <f t="shared" si="0"/>
        <v>10745.306002844027</v>
      </c>
      <c r="P15" s="200">
        <f t="shared" si="0"/>
        <v>9559.8880356919926</v>
      </c>
      <c r="Q15" s="200">
        <f t="shared" si="0"/>
        <v>10576.549566147023</v>
      </c>
      <c r="R15" s="200">
        <f t="shared" si="0"/>
        <v>12418.457825533242</v>
      </c>
      <c r="S15" s="200">
        <f>SUM(S16:S17)</f>
        <v>13851.678679245282</v>
      </c>
      <c r="T15" s="200">
        <f>SUM(T16:T17)</f>
        <v>14082.690571428571</v>
      </c>
      <c r="U15" s="200">
        <f t="shared" ref="U15:W17" si="1">+U18+U21</f>
        <v>15895.767963457878</v>
      </c>
      <c r="V15" s="200">
        <f t="shared" si="1"/>
        <v>16987.261282386866</v>
      </c>
      <c r="W15" s="200">
        <f t="shared" si="1"/>
        <v>16034</v>
      </c>
      <c r="X15" s="200">
        <f t="shared" ref="X15:Z17" si="2">+X18+X21</f>
        <v>17975.031457458637</v>
      </c>
      <c r="Y15" s="200">
        <f t="shared" si="2"/>
        <v>18079.178041719999</v>
      </c>
      <c r="Z15" s="200">
        <f t="shared" si="2"/>
        <v>17006.010270504688</v>
      </c>
      <c r="AA15" s="210"/>
      <c r="AB15" s="210"/>
    </row>
    <row r="16" spans="1:28" ht="40.15" customHeight="1" thickTop="1" thickBot="1">
      <c r="A16" s="140" t="s">
        <v>2</v>
      </c>
      <c r="B16" s="141" t="s">
        <v>137</v>
      </c>
      <c r="C16" s="81" t="s">
        <v>71</v>
      </c>
      <c r="D16" s="200">
        <f>+D19+D22</f>
        <v>263</v>
      </c>
      <c r="E16" s="200">
        <f t="shared" ref="E16:S16" si="3">+E19+E22</f>
        <v>263</v>
      </c>
      <c r="F16" s="200">
        <f t="shared" si="3"/>
        <v>304</v>
      </c>
      <c r="G16" s="201">
        <f t="shared" si="3"/>
        <v>177</v>
      </c>
      <c r="H16" s="201">
        <f t="shared" si="3"/>
        <v>213</v>
      </c>
      <c r="I16" s="201">
        <f t="shared" si="3"/>
        <v>221</v>
      </c>
      <c r="J16" s="200">
        <f t="shared" si="3"/>
        <v>354</v>
      </c>
      <c r="K16" s="200">
        <f t="shared" si="3"/>
        <v>519</v>
      </c>
      <c r="L16" s="200">
        <f t="shared" si="3"/>
        <v>507</v>
      </c>
      <c r="M16" s="201">
        <f t="shared" si="3"/>
        <v>448</v>
      </c>
      <c r="N16" s="201">
        <f t="shared" si="3"/>
        <v>783</v>
      </c>
      <c r="O16" s="201">
        <f t="shared" si="3"/>
        <v>1079</v>
      </c>
      <c r="P16" s="200">
        <f t="shared" si="3"/>
        <v>679.98439999999994</v>
      </c>
      <c r="Q16" s="200">
        <f t="shared" si="3"/>
        <v>652.30669999999998</v>
      </c>
      <c r="R16" s="200">
        <f t="shared" si="3"/>
        <v>832.22532553324106</v>
      </c>
      <c r="S16" s="200">
        <f t="shared" si="3"/>
        <v>815.86924528301904</v>
      </c>
      <c r="T16" s="200">
        <f>+T19+T22</f>
        <v>835.40957142857144</v>
      </c>
      <c r="U16" s="200">
        <f t="shared" si="1"/>
        <v>2265.7826666666706</v>
      </c>
      <c r="V16" s="200">
        <f t="shared" si="1"/>
        <v>3278.3110634090908</v>
      </c>
      <c r="W16" s="200">
        <f t="shared" si="1"/>
        <v>2444</v>
      </c>
      <c r="X16" s="200">
        <f t="shared" si="2"/>
        <v>3511.2043917386363</v>
      </c>
      <c r="Y16" s="200">
        <f t="shared" si="2"/>
        <v>3930.8623299999995</v>
      </c>
      <c r="Z16" s="200">
        <f>+Z19+Z22</f>
        <v>3141.31355244</v>
      </c>
      <c r="AA16" s="210"/>
      <c r="AB16" s="210"/>
    </row>
    <row r="17" spans="1:28" ht="40.15" customHeight="1" thickTop="1" thickBot="1">
      <c r="A17" s="140" t="s">
        <v>3</v>
      </c>
      <c r="B17" s="141" t="s">
        <v>138</v>
      </c>
      <c r="C17" s="81" t="s">
        <v>71</v>
      </c>
      <c r="D17" s="200">
        <f>+D20+D23</f>
        <v>3235.8235532004369</v>
      </c>
      <c r="E17" s="200">
        <f t="shared" ref="E17:S17" si="4">+E20+E23</f>
        <v>3273.05167419998</v>
      </c>
      <c r="F17" s="200">
        <f t="shared" si="4"/>
        <v>3490.2060005941366</v>
      </c>
      <c r="G17" s="201">
        <f t="shared" si="4"/>
        <v>3998.492465594898</v>
      </c>
      <c r="H17" s="201">
        <f t="shared" si="4"/>
        <v>5174.6909205344809</v>
      </c>
      <c r="I17" s="201">
        <f t="shared" si="4"/>
        <v>5698.7933930811269</v>
      </c>
      <c r="J17" s="200">
        <f t="shared" si="4"/>
        <v>6352.3880168108499</v>
      </c>
      <c r="K17" s="200">
        <f t="shared" si="4"/>
        <v>7126.6597722964689</v>
      </c>
      <c r="L17" s="200">
        <f t="shared" si="4"/>
        <v>9091.6383255979435</v>
      </c>
      <c r="M17" s="201">
        <f t="shared" si="4"/>
        <v>8128.6161378103916</v>
      </c>
      <c r="N17" s="201">
        <f t="shared" si="4"/>
        <v>11222.424173024516</v>
      </c>
      <c r="O17" s="201">
        <f t="shared" si="4"/>
        <v>9666.3060028440268</v>
      </c>
      <c r="P17" s="200">
        <f t="shared" si="4"/>
        <v>8879.9036356919933</v>
      </c>
      <c r="Q17" s="200">
        <f t="shared" si="4"/>
        <v>9924.242866147024</v>
      </c>
      <c r="R17" s="200">
        <f t="shared" si="4"/>
        <v>11586.2325</v>
      </c>
      <c r="S17" s="200">
        <f t="shared" si="4"/>
        <v>13035.809433962264</v>
      </c>
      <c r="T17" s="200">
        <f>+T20+T23</f>
        <v>13247.280999999999</v>
      </c>
      <c r="U17" s="200">
        <f t="shared" si="1"/>
        <v>13629.985296791208</v>
      </c>
      <c r="V17" s="200">
        <f t="shared" si="1"/>
        <v>13709.830130977776</v>
      </c>
      <c r="W17" s="200">
        <f t="shared" si="1"/>
        <v>13590</v>
      </c>
      <c r="X17" s="200">
        <f t="shared" si="2"/>
        <v>14463.827065719999</v>
      </c>
      <c r="Y17" s="200">
        <f t="shared" si="2"/>
        <v>14148.315711720001</v>
      </c>
      <c r="Z17" s="200">
        <f t="shared" si="2"/>
        <v>13864.696718064686</v>
      </c>
      <c r="AA17" s="210"/>
      <c r="AB17" s="210"/>
    </row>
    <row r="18" spans="1:28" ht="40.15" customHeight="1" thickTop="1" thickBot="1">
      <c r="A18" s="142">
        <v>1.1000000000000001</v>
      </c>
      <c r="B18" s="143" t="s">
        <v>139</v>
      </c>
      <c r="C18" s="86" t="s">
        <v>40</v>
      </c>
      <c r="D18" s="202">
        <f t="shared" ref="D18:Q18" si="5">D19+D20</f>
        <v>1987.8235532004369</v>
      </c>
      <c r="E18" s="202">
        <f t="shared" si="5"/>
        <v>1939.0516741999802</v>
      </c>
      <c r="F18" s="202">
        <f t="shared" si="5"/>
        <v>1962.2060005941364</v>
      </c>
      <c r="G18" s="202">
        <f t="shared" si="5"/>
        <v>2043.492465594898</v>
      </c>
      <c r="H18" s="202">
        <f t="shared" si="5"/>
        <v>2063.6909205344809</v>
      </c>
      <c r="I18" s="202">
        <f t="shared" si="5"/>
        <v>2190.7933930811264</v>
      </c>
      <c r="J18" s="202">
        <f t="shared" si="5"/>
        <v>2452.3880168108494</v>
      </c>
      <c r="K18" s="202">
        <f t="shared" si="5"/>
        <v>2534.6597722964684</v>
      </c>
      <c r="L18" s="202">
        <f t="shared" si="5"/>
        <v>2368.6383255979431</v>
      </c>
      <c r="M18" s="202">
        <f t="shared" si="5"/>
        <v>2403.616137810392</v>
      </c>
      <c r="N18" s="202">
        <f t="shared" si="5"/>
        <v>2617.4241730245167</v>
      </c>
      <c r="O18" s="202">
        <f t="shared" si="5"/>
        <v>2759.3060028440264</v>
      </c>
      <c r="P18" s="202">
        <f t="shared" si="5"/>
        <v>2704.1297356919949</v>
      </c>
      <c r="Q18" s="202">
        <f t="shared" si="5"/>
        <v>2755.8574861470247</v>
      </c>
      <c r="R18" s="202">
        <f>R19+R20</f>
        <v>2653</v>
      </c>
      <c r="S18" s="202">
        <f>SUM(S19:S20)</f>
        <v>2777</v>
      </c>
      <c r="T18" s="202">
        <f>SUM(T19:T20)</f>
        <v>2785.4</v>
      </c>
      <c r="U18" s="202">
        <v>2566.1200880000001</v>
      </c>
      <c r="V18" s="202">
        <v>2566.1200880000001</v>
      </c>
      <c r="W18" s="202">
        <v>2629</v>
      </c>
      <c r="X18" s="202">
        <f>+X19+X20</f>
        <v>2629.1769840000002</v>
      </c>
      <c r="Y18" s="202">
        <f>+Y19+Y20</f>
        <v>2332.6125200000006</v>
      </c>
      <c r="Z18" s="202">
        <f t="shared" ref="Z18" si="6">SUM(Z19:Z20)</f>
        <v>2352.3178000000007</v>
      </c>
      <c r="AA18" s="210"/>
      <c r="AB18" s="210"/>
    </row>
    <row r="19" spans="1:28" ht="40.15" customHeight="1" thickTop="1" thickBot="1">
      <c r="A19" s="144" t="s">
        <v>4</v>
      </c>
      <c r="B19" s="145" t="s">
        <v>125</v>
      </c>
      <c r="C19" s="71" t="s">
        <v>40</v>
      </c>
      <c r="D19" s="195">
        <v>0</v>
      </c>
      <c r="E19" s="195">
        <v>0</v>
      </c>
      <c r="F19" s="195">
        <v>0</v>
      </c>
      <c r="G19" s="195">
        <v>0</v>
      </c>
      <c r="H19" s="199">
        <v>0</v>
      </c>
      <c r="I19" s="199">
        <v>0</v>
      </c>
      <c r="J19" s="195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21</v>
      </c>
      <c r="T19" s="199">
        <v>29.4</v>
      </c>
      <c r="U19" s="199">
        <v>30.848999999999997</v>
      </c>
      <c r="V19" s="199">
        <v>36</v>
      </c>
      <c r="W19" s="199">
        <v>30</v>
      </c>
      <c r="X19" s="199">
        <v>24.178000000000001</v>
      </c>
      <c r="Y19" s="199">
        <v>26.891010000000001</v>
      </c>
      <c r="Z19" s="199">
        <v>30.17568</v>
      </c>
      <c r="AA19" s="210"/>
      <c r="AB19" s="210"/>
    </row>
    <row r="20" spans="1:28" ht="40.15" customHeight="1" thickTop="1" thickBot="1">
      <c r="A20" s="144" t="s">
        <v>5</v>
      </c>
      <c r="B20" s="145" t="s">
        <v>126</v>
      </c>
      <c r="C20" s="71" t="s">
        <v>40</v>
      </c>
      <c r="D20" s="195">
        <v>1987.8235532004369</v>
      </c>
      <c r="E20" s="195">
        <v>1939.0516741999802</v>
      </c>
      <c r="F20" s="195">
        <v>1962.2060005941364</v>
      </c>
      <c r="G20" s="195">
        <v>2043.492465594898</v>
      </c>
      <c r="H20" s="199">
        <v>2063.6909205344809</v>
      </c>
      <c r="I20" s="199">
        <v>2190.7933930811264</v>
      </c>
      <c r="J20" s="195">
        <v>2452.3880168108494</v>
      </c>
      <c r="K20" s="199">
        <v>2534.6597722964684</v>
      </c>
      <c r="L20" s="199">
        <v>2368.6383255979431</v>
      </c>
      <c r="M20" s="199">
        <v>2403.616137810392</v>
      </c>
      <c r="N20" s="199">
        <v>2617.4241730245167</v>
      </c>
      <c r="O20" s="199">
        <v>2759.3060028440264</v>
      </c>
      <c r="P20" s="199">
        <v>2704.1297356919949</v>
      </c>
      <c r="Q20" s="199">
        <v>2755.8574861470247</v>
      </c>
      <c r="R20" s="199">
        <v>2653</v>
      </c>
      <c r="S20" s="199">
        <v>2756</v>
      </c>
      <c r="T20" s="199">
        <v>2756</v>
      </c>
      <c r="U20" s="199">
        <f>+U18-U19</f>
        <v>2535.271088</v>
      </c>
      <c r="V20" s="199">
        <v>2531</v>
      </c>
      <c r="W20" s="199">
        <v>2599</v>
      </c>
      <c r="X20" s="199">
        <v>2604.9989840000003</v>
      </c>
      <c r="Y20" s="199">
        <v>2305.7215100000008</v>
      </c>
      <c r="Z20" s="199">
        <v>2322.1421200000009</v>
      </c>
      <c r="AA20" s="210"/>
      <c r="AB20" s="210"/>
    </row>
    <row r="21" spans="1:28" ht="40.15" customHeight="1" thickTop="1" thickBot="1">
      <c r="A21" s="142">
        <v>1.2</v>
      </c>
      <c r="B21" s="143" t="s">
        <v>140</v>
      </c>
      <c r="C21" s="86" t="s">
        <v>40</v>
      </c>
      <c r="D21" s="202">
        <f t="shared" ref="D21:Q21" si="7">SUM(D22:D23)</f>
        <v>1511</v>
      </c>
      <c r="E21" s="202">
        <f t="shared" si="7"/>
        <v>1597</v>
      </c>
      <c r="F21" s="202">
        <f t="shared" si="7"/>
        <v>1832</v>
      </c>
      <c r="G21" s="202">
        <f t="shared" si="7"/>
        <v>2132</v>
      </c>
      <c r="H21" s="202">
        <f t="shared" si="7"/>
        <v>3324</v>
      </c>
      <c r="I21" s="202">
        <f t="shared" si="7"/>
        <v>3729</v>
      </c>
      <c r="J21" s="202">
        <f t="shared" si="7"/>
        <v>4254</v>
      </c>
      <c r="K21" s="202">
        <f t="shared" si="7"/>
        <v>5111</v>
      </c>
      <c r="L21" s="202">
        <f t="shared" si="7"/>
        <v>7230</v>
      </c>
      <c r="M21" s="202">
        <f t="shared" si="7"/>
        <v>6173</v>
      </c>
      <c r="N21" s="202">
        <f t="shared" si="7"/>
        <v>9388</v>
      </c>
      <c r="O21" s="202">
        <f t="shared" si="7"/>
        <v>7986</v>
      </c>
      <c r="P21" s="202">
        <f t="shared" si="7"/>
        <v>6855.7582999999995</v>
      </c>
      <c r="Q21" s="202">
        <f t="shared" si="7"/>
        <v>7820.6920799999998</v>
      </c>
      <c r="R21" s="202">
        <f>SUM(R22:R23)</f>
        <v>9765.4578255332417</v>
      </c>
      <c r="S21" s="202">
        <f>SUM(S22:S23)</f>
        <v>11074.678679245282</v>
      </c>
      <c r="T21" s="202">
        <f>SUM(T22:T23)</f>
        <v>11297.29057142857</v>
      </c>
      <c r="U21" s="202">
        <f>SUM(U22:U23)</f>
        <v>13329.647875457878</v>
      </c>
      <c r="V21" s="202">
        <v>14421.141194386866</v>
      </c>
      <c r="W21" s="202">
        <v>13405</v>
      </c>
      <c r="X21" s="202">
        <f>SUM(X22:X23)</f>
        <v>15345.854473458636</v>
      </c>
      <c r="Y21" s="202">
        <f>SUM(Y22:Y23)</f>
        <v>15746.56552172</v>
      </c>
      <c r="Z21" s="202">
        <f t="shared" ref="Z21" si="8">SUM(Z22:Z23)</f>
        <v>14653.692470504686</v>
      </c>
      <c r="AA21" s="210"/>
      <c r="AB21" s="210"/>
    </row>
    <row r="22" spans="1:28" ht="40.15" customHeight="1" thickTop="1" thickBot="1">
      <c r="A22" s="144" t="s">
        <v>6</v>
      </c>
      <c r="B22" s="145" t="s">
        <v>125</v>
      </c>
      <c r="C22" s="71" t="s">
        <v>40</v>
      </c>
      <c r="D22" s="195">
        <v>263</v>
      </c>
      <c r="E22" s="195">
        <v>263</v>
      </c>
      <c r="F22" s="195">
        <v>304</v>
      </c>
      <c r="G22" s="195">
        <v>177</v>
      </c>
      <c r="H22" s="199">
        <v>213</v>
      </c>
      <c r="I22" s="199">
        <v>221</v>
      </c>
      <c r="J22" s="195">
        <v>354</v>
      </c>
      <c r="K22" s="199">
        <f>SUM(K25+K28+K31)</f>
        <v>519</v>
      </c>
      <c r="L22" s="199">
        <f>SUM(L25+L28+L31)</f>
        <v>507</v>
      </c>
      <c r="M22" s="199">
        <v>448</v>
      </c>
      <c r="N22" s="199">
        <f>SUM(N25+N28)</f>
        <v>783</v>
      </c>
      <c r="O22" s="199">
        <f>SUM(O25+O28)</f>
        <v>1079</v>
      </c>
      <c r="P22" s="199">
        <f t="shared" ref="P22:S23" si="9">+P25+P28+P31</f>
        <v>679.98439999999994</v>
      </c>
      <c r="Q22" s="199">
        <f t="shared" si="9"/>
        <v>652.30669999999998</v>
      </c>
      <c r="R22" s="199">
        <f t="shared" si="9"/>
        <v>832.22532553324106</v>
      </c>
      <c r="S22" s="199">
        <f t="shared" si="9"/>
        <v>794.86924528301904</v>
      </c>
      <c r="T22" s="199">
        <f>+T25+T28+T31</f>
        <v>806.00957142857146</v>
      </c>
      <c r="U22" s="199">
        <f>+U25+U28+U31</f>
        <v>2234.9336666666704</v>
      </c>
      <c r="V22" s="199">
        <v>3242.3110634090908</v>
      </c>
      <c r="W22" s="199">
        <v>2414</v>
      </c>
      <c r="X22" s="199">
        <f t="shared" ref="X22:Z23" si="10">+X25+X28+X31</f>
        <v>3487.0263917386364</v>
      </c>
      <c r="Y22" s="199">
        <f t="shared" si="10"/>
        <v>3903.9713199999997</v>
      </c>
      <c r="Z22" s="199">
        <f t="shared" si="10"/>
        <v>3111.1378724400001</v>
      </c>
      <c r="AA22" s="210"/>
      <c r="AB22" s="210"/>
    </row>
    <row r="23" spans="1:28" ht="40.15" customHeight="1" thickTop="1" thickBot="1">
      <c r="A23" s="144" t="s">
        <v>7</v>
      </c>
      <c r="B23" s="145" t="s">
        <v>126</v>
      </c>
      <c r="C23" s="71" t="s">
        <v>40</v>
      </c>
      <c r="D23" s="195">
        <v>1248</v>
      </c>
      <c r="E23" s="195">
        <v>1334</v>
      </c>
      <c r="F23" s="195">
        <v>1528</v>
      </c>
      <c r="G23" s="195">
        <v>1955</v>
      </c>
      <c r="H23" s="199">
        <v>3111</v>
      </c>
      <c r="I23" s="199">
        <v>3508</v>
      </c>
      <c r="J23" s="195">
        <v>3900</v>
      </c>
      <c r="K23" s="199">
        <f>SUM(K26+K29+K32)</f>
        <v>4592</v>
      </c>
      <c r="L23" s="199">
        <f>SUM(L26+L29+L32)</f>
        <v>6723</v>
      </c>
      <c r="M23" s="199">
        <v>5725</v>
      </c>
      <c r="N23" s="199">
        <f>SUM(N26+N29)</f>
        <v>8605</v>
      </c>
      <c r="O23" s="199">
        <f>SUM(O26+O29)</f>
        <v>6907</v>
      </c>
      <c r="P23" s="199">
        <f t="shared" si="9"/>
        <v>6175.7738999999992</v>
      </c>
      <c r="Q23" s="199">
        <f t="shared" si="9"/>
        <v>7168.3853799999997</v>
      </c>
      <c r="R23" s="199">
        <f>+R26+R29+R32</f>
        <v>8933.2325000000001</v>
      </c>
      <c r="S23" s="199">
        <f t="shared" si="9"/>
        <v>10279.809433962264</v>
      </c>
      <c r="T23" s="199">
        <f>+T26+T29+T32</f>
        <v>10491.280999999999</v>
      </c>
      <c r="U23" s="199">
        <f>+U26+U29+U32</f>
        <v>11094.714208791209</v>
      </c>
      <c r="V23" s="199">
        <v>11178.830130977776</v>
      </c>
      <c r="W23" s="199">
        <v>10991</v>
      </c>
      <c r="X23" s="199">
        <f t="shared" si="10"/>
        <v>11858.828081719999</v>
      </c>
      <c r="Y23" s="199">
        <f t="shared" si="10"/>
        <v>11842.59420172</v>
      </c>
      <c r="Z23" s="199">
        <f t="shared" si="10"/>
        <v>11542.554598064686</v>
      </c>
      <c r="AA23" s="210"/>
      <c r="AB23" s="210"/>
    </row>
    <row r="24" spans="1:28" ht="40.15" customHeight="1" thickTop="1" thickBot="1">
      <c r="A24" s="146" t="s">
        <v>8</v>
      </c>
      <c r="B24" s="147" t="s">
        <v>185</v>
      </c>
      <c r="C24" s="84" t="s">
        <v>40</v>
      </c>
      <c r="D24" s="203">
        <f t="shared" ref="D24:Q24" si="11">SUM(D25:D26)</f>
        <v>548</v>
      </c>
      <c r="E24" s="203">
        <f t="shared" si="11"/>
        <v>548</v>
      </c>
      <c r="F24" s="203">
        <f t="shared" si="11"/>
        <v>591</v>
      </c>
      <c r="G24" s="203">
        <f t="shared" si="11"/>
        <v>485</v>
      </c>
      <c r="H24" s="203">
        <f t="shared" si="11"/>
        <v>536</v>
      </c>
      <c r="I24" s="203">
        <f t="shared" si="11"/>
        <v>580</v>
      </c>
      <c r="J24" s="203">
        <f t="shared" si="11"/>
        <v>734</v>
      </c>
      <c r="K24" s="203">
        <f t="shared" si="11"/>
        <v>1168</v>
      </c>
      <c r="L24" s="203">
        <f t="shared" si="11"/>
        <v>1150</v>
      </c>
      <c r="M24" s="203">
        <f t="shared" si="11"/>
        <v>1030</v>
      </c>
      <c r="N24" s="203">
        <f t="shared" si="11"/>
        <v>1547</v>
      </c>
      <c r="O24" s="203">
        <f t="shared" si="11"/>
        <v>1779</v>
      </c>
      <c r="P24" s="203">
        <f t="shared" si="11"/>
        <v>1600.6393</v>
      </c>
      <c r="Q24" s="203">
        <f t="shared" si="11"/>
        <v>1618.69208</v>
      </c>
      <c r="R24" s="203">
        <f>SUM(R25:R26)</f>
        <v>1937.3878255332411</v>
      </c>
      <c r="S24" s="203">
        <f>SUM(S25:S26)</f>
        <v>1703.8986792452829</v>
      </c>
      <c r="T24" s="203">
        <f>SUM(T25:T26)</f>
        <v>1534.7619999999999</v>
      </c>
      <c r="U24" s="203">
        <f>SUM(U25:U26)</f>
        <v>3125.8335897435936</v>
      </c>
      <c r="V24" s="203">
        <f t="shared" ref="V24:Z24" si="12">SUM(V25:V26)</f>
        <v>4176.1611943868666</v>
      </c>
      <c r="W24" s="203">
        <f t="shared" si="12"/>
        <v>3135</v>
      </c>
      <c r="X24" s="203">
        <f t="shared" si="12"/>
        <v>4259.8544734586367</v>
      </c>
      <c r="Y24" s="203">
        <f t="shared" si="12"/>
        <v>4803.5655217199992</v>
      </c>
      <c r="Z24" s="203">
        <f>SUM(Z25:Z26)</f>
        <v>3995.5148031400004</v>
      </c>
      <c r="AA24" s="210"/>
      <c r="AB24" s="210"/>
    </row>
    <row r="25" spans="1:28" ht="40.15" customHeight="1" thickTop="1" thickBot="1">
      <c r="A25" s="144" t="s">
        <v>9</v>
      </c>
      <c r="B25" s="145" t="s">
        <v>125</v>
      </c>
      <c r="C25" s="71" t="s">
        <v>40</v>
      </c>
      <c r="D25" s="195">
        <v>209</v>
      </c>
      <c r="E25" s="195">
        <v>209</v>
      </c>
      <c r="F25" s="195">
        <v>250</v>
      </c>
      <c r="G25" s="195">
        <v>171</v>
      </c>
      <c r="H25" s="199">
        <v>189</v>
      </c>
      <c r="I25" s="199">
        <v>197</v>
      </c>
      <c r="J25" s="195">
        <v>330</v>
      </c>
      <c r="K25" s="199">
        <v>423</v>
      </c>
      <c r="L25" s="199">
        <v>408</v>
      </c>
      <c r="M25" s="199">
        <v>332</v>
      </c>
      <c r="N25" s="199">
        <v>667</v>
      </c>
      <c r="O25" s="199">
        <v>998</v>
      </c>
      <c r="P25" s="199">
        <f>594.05+8.1344</f>
        <v>602.18439999999998</v>
      </c>
      <c r="Q25" s="199">
        <f>581.434+55.8727</f>
        <v>637.30669999999998</v>
      </c>
      <c r="R25" s="199">
        <f>739.793825533241+67.9115</f>
        <v>807.70532553324108</v>
      </c>
      <c r="S25" s="199">
        <f>(680479.245283019/1000)+6.61</f>
        <v>687.08924528301907</v>
      </c>
      <c r="T25" s="199">
        <f>737.481+68</f>
        <v>805.48099999999999</v>
      </c>
      <c r="U25" s="199">
        <f>1027.55366666667+1207</f>
        <v>2234.5536666666703</v>
      </c>
      <c r="V25" s="199">
        <v>3241.8310634090908</v>
      </c>
      <c r="W25" s="199">
        <v>2414</v>
      </c>
      <c r="X25" s="199">
        <v>3487.0263917386364</v>
      </c>
      <c r="Y25" s="199">
        <v>3903.9713199999997</v>
      </c>
      <c r="Z25" s="199">
        <v>3111.1378724400001</v>
      </c>
      <c r="AA25" s="210"/>
      <c r="AB25" s="210"/>
    </row>
    <row r="26" spans="1:28" ht="40.15" customHeight="1" thickTop="1" thickBot="1">
      <c r="A26" s="144" t="s">
        <v>10</v>
      </c>
      <c r="B26" s="145" t="s">
        <v>126</v>
      </c>
      <c r="C26" s="71" t="s">
        <v>40</v>
      </c>
      <c r="D26" s="195">
        <v>339</v>
      </c>
      <c r="E26" s="195">
        <v>339</v>
      </c>
      <c r="F26" s="195">
        <v>341</v>
      </c>
      <c r="G26" s="195">
        <v>314</v>
      </c>
      <c r="H26" s="199">
        <v>347</v>
      </c>
      <c r="I26" s="199">
        <v>383</v>
      </c>
      <c r="J26" s="195">
        <v>404</v>
      </c>
      <c r="K26" s="199">
        <v>745</v>
      </c>
      <c r="L26" s="199">
        <v>742</v>
      </c>
      <c r="M26" s="199">
        <v>698</v>
      </c>
      <c r="N26" s="199">
        <v>880</v>
      </c>
      <c r="O26" s="199">
        <v>781</v>
      </c>
      <c r="P26" s="199">
        <f>855.695+142.7599</f>
        <v>998.45490000000007</v>
      </c>
      <c r="Q26" s="199">
        <f>855.33+126.05538</f>
        <v>981.38538000000005</v>
      </c>
      <c r="R26" s="199">
        <f>935.051+194.6315</f>
        <v>1129.6825000000001</v>
      </c>
      <c r="S26" s="199">
        <f>(808809.433962264/1000)+208</f>
        <v>1016.8094339622639</v>
      </c>
      <c r="T26" s="199">
        <f>635.281+94</f>
        <v>729.28099999999995</v>
      </c>
      <c r="U26" s="199">
        <f>722.059923076923+169.22</f>
        <v>891.27992307692307</v>
      </c>
      <c r="V26" s="199">
        <v>934.33013097777609</v>
      </c>
      <c r="W26" s="199">
        <v>721</v>
      </c>
      <c r="X26" s="199">
        <v>772.82808172</v>
      </c>
      <c r="Y26" s="199">
        <v>899.59420171999977</v>
      </c>
      <c r="Z26" s="199">
        <v>884.3769307</v>
      </c>
      <c r="AA26" s="210"/>
      <c r="AB26" s="210"/>
    </row>
    <row r="27" spans="1:28" ht="40.15" customHeight="1" thickTop="1" thickBot="1">
      <c r="A27" s="146" t="s">
        <v>11</v>
      </c>
      <c r="B27" s="147" t="s">
        <v>186</v>
      </c>
      <c r="C27" s="84" t="s">
        <v>40</v>
      </c>
      <c r="D27" s="203">
        <f t="shared" ref="D27:Q27" si="13">SUM(D28:D29)</f>
        <v>893</v>
      </c>
      <c r="E27" s="203">
        <f t="shared" si="13"/>
        <v>960</v>
      </c>
      <c r="F27" s="203">
        <f t="shared" si="13"/>
        <v>1151</v>
      </c>
      <c r="G27" s="203">
        <f t="shared" si="13"/>
        <v>1637</v>
      </c>
      <c r="H27" s="203">
        <f t="shared" si="13"/>
        <v>2770</v>
      </c>
      <c r="I27" s="203">
        <f t="shared" si="13"/>
        <v>3128</v>
      </c>
      <c r="J27" s="203">
        <f t="shared" si="13"/>
        <v>3497</v>
      </c>
      <c r="K27" s="203">
        <f t="shared" si="13"/>
        <v>3929</v>
      </c>
      <c r="L27" s="203">
        <f t="shared" si="13"/>
        <v>6080</v>
      </c>
      <c r="M27" s="203">
        <f t="shared" si="13"/>
        <v>5143</v>
      </c>
      <c r="N27" s="203">
        <f t="shared" si="13"/>
        <v>7841</v>
      </c>
      <c r="O27" s="203">
        <f t="shared" si="13"/>
        <v>6207</v>
      </c>
      <c r="P27" s="203">
        <f t="shared" si="13"/>
        <v>5232.2190000000001</v>
      </c>
      <c r="Q27" s="203">
        <f t="shared" si="13"/>
        <v>6180</v>
      </c>
      <c r="R27" s="203">
        <f>SUM(R28:R29)</f>
        <v>7793.75</v>
      </c>
      <c r="S27" s="203">
        <f>SUM(S28:S29)</f>
        <v>9346</v>
      </c>
      <c r="T27" s="203">
        <f>SUM(T28:T29)</f>
        <v>9714</v>
      </c>
      <c r="U27" s="203">
        <f>SUM(U28:U29)</f>
        <v>10158</v>
      </c>
      <c r="V27" s="203">
        <f t="shared" ref="V27:W27" si="14">SUM(V28:V29)</f>
        <v>10197</v>
      </c>
      <c r="W27" s="203">
        <f t="shared" si="14"/>
        <v>10220</v>
      </c>
      <c r="X27" s="203">
        <f>+X28+X29</f>
        <v>11036</v>
      </c>
      <c r="Y27" s="203">
        <f>+Y28+Y29</f>
        <v>10893</v>
      </c>
      <c r="Z27" s="203">
        <f>SUM(Z28:Z29)</f>
        <v>10608.177667364685</v>
      </c>
      <c r="AA27" s="210"/>
      <c r="AB27" s="210"/>
    </row>
    <row r="28" spans="1:28" ht="40.15" customHeight="1" thickTop="1" thickBot="1">
      <c r="A28" s="144" t="s">
        <v>12</v>
      </c>
      <c r="B28" s="145" t="s">
        <v>125</v>
      </c>
      <c r="C28" s="71" t="s">
        <v>40</v>
      </c>
      <c r="D28" s="195">
        <v>54</v>
      </c>
      <c r="E28" s="195">
        <v>54</v>
      </c>
      <c r="F28" s="195">
        <v>54</v>
      </c>
      <c r="G28" s="195">
        <v>6</v>
      </c>
      <c r="H28" s="199">
        <v>24</v>
      </c>
      <c r="I28" s="199">
        <v>24</v>
      </c>
      <c r="J28" s="195">
        <v>24</v>
      </c>
      <c r="K28" s="199">
        <v>96</v>
      </c>
      <c r="L28" s="199">
        <v>99</v>
      </c>
      <c r="M28" s="199">
        <v>116</v>
      </c>
      <c r="N28" s="199">
        <v>116</v>
      </c>
      <c r="O28" s="199">
        <v>81</v>
      </c>
      <c r="P28" s="199">
        <v>77.8</v>
      </c>
      <c r="Q28" s="199">
        <v>15</v>
      </c>
      <c r="R28" s="199">
        <v>24</v>
      </c>
      <c r="S28" s="199">
        <v>107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210"/>
      <c r="AB28" s="210"/>
    </row>
    <row r="29" spans="1:28" ht="40.15" customHeight="1" thickTop="1" thickBot="1">
      <c r="A29" s="144" t="s">
        <v>13</v>
      </c>
      <c r="B29" s="145" t="s">
        <v>126</v>
      </c>
      <c r="C29" s="71" t="s">
        <v>40</v>
      </c>
      <c r="D29" s="195">
        <v>839</v>
      </c>
      <c r="E29" s="195">
        <v>906</v>
      </c>
      <c r="F29" s="195">
        <v>1097</v>
      </c>
      <c r="G29" s="195">
        <v>1631</v>
      </c>
      <c r="H29" s="199">
        <v>2746</v>
      </c>
      <c r="I29" s="199">
        <v>3104</v>
      </c>
      <c r="J29" s="195">
        <v>3473</v>
      </c>
      <c r="K29" s="199">
        <v>3833</v>
      </c>
      <c r="L29" s="199">
        <v>5981</v>
      </c>
      <c r="M29" s="199">
        <v>5027</v>
      </c>
      <c r="N29" s="199">
        <v>7725</v>
      </c>
      <c r="O29" s="199">
        <v>6126</v>
      </c>
      <c r="P29" s="199">
        <f>867.5+329.19+26+30.5+3901.229</f>
        <v>5154.4189999999999</v>
      </c>
      <c r="Q29" s="199">
        <v>6165</v>
      </c>
      <c r="R29" s="199">
        <v>7769.75</v>
      </c>
      <c r="S29" s="199">
        <v>9239</v>
      </c>
      <c r="T29" s="199">
        <v>9714</v>
      </c>
      <c r="U29" s="199">
        <f>9063+1095</f>
        <v>10158</v>
      </c>
      <c r="V29" s="199">
        <v>10197</v>
      </c>
      <c r="W29" s="199">
        <v>10220</v>
      </c>
      <c r="X29" s="199">
        <f>10669+367</f>
        <v>11036</v>
      </c>
      <c r="Y29" s="199">
        <f>1183+9710</f>
        <v>10893</v>
      </c>
      <c r="Z29" s="199">
        <v>10608.177667364685</v>
      </c>
      <c r="AA29" s="210"/>
      <c r="AB29" s="210"/>
    </row>
    <row r="30" spans="1:28" ht="40.15" customHeight="1" thickTop="1" thickBot="1">
      <c r="A30" s="146" t="s">
        <v>14</v>
      </c>
      <c r="B30" s="147" t="s">
        <v>141</v>
      </c>
      <c r="C30" s="84" t="s">
        <v>40</v>
      </c>
      <c r="D30" s="203">
        <f t="shared" ref="D30:Q30" si="15">SUM(D31:D32)</f>
        <v>70</v>
      </c>
      <c r="E30" s="203">
        <f t="shared" si="15"/>
        <v>90</v>
      </c>
      <c r="F30" s="203">
        <f t="shared" si="15"/>
        <v>90</v>
      </c>
      <c r="G30" s="203">
        <f t="shared" si="15"/>
        <v>10</v>
      </c>
      <c r="H30" s="203">
        <f t="shared" si="15"/>
        <v>18</v>
      </c>
      <c r="I30" s="203">
        <f t="shared" si="15"/>
        <v>21</v>
      </c>
      <c r="J30" s="203">
        <f t="shared" si="15"/>
        <v>23</v>
      </c>
      <c r="K30" s="203">
        <f t="shared" si="15"/>
        <v>14</v>
      </c>
      <c r="L30" s="203">
        <f t="shared" si="15"/>
        <v>0</v>
      </c>
      <c r="M30" s="203">
        <f t="shared" si="15"/>
        <v>0</v>
      </c>
      <c r="N30" s="203">
        <f t="shared" si="15"/>
        <v>0</v>
      </c>
      <c r="O30" s="203">
        <f t="shared" si="15"/>
        <v>0</v>
      </c>
      <c r="P30" s="203">
        <f t="shared" si="15"/>
        <v>22.9</v>
      </c>
      <c r="Q30" s="203">
        <f t="shared" si="15"/>
        <v>22</v>
      </c>
      <c r="R30" s="203">
        <f>SUM(R31:R32)</f>
        <v>34.32</v>
      </c>
      <c r="S30" s="203">
        <f>SUM(S31:S32)</f>
        <v>24.78</v>
      </c>
      <c r="T30" s="203">
        <f>SUM(T31:T32)</f>
        <v>48.528571428571475</v>
      </c>
      <c r="U30" s="203">
        <f>SUM(U31:U32)</f>
        <v>45.814285714285766</v>
      </c>
      <c r="V30" s="203">
        <f t="shared" ref="V30:W30" si="16">SUM(V31:V32)</f>
        <v>47.98</v>
      </c>
      <c r="W30" s="203">
        <f t="shared" si="16"/>
        <v>50</v>
      </c>
      <c r="X30" s="203">
        <f t="shared" ref="X30:Y30" si="17">SUM(X31:X32)</f>
        <v>50</v>
      </c>
      <c r="Y30" s="203">
        <f t="shared" si="17"/>
        <v>50</v>
      </c>
      <c r="Z30" s="203">
        <v>50</v>
      </c>
    </row>
    <row r="31" spans="1:28" ht="40.15" customHeight="1" thickTop="1" thickBot="1">
      <c r="A31" s="144" t="s">
        <v>15</v>
      </c>
      <c r="B31" s="145" t="s">
        <v>125</v>
      </c>
      <c r="C31" s="71" t="s">
        <v>40</v>
      </c>
      <c r="D31" s="195">
        <v>0</v>
      </c>
      <c r="E31" s="195">
        <v>0</v>
      </c>
      <c r="F31" s="195">
        <v>0</v>
      </c>
      <c r="G31" s="195">
        <v>0</v>
      </c>
      <c r="H31" s="199">
        <v>0</v>
      </c>
      <c r="I31" s="199">
        <v>0</v>
      </c>
      <c r="J31" s="195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0.52</v>
      </c>
      <c r="S31" s="199">
        <v>0.78</v>
      </c>
      <c r="T31" s="199">
        <v>0.52857142857142914</v>
      </c>
      <c r="U31" s="199">
        <v>0.38000000000000034</v>
      </c>
      <c r="V31" s="199">
        <v>0.48</v>
      </c>
      <c r="W31" s="199">
        <v>0</v>
      </c>
      <c r="X31" s="199">
        <v>0</v>
      </c>
      <c r="Y31" s="199">
        <v>0</v>
      </c>
      <c r="Z31" s="199">
        <v>0</v>
      </c>
    </row>
    <row r="32" spans="1:28" ht="40.15" customHeight="1" thickTop="1" thickBot="1">
      <c r="A32" s="144" t="s">
        <v>16</v>
      </c>
      <c r="B32" s="145" t="s">
        <v>126</v>
      </c>
      <c r="C32" s="71" t="s">
        <v>40</v>
      </c>
      <c r="D32" s="195">
        <v>70</v>
      </c>
      <c r="E32" s="195">
        <v>90</v>
      </c>
      <c r="F32" s="195">
        <v>90</v>
      </c>
      <c r="G32" s="195">
        <v>10</v>
      </c>
      <c r="H32" s="199">
        <v>18</v>
      </c>
      <c r="I32" s="199">
        <v>21</v>
      </c>
      <c r="J32" s="195">
        <v>23</v>
      </c>
      <c r="K32" s="199">
        <v>14</v>
      </c>
      <c r="L32" s="199">
        <v>0</v>
      </c>
      <c r="M32" s="199">
        <v>0</v>
      </c>
      <c r="N32" s="199">
        <v>0</v>
      </c>
      <c r="O32" s="199">
        <v>0</v>
      </c>
      <c r="P32" s="199">
        <f>16.4+6.5</f>
        <v>22.9</v>
      </c>
      <c r="Q32" s="199">
        <v>22</v>
      </c>
      <c r="R32" s="199">
        <v>33.799999999999997</v>
      </c>
      <c r="S32" s="199">
        <v>24</v>
      </c>
      <c r="T32" s="199">
        <v>48.000000000000043</v>
      </c>
      <c r="U32" s="199">
        <v>45.434285714285764</v>
      </c>
      <c r="V32" s="199">
        <v>47.5</v>
      </c>
      <c r="W32" s="199">
        <v>50</v>
      </c>
      <c r="X32" s="199">
        <v>50</v>
      </c>
      <c r="Y32" s="199">
        <v>50</v>
      </c>
      <c r="Z32" s="199">
        <v>50</v>
      </c>
    </row>
    <row r="33" spans="1:27" ht="40.15" customHeight="1" thickTop="1">
      <c r="A33" s="148"/>
      <c r="B33" s="149"/>
      <c r="C33" s="18"/>
      <c r="D33" s="19"/>
      <c r="E33" s="19"/>
      <c r="F33" s="19"/>
      <c r="G33" s="19"/>
      <c r="H33" s="20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AA33" s="13" t="s">
        <v>179</v>
      </c>
    </row>
    <row r="34" spans="1:27" ht="15.75">
      <c r="A34" s="148"/>
      <c r="B34" s="150" t="s">
        <v>95</v>
      </c>
      <c r="C34" s="18"/>
      <c r="D34" s="19"/>
      <c r="E34" s="19"/>
      <c r="F34" s="19"/>
      <c r="G34" s="19"/>
      <c r="H34" s="20"/>
      <c r="I34" s="20"/>
      <c r="J34" s="21"/>
      <c r="K34" s="21"/>
      <c r="L34" s="21"/>
      <c r="M34" s="21"/>
      <c r="N34" s="21"/>
      <c r="O34" s="21"/>
      <c r="P34" s="21"/>
      <c r="Q34" s="21"/>
      <c r="R34" s="21"/>
    </row>
    <row r="35" spans="1:27" ht="15.75">
      <c r="A35" s="151"/>
      <c r="B35" s="152" t="s">
        <v>81</v>
      </c>
      <c r="C35" s="18"/>
      <c r="D35" s="19"/>
      <c r="E35" s="19"/>
      <c r="F35" s="19"/>
      <c r="G35" s="19"/>
      <c r="H35" s="20"/>
      <c r="I35" s="20"/>
      <c r="J35" s="21"/>
      <c r="K35" s="21"/>
      <c r="L35" s="21"/>
      <c r="M35" s="21"/>
      <c r="N35" s="21"/>
      <c r="O35" s="21"/>
      <c r="P35" s="21"/>
      <c r="Q35" s="21"/>
      <c r="R35" s="21"/>
    </row>
    <row r="36" spans="1:27" ht="14.25">
      <c r="A36" s="148"/>
      <c r="B36" s="149"/>
      <c r="C36" s="18"/>
      <c r="D36" s="19"/>
      <c r="E36" s="19"/>
      <c r="F36" s="19"/>
      <c r="G36" s="19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21"/>
    </row>
    <row r="37" spans="1:27" ht="14.25" customHeight="1">
      <c r="A37" s="148"/>
      <c r="B37" s="149"/>
      <c r="C37" s="18"/>
      <c r="D37" s="19"/>
      <c r="E37" s="19"/>
      <c r="F37" s="19"/>
      <c r="G37" s="19"/>
      <c r="H37" s="20"/>
      <c r="I37" s="20"/>
      <c r="J37" s="21"/>
      <c r="K37" s="21"/>
      <c r="L37" s="21"/>
      <c r="M37" s="21"/>
      <c r="N37" s="21"/>
      <c r="O37" s="21"/>
      <c r="P37" s="21"/>
      <c r="Q37" s="21"/>
      <c r="R37" s="21"/>
    </row>
    <row r="38" spans="1:27" ht="25.5" customHeight="1">
      <c r="A38" s="222" t="s">
        <v>115</v>
      </c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</row>
    <row r="39" spans="1:27" ht="24" customHeight="1">
      <c r="A39" s="153" t="s">
        <v>101</v>
      </c>
      <c r="B39" s="153" t="s">
        <v>102</v>
      </c>
      <c r="C39" s="22" t="s">
        <v>103</v>
      </c>
      <c r="D39" s="22">
        <v>2000</v>
      </c>
      <c r="E39" s="22">
        <v>2001</v>
      </c>
      <c r="F39" s="22">
        <v>2002</v>
      </c>
      <c r="G39" s="22">
        <v>2003</v>
      </c>
      <c r="H39" s="15">
        <v>2004</v>
      </c>
      <c r="I39" s="15">
        <v>2005</v>
      </c>
      <c r="J39" s="22">
        <v>2006</v>
      </c>
      <c r="K39" s="22">
        <v>2007</v>
      </c>
      <c r="L39" s="22">
        <v>2008</v>
      </c>
      <c r="M39" s="22">
        <v>2009</v>
      </c>
      <c r="N39" s="22">
        <v>2010</v>
      </c>
      <c r="O39" s="22">
        <v>2011</v>
      </c>
      <c r="P39" s="22">
        <v>2012</v>
      </c>
      <c r="Q39" s="22">
        <v>2013</v>
      </c>
      <c r="R39" s="22">
        <v>2014</v>
      </c>
      <c r="S39" s="22">
        <v>2015</v>
      </c>
      <c r="T39" s="22">
        <v>2016</v>
      </c>
      <c r="U39" s="133">
        <v>2017</v>
      </c>
      <c r="V39" s="22">
        <v>2018</v>
      </c>
      <c r="W39" s="133">
        <v>2019</v>
      </c>
      <c r="X39" s="22">
        <v>2020</v>
      </c>
      <c r="Y39" s="133">
        <v>2021</v>
      </c>
      <c r="Z39" s="22">
        <v>2022</v>
      </c>
    </row>
    <row r="40" spans="1:27" ht="40.15" customHeight="1" thickBot="1">
      <c r="A40" s="140">
        <v>2</v>
      </c>
      <c r="B40" s="141" t="s">
        <v>187</v>
      </c>
      <c r="C40" s="81" t="s">
        <v>53</v>
      </c>
      <c r="D40" s="82">
        <v>3</v>
      </c>
      <c r="E40" s="82">
        <v>2</v>
      </c>
      <c r="F40" s="82">
        <v>10</v>
      </c>
      <c r="G40" s="83">
        <v>10</v>
      </c>
      <c r="H40" s="83">
        <v>0</v>
      </c>
      <c r="I40" s="83">
        <v>0</v>
      </c>
      <c r="J40" s="82">
        <v>0</v>
      </c>
      <c r="K40" s="82">
        <v>0</v>
      </c>
      <c r="L40" s="82">
        <v>0</v>
      </c>
      <c r="M40" s="83">
        <v>0</v>
      </c>
      <c r="N40" s="83">
        <v>0</v>
      </c>
      <c r="O40" s="83">
        <v>0</v>
      </c>
      <c r="P40" s="82">
        <v>0</v>
      </c>
      <c r="Q40" s="82">
        <v>0</v>
      </c>
      <c r="R40" s="82">
        <v>0</v>
      </c>
      <c r="S40" s="82">
        <v>0</v>
      </c>
      <c r="T40" s="82">
        <v>0</v>
      </c>
      <c r="U40" s="82">
        <v>0</v>
      </c>
      <c r="V40" s="82">
        <v>0</v>
      </c>
      <c r="W40" s="83">
        <v>0</v>
      </c>
      <c r="X40" s="83">
        <v>0</v>
      </c>
      <c r="Y40" s="83">
        <v>0</v>
      </c>
      <c r="Z40" s="83">
        <v>0</v>
      </c>
    </row>
    <row r="41" spans="1:27" ht="40.15" customHeight="1" thickTop="1" thickBot="1">
      <c r="A41" s="140">
        <v>3</v>
      </c>
      <c r="B41" s="141" t="s">
        <v>188</v>
      </c>
      <c r="C41" s="81" t="s">
        <v>41</v>
      </c>
      <c r="D41" s="82">
        <f>SUM(D42:D43)</f>
        <v>17</v>
      </c>
      <c r="E41" s="82">
        <f t="shared" ref="E41:T41" si="18">SUM(E42:E43)</f>
        <v>25</v>
      </c>
      <c r="F41" s="82">
        <f t="shared" si="18"/>
        <v>12</v>
      </c>
      <c r="G41" s="83">
        <f t="shared" si="18"/>
        <v>262</v>
      </c>
      <c r="H41" s="83">
        <f t="shared" si="18"/>
        <v>836</v>
      </c>
      <c r="I41" s="83">
        <f t="shared" si="18"/>
        <v>1298</v>
      </c>
      <c r="J41" s="82">
        <f t="shared" si="18"/>
        <v>1389</v>
      </c>
      <c r="K41" s="82">
        <f t="shared" si="18"/>
        <v>1280</v>
      </c>
      <c r="L41" s="82">
        <f t="shared" si="18"/>
        <v>2283</v>
      </c>
      <c r="M41" s="83">
        <f t="shared" si="18"/>
        <v>1143</v>
      </c>
      <c r="N41" s="83">
        <f t="shared" si="18"/>
        <v>2274</v>
      </c>
      <c r="O41" s="83">
        <f t="shared" si="18"/>
        <v>2090</v>
      </c>
      <c r="P41" s="82">
        <f t="shared" si="18"/>
        <v>907.99</v>
      </c>
      <c r="Q41" s="82">
        <f t="shared" si="18"/>
        <v>1038.2</v>
      </c>
      <c r="R41" s="82">
        <f t="shared" si="18"/>
        <v>974</v>
      </c>
      <c r="S41" s="82">
        <f t="shared" si="18"/>
        <v>831.66</v>
      </c>
      <c r="T41" s="82">
        <f t="shared" si="18"/>
        <v>1111</v>
      </c>
      <c r="U41" s="82">
        <v>1001</v>
      </c>
      <c r="V41" s="82">
        <f>V42+V43</f>
        <v>1452.2584592592593</v>
      </c>
      <c r="W41" s="83">
        <v>1384</v>
      </c>
      <c r="X41" s="83">
        <f>+X42+X43</f>
        <v>366.69180524444442</v>
      </c>
      <c r="Y41" s="83">
        <f>+Y42+Y43</f>
        <v>1182.7479566518518</v>
      </c>
      <c r="Z41" s="83">
        <f>+Z42+Z43</f>
        <v>1487.339313883205</v>
      </c>
    </row>
    <row r="42" spans="1:27" ht="40.15" customHeight="1" thickTop="1" thickBot="1">
      <c r="A42" s="142" t="s">
        <v>97</v>
      </c>
      <c r="B42" s="143" t="s">
        <v>189</v>
      </c>
      <c r="C42" s="86" t="s">
        <v>41</v>
      </c>
      <c r="D42" s="87">
        <v>17</v>
      </c>
      <c r="E42" s="87">
        <v>25</v>
      </c>
      <c r="F42" s="87">
        <v>12</v>
      </c>
      <c r="G42" s="87">
        <v>262</v>
      </c>
      <c r="H42" s="87">
        <v>836</v>
      </c>
      <c r="I42" s="87">
        <v>1298</v>
      </c>
      <c r="J42" s="87">
        <v>1383</v>
      </c>
      <c r="K42" s="87">
        <v>1280</v>
      </c>
      <c r="L42" s="87">
        <v>2283</v>
      </c>
      <c r="M42" s="87">
        <v>1143</v>
      </c>
      <c r="N42" s="87">
        <v>2274</v>
      </c>
      <c r="O42" s="87">
        <v>2090</v>
      </c>
      <c r="P42" s="87">
        <v>905</v>
      </c>
      <c r="Q42" s="87">
        <v>1038</v>
      </c>
      <c r="R42" s="87">
        <v>963</v>
      </c>
      <c r="S42" s="87">
        <v>827.66</v>
      </c>
      <c r="T42" s="87">
        <v>1111</v>
      </c>
      <c r="U42" s="87">
        <v>1001.02790666667</v>
      </c>
      <c r="V42" s="87">
        <v>1450</v>
      </c>
      <c r="W42" s="87">
        <v>1383</v>
      </c>
      <c r="X42" s="87">
        <v>366.69108</v>
      </c>
      <c r="Y42" s="87">
        <v>1182.5784101333334</v>
      </c>
      <c r="Z42" s="87">
        <v>1487.1697673646865</v>
      </c>
    </row>
    <row r="43" spans="1:27" ht="40.15" customHeight="1" thickTop="1" thickBot="1">
      <c r="A43" s="142" t="s">
        <v>98</v>
      </c>
      <c r="B43" s="143" t="s">
        <v>271</v>
      </c>
      <c r="C43" s="86" t="s">
        <v>54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6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2.99</v>
      </c>
      <c r="Q43" s="87">
        <v>0.2</v>
      </c>
      <c r="R43" s="87">
        <v>11</v>
      </c>
      <c r="S43" s="87">
        <v>4</v>
      </c>
      <c r="T43" s="87">
        <v>0</v>
      </c>
      <c r="U43" s="87">
        <v>0</v>
      </c>
      <c r="V43" s="87">
        <v>2.2584592592592596</v>
      </c>
      <c r="W43" s="87">
        <v>1.21373</v>
      </c>
      <c r="X43" s="87">
        <v>7.2524444444444435E-4</v>
      </c>
      <c r="Y43" s="87">
        <v>0.16954651851851849</v>
      </c>
      <c r="Z43" s="87">
        <v>0.16954651851851849</v>
      </c>
    </row>
    <row r="44" spans="1:27" ht="40.15" customHeight="1" thickTop="1" thickBot="1">
      <c r="A44" s="140">
        <v>4</v>
      </c>
      <c r="B44" s="141" t="s">
        <v>270</v>
      </c>
      <c r="C44" s="81" t="s">
        <v>41</v>
      </c>
      <c r="D44" s="82" t="s">
        <v>55</v>
      </c>
      <c r="E44" s="82" t="s">
        <v>55</v>
      </c>
      <c r="F44" s="82" t="s">
        <v>55</v>
      </c>
      <c r="G44" s="83" t="s">
        <v>55</v>
      </c>
      <c r="H44" s="83" t="s">
        <v>55</v>
      </c>
      <c r="I44" s="83" t="s">
        <v>55</v>
      </c>
      <c r="J44" s="82" t="s">
        <v>55</v>
      </c>
      <c r="K44" s="82" t="s">
        <v>55</v>
      </c>
      <c r="L44" s="82" t="s">
        <v>55</v>
      </c>
      <c r="M44" s="83" t="s">
        <v>55</v>
      </c>
      <c r="N44" s="83" t="s">
        <v>55</v>
      </c>
      <c r="O44" s="83" t="s">
        <v>55</v>
      </c>
      <c r="P44" s="82">
        <v>2.0510000000000002</v>
      </c>
      <c r="Q44" s="82">
        <v>3.3439999999999999</v>
      </c>
      <c r="R44" s="82">
        <v>1.4602499799999999</v>
      </c>
      <c r="S44" s="82">
        <v>2</v>
      </c>
      <c r="T44" s="82">
        <v>0.40993999999999997</v>
      </c>
      <c r="U44" s="82">
        <v>1</v>
      </c>
      <c r="V44" s="82">
        <v>0</v>
      </c>
      <c r="W44" s="83">
        <v>0</v>
      </c>
      <c r="X44" s="83">
        <v>0</v>
      </c>
      <c r="Y44" s="83">
        <v>0</v>
      </c>
      <c r="Z44" s="83">
        <v>0</v>
      </c>
    </row>
    <row r="45" spans="1:27" ht="40.15" customHeight="1" thickTop="1" thickBot="1">
      <c r="A45" s="140">
        <v>5</v>
      </c>
      <c r="B45" s="141" t="s">
        <v>107</v>
      </c>
      <c r="C45" s="81" t="s">
        <v>54</v>
      </c>
      <c r="D45" s="82">
        <v>203</v>
      </c>
      <c r="E45" s="82">
        <v>203</v>
      </c>
      <c r="F45" s="82">
        <v>224</v>
      </c>
      <c r="G45" s="83">
        <v>230</v>
      </c>
      <c r="H45" s="83">
        <v>252</v>
      </c>
      <c r="I45" s="83">
        <v>268</v>
      </c>
      <c r="J45" s="82">
        <v>293</v>
      </c>
      <c r="K45" s="82">
        <v>308</v>
      </c>
      <c r="L45" s="82">
        <v>284</v>
      </c>
      <c r="M45" s="83">
        <v>264</v>
      </c>
      <c r="N45" s="83">
        <v>346</v>
      </c>
      <c r="O45" s="83">
        <v>376</v>
      </c>
      <c r="P45" s="82">
        <f>P46+P47</f>
        <v>412.67</v>
      </c>
      <c r="Q45" s="82">
        <f>Q46+Q47</f>
        <v>432.96</v>
      </c>
      <c r="R45" s="82">
        <f>R46+R47</f>
        <v>513</v>
      </c>
      <c r="S45" s="82">
        <f>S46+S47</f>
        <v>487.03584905660301</v>
      </c>
      <c r="T45" s="82">
        <v>435</v>
      </c>
      <c r="U45" s="164">
        <f>SUM(U46:U47)</f>
        <v>604</v>
      </c>
      <c r="V45" s="164">
        <v>594</v>
      </c>
      <c r="W45" s="83">
        <f>W46+W47</f>
        <v>527.904</v>
      </c>
      <c r="X45" s="83">
        <f t="shared" ref="X45:Z45" si="19">X46+X47</f>
        <v>580.18304086000001</v>
      </c>
      <c r="Y45" s="83">
        <f t="shared" si="19"/>
        <v>684.80504085999996</v>
      </c>
      <c r="Z45" s="83">
        <f t="shared" si="19"/>
        <v>755.80091086000004</v>
      </c>
    </row>
    <row r="46" spans="1:27" ht="40.15" customHeight="1" thickTop="1" thickBot="1">
      <c r="A46" s="144" t="s">
        <v>18</v>
      </c>
      <c r="B46" s="145" t="s">
        <v>125</v>
      </c>
      <c r="C46" s="71" t="s">
        <v>40</v>
      </c>
      <c r="D46" s="72">
        <v>100</v>
      </c>
      <c r="E46" s="72">
        <v>100</v>
      </c>
      <c r="F46" s="72">
        <v>120</v>
      </c>
      <c r="G46" s="72">
        <v>82</v>
      </c>
      <c r="H46" s="73">
        <v>88</v>
      </c>
      <c r="I46" s="73">
        <v>91</v>
      </c>
      <c r="J46" s="74">
        <v>104</v>
      </c>
      <c r="K46" s="73">
        <v>109</v>
      </c>
      <c r="L46" s="73">
        <v>105</v>
      </c>
      <c r="M46" s="73">
        <v>102</v>
      </c>
      <c r="N46" s="73">
        <v>131</v>
      </c>
      <c r="O46" s="73">
        <v>128</v>
      </c>
      <c r="P46" s="73">
        <v>145</v>
      </c>
      <c r="Q46" s="73">
        <v>156</v>
      </c>
      <c r="R46" s="73">
        <v>193</v>
      </c>
      <c r="S46" s="73">
        <v>208.905660377358</v>
      </c>
      <c r="T46" s="73">
        <v>225</v>
      </c>
      <c r="U46" s="73">
        <v>354</v>
      </c>
      <c r="V46" s="73">
        <v>363</v>
      </c>
      <c r="W46" s="73">
        <v>319.85000000000002</v>
      </c>
      <c r="X46" s="73">
        <v>377.54</v>
      </c>
      <c r="Y46" s="183">
        <v>422.79300000000001</v>
      </c>
      <c r="Z46" s="183">
        <v>481.23187000000001</v>
      </c>
    </row>
    <row r="47" spans="1:27" ht="40.15" customHeight="1" thickTop="1" thickBot="1">
      <c r="A47" s="144" t="s">
        <v>19</v>
      </c>
      <c r="B47" s="145" t="s">
        <v>126</v>
      </c>
      <c r="C47" s="71" t="s">
        <v>40</v>
      </c>
      <c r="D47" s="72">
        <v>103</v>
      </c>
      <c r="E47" s="72">
        <v>103</v>
      </c>
      <c r="F47" s="72">
        <v>104</v>
      </c>
      <c r="G47" s="72">
        <v>148</v>
      </c>
      <c r="H47" s="73">
        <v>164</v>
      </c>
      <c r="I47" s="73">
        <v>177</v>
      </c>
      <c r="J47" s="74">
        <v>189</v>
      </c>
      <c r="K47" s="73">
        <v>199</v>
      </c>
      <c r="L47" s="73">
        <v>179</v>
      </c>
      <c r="M47" s="73">
        <v>162</v>
      </c>
      <c r="N47" s="73">
        <v>215</v>
      </c>
      <c r="O47" s="73">
        <v>248</v>
      </c>
      <c r="P47" s="73">
        <v>267.67</v>
      </c>
      <c r="Q47" s="73">
        <v>276.95999999999998</v>
      </c>
      <c r="R47" s="73">
        <v>320</v>
      </c>
      <c r="S47" s="73">
        <v>278.13018867924501</v>
      </c>
      <c r="T47" s="73">
        <v>209</v>
      </c>
      <c r="U47" s="73">
        <v>250</v>
      </c>
      <c r="V47" s="73">
        <v>231</v>
      </c>
      <c r="W47" s="73">
        <v>208.054</v>
      </c>
      <c r="X47" s="73">
        <v>202.64304086000001</v>
      </c>
      <c r="Y47" s="183">
        <v>262.01204086000001</v>
      </c>
      <c r="Z47" s="183">
        <v>274.56904086000003</v>
      </c>
    </row>
    <row r="48" spans="1:27" ht="40.15" customHeight="1" thickTop="1" thickBot="1">
      <c r="A48" s="140">
        <v>6</v>
      </c>
      <c r="B48" s="141" t="s">
        <v>269</v>
      </c>
      <c r="C48" s="81" t="s">
        <v>54</v>
      </c>
      <c r="D48" s="82">
        <v>0</v>
      </c>
      <c r="E48" s="82">
        <v>0</v>
      </c>
      <c r="F48" s="82">
        <v>0</v>
      </c>
      <c r="G48" s="83">
        <v>0</v>
      </c>
      <c r="H48" s="83">
        <v>0</v>
      </c>
      <c r="I48" s="83">
        <v>3</v>
      </c>
      <c r="J48" s="82">
        <v>50</v>
      </c>
      <c r="K48" s="82">
        <v>162</v>
      </c>
      <c r="L48" s="82">
        <v>175</v>
      </c>
      <c r="M48" s="83">
        <v>142</v>
      </c>
      <c r="N48" s="83">
        <v>199</v>
      </c>
      <c r="O48" s="83">
        <v>200</v>
      </c>
      <c r="P48" s="82">
        <f>P49+P52+P56+P58</f>
        <v>251.84400000000002</v>
      </c>
      <c r="Q48" s="82">
        <f>Q49+Q52+Q56+Q58</f>
        <v>243.35900000000001</v>
      </c>
      <c r="R48" s="82">
        <f>R49+R52+R56+R58</f>
        <v>258.5183041307306</v>
      </c>
      <c r="S48" s="82">
        <f t="shared" ref="S48:Z48" si="20">S49+S52+S56+S58</f>
        <v>218</v>
      </c>
      <c r="T48" s="82">
        <f t="shared" si="20"/>
        <v>228.7</v>
      </c>
      <c r="U48" s="82">
        <f t="shared" si="20"/>
        <v>241</v>
      </c>
      <c r="V48" s="82">
        <f t="shared" si="20"/>
        <v>251</v>
      </c>
      <c r="W48" s="82">
        <f t="shared" si="20"/>
        <v>238</v>
      </c>
      <c r="X48" s="82">
        <f t="shared" si="20"/>
        <v>243.03610665333332</v>
      </c>
      <c r="Y48" s="82">
        <f t="shared" si="20"/>
        <v>246.78820000000002</v>
      </c>
      <c r="Z48" s="82">
        <f t="shared" si="20"/>
        <v>283.36500000000001</v>
      </c>
    </row>
    <row r="49" spans="1:28" ht="40.15" customHeight="1" thickTop="1" thickBot="1">
      <c r="A49" s="142">
        <v>6.1</v>
      </c>
      <c r="B49" s="143" t="s">
        <v>190</v>
      </c>
      <c r="C49" s="86" t="s">
        <v>40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f>P50+P51</f>
        <v>0</v>
      </c>
      <c r="Q49" s="87">
        <f>Q50+Q51</f>
        <v>0</v>
      </c>
      <c r="R49" s="87">
        <f>R50+R51</f>
        <v>0</v>
      </c>
      <c r="S49" s="87">
        <f>S50+S51</f>
        <v>0</v>
      </c>
      <c r="T49" s="87">
        <f t="shared" ref="T49:Z49" si="21">T50+T51</f>
        <v>0</v>
      </c>
      <c r="U49" s="87">
        <f t="shared" si="21"/>
        <v>0</v>
      </c>
      <c r="V49" s="87">
        <f t="shared" si="21"/>
        <v>0</v>
      </c>
      <c r="W49" s="87">
        <f t="shared" si="21"/>
        <v>0</v>
      </c>
      <c r="X49" s="87">
        <f t="shared" si="21"/>
        <v>4.3106653333333335E-2</v>
      </c>
      <c r="Y49" s="87">
        <f t="shared" si="21"/>
        <v>0.29620000000000002</v>
      </c>
      <c r="Z49" s="87">
        <f t="shared" si="21"/>
        <v>8.6869999999999994</v>
      </c>
    </row>
    <row r="50" spans="1:28" ht="40.15" customHeight="1" thickTop="1" thickBot="1">
      <c r="A50" s="144" t="s">
        <v>20</v>
      </c>
      <c r="B50" s="145" t="s">
        <v>125</v>
      </c>
      <c r="C50" s="71" t="s">
        <v>40</v>
      </c>
      <c r="D50" s="72">
        <v>0</v>
      </c>
      <c r="E50" s="72">
        <v>0</v>
      </c>
      <c r="F50" s="72">
        <v>0</v>
      </c>
      <c r="G50" s="72">
        <v>0</v>
      </c>
      <c r="H50" s="73">
        <v>0</v>
      </c>
      <c r="I50" s="73">
        <v>0</v>
      </c>
      <c r="J50" s="72">
        <v>0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183">
        <v>0</v>
      </c>
      <c r="Z50" s="183">
        <v>0</v>
      </c>
    </row>
    <row r="51" spans="1:28" ht="40.15" customHeight="1" thickTop="1" thickBot="1">
      <c r="A51" s="144" t="s">
        <v>21</v>
      </c>
      <c r="B51" s="145" t="s">
        <v>126</v>
      </c>
      <c r="C51" s="71" t="s">
        <v>40</v>
      </c>
      <c r="D51" s="72">
        <v>0</v>
      </c>
      <c r="E51" s="72">
        <v>0</v>
      </c>
      <c r="F51" s="72">
        <v>0</v>
      </c>
      <c r="G51" s="72">
        <v>0</v>
      </c>
      <c r="H51" s="73">
        <v>0</v>
      </c>
      <c r="I51" s="73">
        <v>0</v>
      </c>
      <c r="J51" s="72">
        <v>0</v>
      </c>
      <c r="K51" s="73">
        <v>0</v>
      </c>
      <c r="L51" s="73">
        <v>0</v>
      </c>
      <c r="M51" s="73">
        <v>0</v>
      </c>
      <c r="N51" s="73">
        <v>0</v>
      </c>
      <c r="O51" s="73">
        <v>0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  <c r="X51" s="73">
        <v>4.3106653333333335E-2</v>
      </c>
      <c r="Y51" s="183">
        <v>0.29620000000000002</v>
      </c>
      <c r="Z51" s="183">
        <v>8.6869999999999994</v>
      </c>
    </row>
    <row r="52" spans="1:28" ht="40.15" customHeight="1" thickTop="1" thickBot="1">
      <c r="A52" s="142">
        <v>6.2</v>
      </c>
      <c r="B52" s="143" t="s">
        <v>142</v>
      </c>
      <c r="C52" s="86" t="s">
        <v>40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  <c r="I52" s="87">
        <v>3</v>
      </c>
      <c r="J52" s="87">
        <v>49</v>
      </c>
      <c r="K52" s="87">
        <v>162</v>
      </c>
      <c r="L52" s="87">
        <v>175</v>
      </c>
      <c r="M52" s="87">
        <v>132</v>
      </c>
      <c r="N52" s="87">
        <v>156</v>
      </c>
      <c r="O52" s="87">
        <v>170</v>
      </c>
      <c r="P52" s="87">
        <f>SUM(P53:P55)</f>
        <v>228.48500000000001</v>
      </c>
      <c r="Q52" s="87">
        <v>220</v>
      </c>
      <c r="R52" s="87">
        <f>SUM(R53:R55)</f>
        <v>238.9973431307306</v>
      </c>
      <c r="S52" s="87">
        <f>SUM(S53:S55)</f>
        <v>218</v>
      </c>
      <c r="T52" s="87">
        <f>SUM(T53:T55)</f>
        <v>228.7</v>
      </c>
      <c r="U52" s="87">
        <v>241</v>
      </c>
      <c r="V52" s="87">
        <v>251</v>
      </c>
      <c r="W52" s="87">
        <f>238</f>
        <v>238</v>
      </c>
      <c r="X52" s="87">
        <f>+SUM(X53:X55)</f>
        <v>242.99299999999999</v>
      </c>
      <c r="Y52" s="87">
        <f>+SUM(Y53:Y55)</f>
        <v>246.40600000000001</v>
      </c>
      <c r="Z52" s="87">
        <f>+SUM(Z53:Z55)</f>
        <v>274.59199999999998</v>
      </c>
    </row>
    <row r="53" spans="1:28" ht="40.15" customHeight="1" thickTop="1" thickBot="1">
      <c r="A53" s="144" t="s">
        <v>22</v>
      </c>
      <c r="B53" s="145" t="s">
        <v>125</v>
      </c>
      <c r="C53" s="71" t="s">
        <v>40</v>
      </c>
      <c r="D53" s="72">
        <v>0</v>
      </c>
      <c r="E53" s="72">
        <v>0</v>
      </c>
      <c r="F53" s="72">
        <v>0</v>
      </c>
      <c r="G53" s="72">
        <v>0</v>
      </c>
      <c r="H53" s="73">
        <v>0</v>
      </c>
      <c r="I53" s="73">
        <v>3</v>
      </c>
      <c r="J53" s="72">
        <v>45</v>
      </c>
      <c r="K53" s="73">
        <v>146</v>
      </c>
      <c r="L53" s="73">
        <v>105</v>
      </c>
      <c r="M53" s="73">
        <v>51</v>
      </c>
      <c r="N53" s="73">
        <v>78</v>
      </c>
      <c r="O53" s="73">
        <v>75</v>
      </c>
      <c r="P53" s="73">
        <v>30.484999999999999</v>
      </c>
      <c r="Q53" s="73">
        <v>42.484999999999999</v>
      </c>
      <c r="R53" s="73">
        <v>55.997343130730592</v>
      </c>
      <c r="S53" s="73">
        <v>32</v>
      </c>
      <c r="T53" s="73">
        <v>43.4</v>
      </c>
      <c r="U53" s="73">
        <v>49.698999999999998</v>
      </c>
      <c r="V53" s="73">
        <v>53</v>
      </c>
      <c r="W53" s="73">
        <v>61.601999999999997</v>
      </c>
      <c r="X53" s="73">
        <v>83.150999999999996</v>
      </c>
      <c r="Y53" s="183">
        <v>89.745000000000005</v>
      </c>
      <c r="Z53" s="183">
        <v>100.29600000000001</v>
      </c>
    </row>
    <row r="54" spans="1:28" ht="40.15" customHeight="1" thickTop="1" thickBot="1">
      <c r="A54" s="144" t="s">
        <v>23</v>
      </c>
      <c r="B54" s="145" t="s">
        <v>126</v>
      </c>
      <c r="C54" s="71" t="s">
        <v>40</v>
      </c>
      <c r="D54" s="72">
        <v>0</v>
      </c>
      <c r="E54" s="72">
        <v>0</v>
      </c>
      <c r="F54" s="72">
        <v>0</v>
      </c>
      <c r="G54" s="72">
        <v>0</v>
      </c>
      <c r="H54" s="73">
        <v>0</v>
      </c>
      <c r="I54" s="73">
        <v>0</v>
      </c>
      <c r="J54" s="72">
        <v>4</v>
      </c>
      <c r="K54" s="73">
        <v>16</v>
      </c>
      <c r="L54" s="73">
        <v>70</v>
      </c>
      <c r="M54" s="73">
        <v>81</v>
      </c>
      <c r="N54" s="73">
        <v>78</v>
      </c>
      <c r="O54" s="73">
        <v>95</v>
      </c>
      <c r="P54" s="73">
        <v>67</v>
      </c>
      <c r="Q54" s="73">
        <v>56</v>
      </c>
      <c r="R54" s="73">
        <v>49</v>
      </c>
      <c r="S54" s="73">
        <v>26</v>
      </c>
      <c r="T54" s="73">
        <v>16.899999999999999</v>
      </c>
      <c r="U54" s="73">
        <v>10.314</v>
      </c>
      <c r="V54" s="73">
        <v>16</v>
      </c>
      <c r="W54" s="73">
        <v>11.749000000000001</v>
      </c>
      <c r="X54" s="73">
        <v>8.8420000000000005</v>
      </c>
      <c r="Y54" s="183">
        <v>17.661000000000001</v>
      </c>
      <c r="Z54" s="183">
        <v>33.411000000000001</v>
      </c>
    </row>
    <row r="55" spans="1:28" ht="40.15" customHeight="1" thickTop="1" thickBot="1">
      <c r="A55" s="154" t="s">
        <v>61</v>
      </c>
      <c r="B55" s="145" t="s">
        <v>191</v>
      </c>
      <c r="C55" s="71" t="s">
        <v>40</v>
      </c>
      <c r="D55" s="72">
        <v>0</v>
      </c>
      <c r="E55" s="72">
        <v>0</v>
      </c>
      <c r="F55" s="72">
        <v>0</v>
      </c>
      <c r="G55" s="72">
        <v>0</v>
      </c>
      <c r="H55" s="73">
        <v>0</v>
      </c>
      <c r="I55" s="73">
        <v>0</v>
      </c>
      <c r="J55" s="73">
        <v>0</v>
      </c>
      <c r="K55" s="73">
        <v>0</v>
      </c>
      <c r="L55" s="73" t="s">
        <v>55</v>
      </c>
      <c r="M55" s="73" t="s">
        <v>55</v>
      </c>
      <c r="N55" s="73" t="s">
        <v>55</v>
      </c>
      <c r="O55" s="73" t="s">
        <v>55</v>
      </c>
      <c r="P55" s="73">
        <v>131</v>
      </c>
      <c r="Q55" s="76">
        <v>122</v>
      </c>
      <c r="R55" s="76">
        <v>134</v>
      </c>
      <c r="S55" s="73">
        <v>160</v>
      </c>
      <c r="T55" s="73">
        <v>168.4</v>
      </c>
      <c r="U55" s="73">
        <v>180.56</v>
      </c>
      <c r="V55" s="73">
        <v>182</v>
      </c>
      <c r="W55" s="73">
        <v>165</v>
      </c>
      <c r="X55" s="73">
        <v>151</v>
      </c>
      <c r="Y55" s="183">
        <v>139</v>
      </c>
      <c r="Z55" s="183">
        <v>140.88499999999999</v>
      </c>
    </row>
    <row r="56" spans="1:28" ht="40.15" customHeight="1" thickTop="1" thickBot="1">
      <c r="A56" s="142">
        <v>6.3</v>
      </c>
      <c r="B56" s="143" t="s">
        <v>192</v>
      </c>
      <c r="C56" s="86" t="s">
        <v>40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  <c r="I56" s="87">
        <v>0</v>
      </c>
      <c r="J56" s="87">
        <v>1</v>
      </c>
      <c r="K56" s="87">
        <v>0</v>
      </c>
      <c r="L56" s="87">
        <v>0</v>
      </c>
      <c r="M56" s="87">
        <v>0</v>
      </c>
      <c r="N56" s="87">
        <v>0</v>
      </c>
      <c r="O56" s="87">
        <v>0</v>
      </c>
      <c r="P56" s="87">
        <f>P57</f>
        <v>0</v>
      </c>
      <c r="Q56" s="87">
        <v>0</v>
      </c>
      <c r="R56" s="87">
        <f>SUM(R57)</f>
        <v>0</v>
      </c>
      <c r="S56" s="87">
        <f>SUM(S57)</f>
        <v>0</v>
      </c>
      <c r="T56" s="87">
        <v>0</v>
      </c>
      <c r="U56" s="87">
        <v>0</v>
      </c>
      <c r="V56" s="87">
        <v>0</v>
      </c>
      <c r="W56" s="87">
        <v>0</v>
      </c>
      <c r="X56" s="87">
        <v>0</v>
      </c>
      <c r="Y56" s="87">
        <v>0</v>
      </c>
      <c r="Z56" s="87">
        <v>0</v>
      </c>
    </row>
    <row r="57" spans="1:28" ht="40.15" customHeight="1" thickTop="1" thickBot="1">
      <c r="A57" s="144" t="s">
        <v>24</v>
      </c>
      <c r="B57" s="155" t="s">
        <v>193</v>
      </c>
      <c r="C57" s="71" t="s">
        <v>40</v>
      </c>
      <c r="D57" s="72">
        <v>0</v>
      </c>
      <c r="E57" s="72">
        <v>0</v>
      </c>
      <c r="F57" s="72">
        <v>0</v>
      </c>
      <c r="G57" s="72">
        <v>0</v>
      </c>
      <c r="H57" s="73">
        <v>0</v>
      </c>
      <c r="I57" s="73">
        <v>0</v>
      </c>
      <c r="J57" s="72">
        <v>0</v>
      </c>
      <c r="K57" s="73">
        <v>0</v>
      </c>
      <c r="L57" s="73">
        <v>0</v>
      </c>
      <c r="M57" s="73">
        <v>0</v>
      </c>
      <c r="N57" s="73">
        <v>0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3">
        <v>0</v>
      </c>
      <c r="Y57" s="183">
        <v>0</v>
      </c>
      <c r="Z57" s="183">
        <v>0</v>
      </c>
    </row>
    <row r="58" spans="1:28" ht="40.15" customHeight="1" thickTop="1" thickBot="1">
      <c r="A58" s="142">
        <v>6.4</v>
      </c>
      <c r="B58" s="143" t="s">
        <v>143</v>
      </c>
      <c r="C58" s="86" t="s">
        <v>40</v>
      </c>
      <c r="D58" s="87">
        <v>0</v>
      </c>
      <c r="E58" s="87">
        <v>0</v>
      </c>
      <c r="F58" s="87">
        <v>0</v>
      </c>
      <c r="G58" s="87">
        <v>0</v>
      </c>
      <c r="H58" s="87">
        <v>0</v>
      </c>
      <c r="I58" s="87">
        <v>0</v>
      </c>
      <c r="J58" s="87">
        <v>0</v>
      </c>
      <c r="K58" s="87">
        <v>0</v>
      </c>
      <c r="L58" s="87">
        <v>0</v>
      </c>
      <c r="M58" s="87">
        <v>10</v>
      </c>
      <c r="N58" s="87">
        <v>43</v>
      </c>
      <c r="O58" s="87">
        <v>30</v>
      </c>
      <c r="P58" s="87">
        <f>P59+P60+P61</f>
        <v>23.359000000000002</v>
      </c>
      <c r="Q58" s="87">
        <f>Q59+Q60+Q61</f>
        <v>23.359000000000002</v>
      </c>
      <c r="R58" s="87">
        <f>SUM(R59:R61)</f>
        <v>19.520961000000028</v>
      </c>
      <c r="S58" s="87">
        <f>SUM(S59:S61)</f>
        <v>0</v>
      </c>
      <c r="T58" s="87">
        <v>0</v>
      </c>
      <c r="U58" s="87">
        <v>0</v>
      </c>
      <c r="V58" s="87">
        <v>0</v>
      </c>
      <c r="W58" s="87">
        <f>SUM(W59:W61)</f>
        <v>0</v>
      </c>
      <c r="X58" s="87">
        <f>SUM(X59:X61)</f>
        <v>0</v>
      </c>
      <c r="Y58" s="87">
        <f>SUM(Y59:Y61)</f>
        <v>8.5999999999999993E-2</v>
      </c>
      <c r="Z58" s="87">
        <f>SUM(Z59:Z61)</f>
        <v>8.5999999999999993E-2</v>
      </c>
    </row>
    <row r="59" spans="1:28" ht="40.15" customHeight="1" thickTop="1" thickBot="1">
      <c r="A59" s="144" t="s">
        <v>25</v>
      </c>
      <c r="B59" s="145" t="s">
        <v>194</v>
      </c>
      <c r="C59" s="71" t="s">
        <v>40</v>
      </c>
      <c r="D59" s="72">
        <v>0</v>
      </c>
      <c r="E59" s="72">
        <v>0</v>
      </c>
      <c r="F59" s="72">
        <v>0</v>
      </c>
      <c r="G59" s="72">
        <v>0</v>
      </c>
      <c r="H59" s="73">
        <v>0</v>
      </c>
      <c r="I59" s="73">
        <v>0</v>
      </c>
      <c r="J59" s="72">
        <v>0</v>
      </c>
      <c r="K59" s="73">
        <v>0</v>
      </c>
      <c r="L59" s="73">
        <v>0</v>
      </c>
      <c r="M59" s="73">
        <v>0</v>
      </c>
      <c r="N59" s="73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0</v>
      </c>
      <c r="V59" s="73">
        <v>0</v>
      </c>
      <c r="W59" s="73">
        <v>0</v>
      </c>
      <c r="X59" s="73">
        <v>0</v>
      </c>
      <c r="Y59" s="183">
        <v>0</v>
      </c>
      <c r="Z59" s="183">
        <v>0</v>
      </c>
      <c r="AB59" s="55"/>
    </row>
    <row r="60" spans="1:28" ht="40.15" customHeight="1" thickTop="1" thickBot="1">
      <c r="A60" s="144" t="s">
        <v>26</v>
      </c>
      <c r="B60" s="145" t="s">
        <v>144</v>
      </c>
      <c r="C60" s="71" t="s">
        <v>40</v>
      </c>
      <c r="D60" s="72">
        <v>0</v>
      </c>
      <c r="E60" s="72">
        <v>0</v>
      </c>
      <c r="F60" s="72">
        <v>0</v>
      </c>
      <c r="G60" s="72">
        <v>0</v>
      </c>
      <c r="H60" s="73">
        <v>0</v>
      </c>
      <c r="I60" s="73">
        <v>0</v>
      </c>
      <c r="J60" s="72">
        <v>0</v>
      </c>
      <c r="K60" s="73">
        <v>0</v>
      </c>
      <c r="L60" s="73">
        <v>0</v>
      </c>
      <c r="M60" s="73">
        <v>10</v>
      </c>
      <c r="N60" s="73">
        <v>43</v>
      </c>
      <c r="O60" s="73">
        <v>30</v>
      </c>
      <c r="P60" s="73">
        <v>23.359000000000002</v>
      </c>
      <c r="Q60" s="73">
        <v>23.359000000000002</v>
      </c>
      <c r="R60" s="73">
        <v>19.520961000000028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  <c r="X60" s="73">
        <v>0</v>
      </c>
      <c r="Y60" s="183">
        <v>0</v>
      </c>
      <c r="Z60" s="183">
        <v>0</v>
      </c>
    </row>
    <row r="61" spans="1:28" ht="40.15" customHeight="1" thickTop="1" thickBot="1">
      <c r="A61" s="144" t="s">
        <v>27</v>
      </c>
      <c r="B61" s="145" t="s">
        <v>195</v>
      </c>
      <c r="C61" s="71" t="s">
        <v>40</v>
      </c>
      <c r="D61" s="72">
        <v>0</v>
      </c>
      <c r="E61" s="72">
        <v>0</v>
      </c>
      <c r="F61" s="72">
        <v>0</v>
      </c>
      <c r="G61" s="72">
        <v>0</v>
      </c>
      <c r="H61" s="73">
        <v>0</v>
      </c>
      <c r="I61" s="73">
        <v>0</v>
      </c>
      <c r="J61" s="72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</v>
      </c>
      <c r="V61" s="73">
        <v>0</v>
      </c>
      <c r="W61" s="73">
        <v>0</v>
      </c>
      <c r="X61" s="73">
        <v>0</v>
      </c>
      <c r="Y61" s="183">
        <v>8.5999999999999993E-2</v>
      </c>
      <c r="Z61" s="183">
        <v>8.5999999999999993E-2</v>
      </c>
    </row>
    <row r="62" spans="1:28" ht="40.15" customHeight="1" thickTop="1" thickBot="1">
      <c r="A62" s="140">
        <v>7</v>
      </c>
      <c r="B62" s="141" t="s">
        <v>108</v>
      </c>
      <c r="C62" s="81" t="s">
        <v>53</v>
      </c>
      <c r="D62" s="82">
        <v>34</v>
      </c>
      <c r="E62" s="82">
        <v>35</v>
      </c>
      <c r="F62" s="82">
        <v>35</v>
      </c>
      <c r="G62" s="83">
        <v>35</v>
      </c>
      <c r="H62" s="83">
        <v>38</v>
      </c>
      <c r="I62" s="83">
        <v>34</v>
      </c>
      <c r="J62" s="82">
        <v>34</v>
      </c>
      <c r="K62" s="82">
        <v>32</v>
      </c>
      <c r="L62" s="82">
        <v>32</v>
      </c>
      <c r="M62" s="83">
        <v>30</v>
      </c>
      <c r="N62" s="83">
        <v>34</v>
      </c>
      <c r="O62" s="83">
        <v>34</v>
      </c>
      <c r="P62" s="82">
        <v>40</v>
      </c>
      <c r="Q62" s="82">
        <v>36</v>
      </c>
      <c r="R62" s="82">
        <f>+R63+R64+R65+R70</f>
        <v>12.5</v>
      </c>
      <c r="S62" s="82">
        <f>+S63+S64+S65+S70</f>
        <v>1</v>
      </c>
      <c r="T62" s="82">
        <v>0</v>
      </c>
      <c r="U62" s="82">
        <v>0</v>
      </c>
      <c r="V62" s="82">
        <v>0</v>
      </c>
      <c r="W62" s="83">
        <v>0</v>
      </c>
      <c r="X62" s="83">
        <v>0</v>
      </c>
      <c r="Y62" s="83">
        <v>0</v>
      </c>
      <c r="Z62" s="83">
        <v>0</v>
      </c>
    </row>
    <row r="63" spans="1:28" ht="40.15" customHeight="1" thickTop="1" thickBot="1">
      <c r="A63" s="142">
        <v>7.1</v>
      </c>
      <c r="B63" s="143" t="s">
        <v>196</v>
      </c>
      <c r="C63" s="86" t="s">
        <v>53</v>
      </c>
      <c r="D63" s="87">
        <v>2</v>
      </c>
      <c r="E63" s="87">
        <v>3</v>
      </c>
      <c r="F63" s="87">
        <v>3</v>
      </c>
      <c r="G63" s="87">
        <v>3</v>
      </c>
      <c r="H63" s="87">
        <v>3</v>
      </c>
      <c r="I63" s="87">
        <v>3</v>
      </c>
      <c r="J63" s="87">
        <v>3</v>
      </c>
      <c r="K63" s="87">
        <v>3</v>
      </c>
      <c r="L63" s="87">
        <v>3</v>
      </c>
      <c r="M63" s="87">
        <v>3</v>
      </c>
      <c r="N63" s="87">
        <v>3</v>
      </c>
      <c r="O63" s="87">
        <v>3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</row>
    <row r="64" spans="1:28" ht="40.15" customHeight="1" thickTop="1" thickBot="1">
      <c r="A64" s="142">
        <v>7.2</v>
      </c>
      <c r="B64" s="143" t="s">
        <v>197</v>
      </c>
      <c r="C64" s="86" t="s">
        <v>53</v>
      </c>
      <c r="D64" s="87">
        <v>3</v>
      </c>
      <c r="E64" s="87">
        <v>3</v>
      </c>
      <c r="F64" s="87">
        <v>3</v>
      </c>
      <c r="G64" s="87">
        <v>3</v>
      </c>
      <c r="H64" s="87">
        <v>3</v>
      </c>
      <c r="I64" s="87">
        <v>3</v>
      </c>
      <c r="J64" s="87">
        <v>3</v>
      </c>
      <c r="K64" s="87">
        <v>3</v>
      </c>
      <c r="L64" s="87">
        <v>3</v>
      </c>
      <c r="M64" s="87">
        <v>3</v>
      </c>
      <c r="N64" s="87">
        <v>3</v>
      </c>
      <c r="O64" s="87">
        <v>3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</row>
    <row r="65" spans="1:27" ht="40.15" customHeight="1" thickTop="1" thickBot="1">
      <c r="A65" s="142">
        <v>7.3</v>
      </c>
      <c r="B65" s="143" t="s">
        <v>198</v>
      </c>
      <c r="C65" s="86" t="s">
        <v>53</v>
      </c>
      <c r="D65" s="87">
        <v>29</v>
      </c>
      <c r="E65" s="87">
        <v>29</v>
      </c>
      <c r="F65" s="87">
        <v>29</v>
      </c>
      <c r="G65" s="87">
        <v>29</v>
      </c>
      <c r="H65" s="87">
        <v>32</v>
      </c>
      <c r="I65" s="87">
        <v>28</v>
      </c>
      <c r="J65" s="87">
        <v>28</v>
      </c>
      <c r="K65" s="87">
        <v>26</v>
      </c>
      <c r="L65" s="87">
        <v>26</v>
      </c>
      <c r="M65" s="87">
        <v>24</v>
      </c>
      <c r="N65" s="87">
        <v>28</v>
      </c>
      <c r="O65" s="87">
        <v>28</v>
      </c>
      <c r="P65" s="87">
        <v>40</v>
      </c>
      <c r="Q65" s="87">
        <v>36</v>
      </c>
      <c r="R65" s="87">
        <f>SUM(R66:R69)</f>
        <v>12.5</v>
      </c>
      <c r="S65" s="87">
        <f>SUM(S66:S69)</f>
        <v>1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</row>
    <row r="66" spans="1:27" ht="40.15" customHeight="1" thickTop="1" thickBot="1">
      <c r="A66" s="144" t="s">
        <v>28</v>
      </c>
      <c r="B66" s="145" t="s">
        <v>199</v>
      </c>
      <c r="C66" s="71" t="s">
        <v>53</v>
      </c>
      <c r="D66" s="72">
        <v>0</v>
      </c>
      <c r="E66" s="72">
        <v>0</v>
      </c>
      <c r="F66" s="72">
        <v>0</v>
      </c>
      <c r="G66" s="72">
        <v>0</v>
      </c>
      <c r="H66" s="73">
        <v>0</v>
      </c>
      <c r="I66" s="73">
        <v>0</v>
      </c>
      <c r="J66" s="72">
        <v>0</v>
      </c>
      <c r="K66" s="73">
        <v>0</v>
      </c>
      <c r="L66" s="73">
        <v>0</v>
      </c>
      <c r="M66" s="73">
        <v>0</v>
      </c>
      <c r="N66" s="77">
        <v>0</v>
      </c>
      <c r="O66" s="73">
        <v>0</v>
      </c>
      <c r="P66" s="73">
        <v>0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  <c r="X66" s="73">
        <v>0</v>
      </c>
      <c r="Y66" s="183">
        <v>0</v>
      </c>
      <c r="Z66" s="183">
        <v>0</v>
      </c>
    </row>
    <row r="67" spans="1:27" ht="40.15" customHeight="1" thickTop="1" thickBot="1">
      <c r="A67" s="144" t="s">
        <v>29</v>
      </c>
      <c r="B67" s="145" t="s">
        <v>200</v>
      </c>
      <c r="C67" s="71" t="s">
        <v>53</v>
      </c>
      <c r="D67" s="72">
        <v>29</v>
      </c>
      <c r="E67" s="72">
        <v>29</v>
      </c>
      <c r="F67" s="72">
        <v>29</v>
      </c>
      <c r="G67" s="72">
        <v>29</v>
      </c>
      <c r="H67" s="73">
        <v>32</v>
      </c>
      <c r="I67" s="73">
        <v>28</v>
      </c>
      <c r="J67" s="72">
        <v>28</v>
      </c>
      <c r="K67" s="73">
        <v>26</v>
      </c>
      <c r="L67" s="73">
        <v>26</v>
      </c>
      <c r="M67" s="73">
        <v>24</v>
      </c>
      <c r="N67" s="77">
        <v>28</v>
      </c>
      <c r="O67" s="73">
        <v>28</v>
      </c>
      <c r="P67" s="73">
        <v>40</v>
      </c>
      <c r="Q67" s="73">
        <v>36</v>
      </c>
      <c r="R67" s="73">
        <v>12.5</v>
      </c>
      <c r="S67" s="73">
        <v>1</v>
      </c>
      <c r="T67" s="73">
        <v>0</v>
      </c>
      <c r="U67" s="73">
        <v>0</v>
      </c>
      <c r="V67" s="73">
        <v>0</v>
      </c>
      <c r="W67" s="73">
        <v>0</v>
      </c>
      <c r="X67" s="73">
        <v>0</v>
      </c>
      <c r="Y67" s="183">
        <v>0</v>
      </c>
      <c r="Z67" s="183">
        <v>0</v>
      </c>
    </row>
    <row r="68" spans="1:27" ht="40.15" customHeight="1" thickTop="1" thickBot="1">
      <c r="A68" s="144" t="s">
        <v>30</v>
      </c>
      <c r="B68" s="145" t="s">
        <v>201</v>
      </c>
      <c r="C68" s="71" t="s">
        <v>53</v>
      </c>
      <c r="D68" s="72">
        <v>0</v>
      </c>
      <c r="E68" s="72">
        <v>0</v>
      </c>
      <c r="F68" s="72">
        <v>0</v>
      </c>
      <c r="G68" s="72">
        <v>0</v>
      </c>
      <c r="H68" s="73">
        <v>0</v>
      </c>
      <c r="I68" s="73">
        <v>0</v>
      </c>
      <c r="J68" s="72">
        <v>0</v>
      </c>
      <c r="K68" s="73">
        <v>0</v>
      </c>
      <c r="L68" s="73">
        <v>0</v>
      </c>
      <c r="M68" s="73">
        <v>0</v>
      </c>
      <c r="N68" s="77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0</v>
      </c>
      <c r="Y68" s="183">
        <v>0</v>
      </c>
      <c r="Z68" s="183">
        <v>0</v>
      </c>
    </row>
    <row r="69" spans="1:27" ht="40.15" customHeight="1" thickTop="1" thickBot="1">
      <c r="A69" s="144" t="s">
        <v>31</v>
      </c>
      <c r="B69" s="145" t="s">
        <v>202</v>
      </c>
      <c r="C69" s="71" t="s">
        <v>53</v>
      </c>
      <c r="D69" s="72">
        <v>0</v>
      </c>
      <c r="E69" s="72">
        <v>0</v>
      </c>
      <c r="F69" s="72">
        <v>0</v>
      </c>
      <c r="G69" s="72">
        <v>0</v>
      </c>
      <c r="H69" s="73">
        <v>0</v>
      </c>
      <c r="I69" s="73">
        <v>0</v>
      </c>
      <c r="J69" s="72">
        <v>0</v>
      </c>
      <c r="K69" s="73">
        <v>0</v>
      </c>
      <c r="L69" s="73">
        <v>0</v>
      </c>
      <c r="M69" s="73">
        <v>0</v>
      </c>
      <c r="N69" s="77">
        <v>0</v>
      </c>
      <c r="O69" s="73">
        <v>0</v>
      </c>
      <c r="P69" s="73">
        <v>0</v>
      </c>
      <c r="Q69" s="73">
        <v>0</v>
      </c>
      <c r="R69" s="73">
        <v>0</v>
      </c>
      <c r="S69" s="73">
        <v>0</v>
      </c>
      <c r="T69" s="73">
        <v>0</v>
      </c>
      <c r="U69" s="73">
        <v>0</v>
      </c>
      <c r="V69" s="73">
        <v>0</v>
      </c>
      <c r="W69" s="73">
        <v>0</v>
      </c>
      <c r="X69" s="73">
        <v>0</v>
      </c>
      <c r="Y69" s="183">
        <v>0</v>
      </c>
      <c r="Z69" s="183">
        <v>0</v>
      </c>
    </row>
    <row r="70" spans="1:27" ht="40.15" customHeight="1" thickTop="1" thickBot="1">
      <c r="A70" s="142">
        <v>7.4</v>
      </c>
      <c r="B70" s="143" t="s">
        <v>203</v>
      </c>
      <c r="C70" s="86" t="s">
        <v>53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</row>
    <row r="71" spans="1:27" ht="40.15" customHeight="1" thickTop="1" thickBot="1">
      <c r="A71" s="140">
        <v>8</v>
      </c>
      <c r="B71" s="141" t="s">
        <v>204</v>
      </c>
      <c r="C71" s="81" t="s">
        <v>53</v>
      </c>
      <c r="D71" s="82">
        <v>0</v>
      </c>
      <c r="E71" s="82">
        <v>0</v>
      </c>
      <c r="F71" s="82">
        <v>0</v>
      </c>
      <c r="G71" s="83">
        <v>0</v>
      </c>
      <c r="H71" s="83">
        <v>0</v>
      </c>
      <c r="I71" s="83">
        <v>0</v>
      </c>
      <c r="J71" s="82">
        <v>0</v>
      </c>
      <c r="K71" s="82">
        <v>0</v>
      </c>
      <c r="L71" s="82">
        <v>0</v>
      </c>
      <c r="M71" s="83">
        <v>0</v>
      </c>
      <c r="N71" s="83">
        <v>0</v>
      </c>
      <c r="O71" s="83">
        <v>0</v>
      </c>
      <c r="P71" s="82">
        <v>0</v>
      </c>
      <c r="Q71" s="82">
        <v>0</v>
      </c>
      <c r="R71" s="82">
        <f>SUM(R72:R73)</f>
        <v>0</v>
      </c>
      <c r="S71" s="82">
        <f>SUM(S72:S73)</f>
        <v>0</v>
      </c>
      <c r="T71" s="82">
        <v>0</v>
      </c>
      <c r="U71" s="82">
        <v>0</v>
      </c>
      <c r="V71" s="82">
        <v>0</v>
      </c>
      <c r="W71" s="83">
        <v>0</v>
      </c>
      <c r="X71" s="83">
        <v>0</v>
      </c>
      <c r="Y71" s="83">
        <v>0</v>
      </c>
      <c r="Z71" s="83">
        <v>0</v>
      </c>
    </row>
    <row r="72" spans="1:27" ht="40.15" customHeight="1" thickTop="1" thickBot="1">
      <c r="A72" s="142">
        <v>8.1</v>
      </c>
      <c r="B72" s="143" t="s">
        <v>205</v>
      </c>
      <c r="C72" s="86" t="s">
        <v>53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0</v>
      </c>
      <c r="T72" s="87">
        <v>0</v>
      </c>
      <c r="U72" s="87">
        <v>0</v>
      </c>
      <c r="V72" s="87">
        <v>0</v>
      </c>
      <c r="W72" s="87">
        <v>0</v>
      </c>
      <c r="X72" s="87">
        <v>0</v>
      </c>
      <c r="Y72" s="87">
        <v>0</v>
      </c>
      <c r="Z72" s="87">
        <v>0</v>
      </c>
    </row>
    <row r="73" spans="1:27" ht="40.15" customHeight="1" thickTop="1" thickBot="1">
      <c r="A73" s="142">
        <v>8.1999999999999993</v>
      </c>
      <c r="B73" s="143" t="s">
        <v>145</v>
      </c>
      <c r="C73" s="86" t="s">
        <v>53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</row>
    <row r="74" spans="1:27" ht="40.15" customHeight="1" thickTop="1" thickBot="1">
      <c r="A74" s="140">
        <v>9</v>
      </c>
      <c r="B74" s="141" t="s">
        <v>109</v>
      </c>
      <c r="C74" s="81" t="s">
        <v>53</v>
      </c>
      <c r="D74" s="82">
        <v>13</v>
      </c>
      <c r="E74" s="82">
        <v>13</v>
      </c>
      <c r="F74" s="82">
        <v>17</v>
      </c>
      <c r="G74" s="83">
        <v>17</v>
      </c>
      <c r="H74" s="83">
        <v>10</v>
      </c>
      <c r="I74" s="83">
        <v>15</v>
      </c>
      <c r="J74" s="82">
        <v>15</v>
      </c>
      <c r="K74" s="82">
        <v>17</v>
      </c>
      <c r="L74" s="82">
        <v>17</v>
      </c>
      <c r="M74" s="83">
        <v>18</v>
      </c>
      <c r="N74" s="83">
        <v>21</v>
      </c>
      <c r="O74" s="83">
        <v>25</v>
      </c>
      <c r="P74" s="82">
        <v>39</v>
      </c>
      <c r="Q74" s="82">
        <v>41</v>
      </c>
      <c r="R74" s="82">
        <v>11.836855999999999</v>
      </c>
      <c r="S74" s="82">
        <v>16</v>
      </c>
      <c r="T74" s="82">
        <v>21</v>
      </c>
      <c r="U74" s="82">
        <v>73</v>
      </c>
      <c r="V74" s="82">
        <v>82</v>
      </c>
      <c r="W74" s="82">
        <v>66</v>
      </c>
      <c r="X74" s="82">
        <v>70.150930000000002</v>
      </c>
      <c r="Y74" s="82">
        <v>23.46</v>
      </c>
      <c r="Z74" s="82">
        <v>24.203888669999998</v>
      </c>
      <c r="AA74" s="190"/>
    </row>
    <row r="75" spans="1:27" ht="40.15" customHeight="1" thickTop="1" thickBot="1">
      <c r="A75" s="140">
        <v>10</v>
      </c>
      <c r="B75" s="141" t="s">
        <v>110</v>
      </c>
      <c r="C75" s="81" t="s">
        <v>53</v>
      </c>
      <c r="D75" s="82">
        <v>88</v>
      </c>
      <c r="E75" s="82">
        <v>88</v>
      </c>
      <c r="F75" s="82">
        <v>89</v>
      </c>
      <c r="G75" s="83">
        <v>89</v>
      </c>
      <c r="H75" s="83">
        <v>100</v>
      </c>
      <c r="I75" s="83">
        <v>98</v>
      </c>
      <c r="J75" s="82">
        <v>98</v>
      </c>
      <c r="K75" s="82">
        <v>90</v>
      </c>
      <c r="L75" s="82">
        <v>90</v>
      </c>
      <c r="M75" s="83">
        <v>83</v>
      </c>
      <c r="N75" s="83">
        <v>96</v>
      </c>
      <c r="O75" s="83">
        <v>96</v>
      </c>
      <c r="P75" s="162">
        <f>+P81+P76+P82+P87</f>
        <v>132.34377252000002</v>
      </c>
      <c r="Q75" s="162">
        <f>+Q81+Q76+Q82+Q87</f>
        <v>128.50146732000002</v>
      </c>
      <c r="R75" s="162">
        <f>+R76+R81+R82+R87</f>
        <v>120.80780263999991</v>
      </c>
      <c r="S75" s="162">
        <f>+S76+S81+S82+S87</f>
        <v>127.27479935999992</v>
      </c>
      <c r="T75" s="162">
        <f>+T76+T81+T82+T87</f>
        <v>99.560641040000007</v>
      </c>
      <c r="U75" s="162">
        <f>+U76+U81+U82+U87</f>
        <v>64.112004619999993</v>
      </c>
      <c r="V75" s="162">
        <f t="shared" ref="V75:Z75" si="22">+V76+V81+V82+V87</f>
        <v>59.244347149999996</v>
      </c>
      <c r="W75" s="162">
        <f t="shared" si="22"/>
        <v>53.817238700000004</v>
      </c>
      <c r="X75" s="162">
        <f t="shared" si="22"/>
        <v>49.158618160000003</v>
      </c>
      <c r="Y75" s="162">
        <f t="shared" si="22"/>
        <v>52.524457070000004</v>
      </c>
      <c r="Z75" s="162">
        <f t="shared" si="22"/>
        <v>51.46288938</v>
      </c>
      <c r="AA75" s="57"/>
    </row>
    <row r="76" spans="1:27" ht="40.15" customHeight="1" thickTop="1" thickBot="1">
      <c r="A76" s="142">
        <v>10.1</v>
      </c>
      <c r="B76" s="143" t="s">
        <v>206</v>
      </c>
      <c r="C76" s="86" t="s">
        <v>53</v>
      </c>
      <c r="D76" s="87">
        <v>49</v>
      </c>
      <c r="E76" s="87">
        <v>49</v>
      </c>
      <c r="F76" s="87">
        <v>49</v>
      </c>
      <c r="G76" s="87">
        <v>49</v>
      </c>
      <c r="H76" s="87">
        <v>53</v>
      </c>
      <c r="I76" s="87">
        <v>51</v>
      </c>
      <c r="J76" s="87">
        <v>51</v>
      </c>
      <c r="K76" s="87">
        <v>48</v>
      </c>
      <c r="L76" s="87">
        <v>48</v>
      </c>
      <c r="M76" s="87">
        <v>44</v>
      </c>
      <c r="N76" s="87">
        <v>51</v>
      </c>
      <c r="O76" s="87">
        <v>51</v>
      </c>
      <c r="P76" s="176">
        <f>SUM(P77:P80)</f>
        <v>49.343772520000002</v>
      </c>
      <c r="Q76" s="176">
        <f t="shared" ref="Q76:Z76" si="23">SUM(Q77:Q80)</f>
        <v>48.983467320000003</v>
      </c>
      <c r="R76" s="176">
        <f t="shared" si="23"/>
        <v>55.8348026399999</v>
      </c>
      <c r="S76" s="176">
        <f t="shared" si="23"/>
        <v>53.547799359999907</v>
      </c>
      <c r="T76" s="176">
        <f t="shared" si="23"/>
        <v>36.560641040000007</v>
      </c>
      <c r="U76" s="176">
        <f t="shared" si="23"/>
        <v>2.0100046200000001</v>
      </c>
      <c r="V76" s="176">
        <f t="shared" si="23"/>
        <v>0.24434715000000004</v>
      </c>
      <c r="W76" s="176">
        <f t="shared" si="23"/>
        <v>3.2386999999999997E-3</v>
      </c>
      <c r="X76" s="176">
        <f t="shared" si="23"/>
        <v>4.0846499999999996E-3</v>
      </c>
      <c r="Y76" s="176">
        <f t="shared" si="23"/>
        <v>9.9240399999999986E-3</v>
      </c>
      <c r="Z76" s="176">
        <f t="shared" si="23"/>
        <v>9.9240399999999986E-3</v>
      </c>
      <c r="AA76" s="57"/>
    </row>
    <row r="77" spans="1:27" ht="40.15" customHeight="1" thickTop="1" thickBot="1">
      <c r="A77" s="144" t="s">
        <v>32</v>
      </c>
      <c r="B77" s="156" t="s">
        <v>207</v>
      </c>
      <c r="C77" s="71" t="s">
        <v>53</v>
      </c>
      <c r="D77" s="72">
        <v>0</v>
      </c>
      <c r="E77" s="72">
        <v>0</v>
      </c>
      <c r="F77" s="72">
        <v>0</v>
      </c>
      <c r="G77" s="72">
        <v>0</v>
      </c>
      <c r="H77" s="73">
        <v>0</v>
      </c>
      <c r="I77" s="73">
        <v>0</v>
      </c>
      <c r="J77" s="72">
        <v>0</v>
      </c>
      <c r="K77" s="73">
        <v>0</v>
      </c>
      <c r="L77" s="73">
        <v>0</v>
      </c>
      <c r="M77" s="73">
        <v>0</v>
      </c>
      <c r="N77" s="73">
        <v>0</v>
      </c>
      <c r="O77" s="73">
        <v>0</v>
      </c>
      <c r="P77" s="73">
        <v>0</v>
      </c>
      <c r="Q77" s="73">
        <v>0</v>
      </c>
      <c r="R77" s="73">
        <v>0</v>
      </c>
      <c r="S77" s="73">
        <v>0</v>
      </c>
      <c r="T77" s="73">
        <v>0</v>
      </c>
      <c r="U77" s="73">
        <v>0</v>
      </c>
      <c r="V77" s="73">
        <v>0</v>
      </c>
      <c r="W77" s="73">
        <v>0</v>
      </c>
      <c r="X77" s="73">
        <v>3.4129999999999998E-3</v>
      </c>
      <c r="Y77" s="183">
        <v>9.8879999999999992E-3</v>
      </c>
      <c r="Z77" s="183">
        <v>9.8879999999999992E-3</v>
      </c>
      <c r="AA77" s="57"/>
    </row>
    <row r="78" spans="1:27" ht="40.15" customHeight="1" thickTop="1" thickBot="1">
      <c r="A78" s="144" t="s">
        <v>33</v>
      </c>
      <c r="B78" s="156" t="s">
        <v>146</v>
      </c>
      <c r="C78" s="71" t="s">
        <v>53</v>
      </c>
      <c r="D78" s="72">
        <v>0</v>
      </c>
      <c r="E78" s="72">
        <v>0</v>
      </c>
      <c r="F78" s="72">
        <v>0</v>
      </c>
      <c r="G78" s="72">
        <v>0</v>
      </c>
      <c r="H78" s="73">
        <v>0</v>
      </c>
      <c r="I78" s="73">
        <v>0</v>
      </c>
      <c r="J78" s="72">
        <v>0</v>
      </c>
      <c r="K78" s="73">
        <v>0</v>
      </c>
      <c r="L78" s="73">
        <v>0</v>
      </c>
      <c r="M78" s="73">
        <v>0</v>
      </c>
      <c r="N78" s="73">
        <v>0</v>
      </c>
      <c r="O78" s="73">
        <v>0</v>
      </c>
      <c r="P78" s="73">
        <v>0</v>
      </c>
      <c r="Q78" s="73">
        <v>0</v>
      </c>
      <c r="R78" s="73">
        <v>0</v>
      </c>
      <c r="S78" s="73">
        <v>0</v>
      </c>
      <c r="T78" s="73">
        <v>0</v>
      </c>
      <c r="U78" s="73">
        <v>0</v>
      </c>
      <c r="V78" s="73">
        <v>0</v>
      </c>
      <c r="W78" s="73">
        <v>0</v>
      </c>
      <c r="X78" s="73">
        <v>0</v>
      </c>
      <c r="Y78" s="183">
        <v>0</v>
      </c>
      <c r="Z78" s="183">
        <v>0</v>
      </c>
      <c r="AA78" s="57"/>
    </row>
    <row r="79" spans="1:27" ht="40.15" customHeight="1" thickTop="1" thickBot="1">
      <c r="A79" s="144" t="s">
        <v>34</v>
      </c>
      <c r="B79" s="156" t="s">
        <v>208</v>
      </c>
      <c r="C79" s="71" t="s">
        <v>53</v>
      </c>
      <c r="D79" s="195">
        <v>20</v>
      </c>
      <c r="E79" s="195">
        <v>20</v>
      </c>
      <c r="F79" s="195">
        <v>20</v>
      </c>
      <c r="G79" s="195">
        <v>20</v>
      </c>
      <c r="H79" s="73">
        <v>17</v>
      </c>
      <c r="I79" s="73">
        <v>17</v>
      </c>
      <c r="J79" s="74">
        <v>17</v>
      </c>
      <c r="K79" s="73">
        <v>16</v>
      </c>
      <c r="L79" s="73">
        <v>16</v>
      </c>
      <c r="M79" s="73">
        <v>15</v>
      </c>
      <c r="N79" s="73">
        <v>17</v>
      </c>
      <c r="O79" s="73">
        <v>20</v>
      </c>
      <c r="P79" s="73">
        <v>20</v>
      </c>
      <c r="Q79" s="73">
        <v>19</v>
      </c>
      <c r="R79" s="73">
        <v>21</v>
      </c>
      <c r="S79" s="73">
        <v>18</v>
      </c>
      <c r="T79" s="73">
        <v>14</v>
      </c>
      <c r="U79" s="73">
        <v>0</v>
      </c>
      <c r="V79" s="73">
        <v>0</v>
      </c>
      <c r="W79" s="73">
        <v>0</v>
      </c>
      <c r="X79" s="73">
        <v>6.7164999999999998E-4</v>
      </c>
      <c r="Y79" s="183">
        <v>3.6040000000000001E-5</v>
      </c>
      <c r="Z79" s="183">
        <v>3.6040000000000001E-5</v>
      </c>
      <c r="AA79" s="57"/>
    </row>
    <row r="80" spans="1:27" ht="40.15" customHeight="1" thickTop="1" thickBot="1">
      <c r="A80" s="144" t="s">
        <v>35</v>
      </c>
      <c r="B80" s="156" t="s">
        <v>147</v>
      </c>
      <c r="C80" s="71" t="s">
        <v>53</v>
      </c>
      <c r="D80" s="195">
        <v>29</v>
      </c>
      <c r="E80" s="195">
        <v>29</v>
      </c>
      <c r="F80" s="195">
        <v>29</v>
      </c>
      <c r="G80" s="195">
        <v>29</v>
      </c>
      <c r="H80" s="73">
        <v>36</v>
      </c>
      <c r="I80" s="73">
        <v>34</v>
      </c>
      <c r="J80" s="74">
        <v>34</v>
      </c>
      <c r="K80" s="73">
        <v>32</v>
      </c>
      <c r="L80" s="73">
        <v>32</v>
      </c>
      <c r="M80" s="73">
        <v>29</v>
      </c>
      <c r="N80" s="73">
        <v>34</v>
      </c>
      <c r="O80" s="73">
        <v>31</v>
      </c>
      <c r="P80" s="162">
        <v>29.343772520000002</v>
      </c>
      <c r="Q80" s="162">
        <v>29.983467320000003</v>
      </c>
      <c r="R80" s="162">
        <v>34.8348026399999</v>
      </c>
      <c r="S80" s="162">
        <v>35.547799359999907</v>
      </c>
      <c r="T80" s="162">
        <v>22.560641040000011</v>
      </c>
      <c r="U80" s="162">
        <v>2.0100046200000001</v>
      </c>
      <c r="V80" s="162">
        <v>0.24434715000000004</v>
      </c>
      <c r="W80" s="162">
        <v>3.2386999999999997E-3</v>
      </c>
      <c r="X80" s="162">
        <v>0</v>
      </c>
      <c r="Y80" s="162">
        <v>0</v>
      </c>
      <c r="Z80" s="162">
        <v>0</v>
      </c>
      <c r="AA80" s="57"/>
    </row>
    <row r="81" spans="1:27" ht="40.15" customHeight="1" thickTop="1" thickBot="1">
      <c r="A81" s="142">
        <v>10.199999999999999</v>
      </c>
      <c r="B81" s="143" t="s">
        <v>148</v>
      </c>
      <c r="C81" s="86" t="s">
        <v>53</v>
      </c>
      <c r="D81" s="87">
        <v>11</v>
      </c>
      <c r="E81" s="87">
        <v>11</v>
      </c>
      <c r="F81" s="87">
        <v>11</v>
      </c>
      <c r="G81" s="87">
        <v>11</v>
      </c>
      <c r="H81" s="87">
        <v>13</v>
      </c>
      <c r="I81" s="87">
        <v>12</v>
      </c>
      <c r="J81" s="87">
        <v>12</v>
      </c>
      <c r="K81" s="87">
        <v>12</v>
      </c>
      <c r="L81" s="87">
        <v>12</v>
      </c>
      <c r="M81" s="87">
        <v>12</v>
      </c>
      <c r="N81" s="87">
        <v>14</v>
      </c>
      <c r="O81" s="87">
        <v>14</v>
      </c>
      <c r="P81" s="87">
        <v>33</v>
      </c>
      <c r="Q81" s="87">
        <v>31.102</v>
      </c>
      <c r="R81" s="87">
        <v>25.731999999999999</v>
      </c>
      <c r="S81" s="87">
        <v>22.622</v>
      </c>
      <c r="T81" s="87">
        <v>25</v>
      </c>
      <c r="U81" s="87">
        <v>28.102</v>
      </c>
      <c r="V81" s="87">
        <v>26</v>
      </c>
      <c r="W81" s="87">
        <v>21.646999999999998</v>
      </c>
      <c r="X81" s="87">
        <v>20</v>
      </c>
      <c r="Y81" s="87">
        <v>18.506</v>
      </c>
      <c r="Z81" s="87">
        <v>18.387</v>
      </c>
      <c r="AA81" s="57"/>
    </row>
    <row r="82" spans="1:27" ht="40.15" customHeight="1" thickTop="1" thickBot="1">
      <c r="A82" s="142">
        <v>10.3</v>
      </c>
      <c r="B82" s="143" t="s">
        <v>149</v>
      </c>
      <c r="C82" s="86" t="s">
        <v>53</v>
      </c>
      <c r="D82" s="87">
        <v>21</v>
      </c>
      <c r="E82" s="87">
        <v>21</v>
      </c>
      <c r="F82" s="87">
        <v>22</v>
      </c>
      <c r="G82" s="87">
        <v>22</v>
      </c>
      <c r="H82" s="87">
        <v>27</v>
      </c>
      <c r="I82" s="87">
        <v>28</v>
      </c>
      <c r="J82" s="87">
        <v>28</v>
      </c>
      <c r="K82" s="87">
        <v>24</v>
      </c>
      <c r="L82" s="87">
        <v>24</v>
      </c>
      <c r="M82" s="87">
        <v>18</v>
      </c>
      <c r="N82" s="87">
        <v>21</v>
      </c>
      <c r="O82" s="87">
        <v>21</v>
      </c>
      <c r="P82" s="87">
        <v>42</v>
      </c>
      <c r="Q82" s="87">
        <v>41</v>
      </c>
      <c r="R82" s="87">
        <f>SUM(R83:R86)</f>
        <v>33.241</v>
      </c>
      <c r="S82" s="87">
        <f>SUM(S83:S86)</f>
        <v>45.105000000000011</v>
      </c>
      <c r="T82" s="87">
        <f t="shared" ref="T82:Z82" si="24">SUM(T83:T86)</f>
        <v>38</v>
      </c>
      <c r="U82" s="87">
        <f t="shared" si="24"/>
        <v>34</v>
      </c>
      <c r="V82" s="87">
        <f t="shared" si="24"/>
        <v>33</v>
      </c>
      <c r="W82" s="87">
        <f t="shared" si="24"/>
        <v>32.167000000000002</v>
      </c>
      <c r="X82" s="87">
        <f t="shared" si="24"/>
        <v>29.150510000000001</v>
      </c>
      <c r="Y82" s="87">
        <f t="shared" si="24"/>
        <v>34</v>
      </c>
      <c r="Z82" s="87">
        <f t="shared" si="24"/>
        <v>33.057898000000002</v>
      </c>
      <c r="AA82" s="57"/>
    </row>
    <row r="83" spans="1:27" ht="40.15" customHeight="1" thickTop="1" thickBot="1">
      <c r="A83" s="144" t="s">
        <v>36</v>
      </c>
      <c r="B83" s="156" t="s">
        <v>209</v>
      </c>
      <c r="C83" s="71" t="s">
        <v>53</v>
      </c>
      <c r="D83" s="72">
        <v>16</v>
      </c>
      <c r="E83" s="72">
        <v>16</v>
      </c>
      <c r="F83" s="72">
        <v>16</v>
      </c>
      <c r="G83" s="72">
        <v>16</v>
      </c>
      <c r="H83" s="73">
        <v>22</v>
      </c>
      <c r="I83" s="73">
        <v>23</v>
      </c>
      <c r="J83" s="72">
        <v>23</v>
      </c>
      <c r="K83" s="73">
        <v>19</v>
      </c>
      <c r="L83" s="73">
        <v>19</v>
      </c>
      <c r="M83" s="73">
        <v>14</v>
      </c>
      <c r="N83" s="73">
        <v>16</v>
      </c>
      <c r="O83" s="73">
        <v>16</v>
      </c>
      <c r="P83" s="73">
        <v>2</v>
      </c>
      <c r="Q83" s="73">
        <v>2</v>
      </c>
      <c r="R83" s="73">
        <v>1.2</v>
      </c>
      <c r="S83" s="73">
        <v>2.2000000000000002</v>
      </c>
      <c r="T83" s="73">
        <v>2</v>
      </c>
      <c r="U83" s="73">
        <v>8</v>
      </c>
      <c r="V83" s="73">
        <v>7</v>
      </c>
      <c r="W83" s="73">
        <v>7.1669999999999998</v>
      </c>
      <c r="X83" s="73">
        <v>6.6429999999999998</v>
      </c>
      <c r="Y83" s="183">
        <v>0</v>
      </c>
      <c r="Z83" s="183">
        <v>0</v>
      </c>
      <c r="AA83" s="57"/>
    </row>
    <row r="84" spans="1:27" ht="40.15" customHeight="1" thickTop="1" thickBot="1">
      <c r="A84" s="144" t="s">
        <v>37</v>
      </c>
      <c r="B84" s="156" t="s">
        <v>210</v>
      </c>
      <c r="C84" s="71" t="s">
        <v>53</v>
      </c>
      <c r="D84" s="72">
        <v>0</v>
      </c>
      <c r="E84" s="72">
        <v>0</v>
      </c>
      <c r="F84" s="72">
        <v>0</v>
      </c>
      <c r="G84" s="72">
        <v>0</v>
      </c>
      <c r="H84" s="73">
        <v>0</v>
      </c>
      <c r="I84" s="73">
        <v>0</v>
      </c>
      <c r="J84" s="72">
        <v>0</v>
      </c>
      <c r="K84" s="73">
        <v>0</v>
      </c>
      <c r="L84" s="73">
        <v>0</v>
      </c>
      <c r="M84" s="73">
        <v>0</v>
      </c>
      <c r="N84" s="73">
        <v>0</v>
      </c>
      <c r="O84" s="73">
        <v>0</v>
      </c>
      <c r="P84" s="73">
        <v>34</v>
      </c>
      <c r="Q84" s="73">
        <v>34</v>
      </c>
      <c r="R84" s="73">
        <v>27.431000000000001</v>
      </c>
      <c r="S84" s="73">
        <v>37.295000000000002</v>
      </c>
      <c r="T84" s="73">
        <v>34</v>
      </c>
      <c r="U84" s="73">
        <v>26</v>
      </c>
      <c r="V84" s="73">
        <v>26</v>
      </c>
      <c r="W84" s="73">
        <v>25</v>
      </c>
      <c r="X84" s="73">
        <v>22.50751</v>
      </c>
      <c r="Y84" s="183">
        <v>34</v>
      </c>
      <c r="Z84" s="183">
        <v>33.057898000000002</v>
      </c>
      <c r="AA84" s="57"/>
    </row>
    <row r="85" spans="1:27" ht="40.15" customHeight="1" thickTop="1" thickBot="1">
      <c r="A85" s="144" t="s">
        <v>38</v>
      </c>
      <c r="B85" s="156" t="s">
        <v>211</v>
      </c>
      <c r="C85" s="71" t="s">
        <v>53</v>
      </c>
      <c r="D85" s="72">
        <v>0</v>
      </c>
      <c r="E85" s="72">
        <v>0</v>
      </c>
      <c r="F85" s="72">
        <v>0</v>
      </c>
      <c r="G85" s="72">
        <v>0</v>
      </c>
      <c r="H85" s="73">
        <v>0</v>
      </c>
      <c r="I85" s="73">
        <v>0</v>
      </c>
      <c r="J85" s="72">
        <v>0</v>
      </c>
      <c r="K85" s="73">
        <v>0</v>
      </c>
      <c r="L85" s="73">
        <v>0</v>
      </c>
      <c r="M85" s="73">
        <v>0</v>
      </c>
      <c r="N85" s="73">
        <v>0</v>
      </c>
      <c r="O85" s="73">
        <v>0</v>
      </c>
      <c r="P85" s="73">
        <v>4</v>
      </c>
      <c r="Q85" s="73">
        <v>3</v>
      </c>
      <c r="R85" s="73">
        <v>2.8339999999999996</v>
      </c>
      <c r="S85" s="73">
        <v>3.8340000000000001</v>
      </c>
      <c r="T85" s="73">
        <v>2</v>
      </c>
      <c r="U85" s="73">
        <v>0</v>
      </c>
      <c r="V85" s="73">
        <v>0</v>
      </c>
      <c r="W85" s="73">
        <v>0</v>
      </c>
      <c r="X85" s="73">
        <v>0</v>
      </c>
      <c r="Y85" s="183">
        <v>0</v>
      </c>
      <c r="Z85" s="183">
        <v>0</v>
      </c>
      <c r="AA85" s="57"/>
    </row>
    <row r="86" spans="1:27" ht="40.15" customHeight="1" thickTop="1" thickBot="1">
      <c r="A86" s="144" t="s">
        <v>39</v>
      </c>
      <c r="B86" s="156" t="s">
        <v>212</v>
      </c>
      <c r="C86" s="71" t="s">
        <v>53</v>
      </c>
      <c r="D86" s="72">
        <v>5</v>
      </c>
      <c r="E86" s="72">
        <v>5</v>
      </c>
      <c r="F86" s="72">
        <v>5</v>
      </c>
      <c r="G86" s="72">
        <v>5</v>
      </c>
      <c r="H86" s="73">
        <v>5</v>
      </c>
      <c r="I86" s="73">
        <v>5</v>
      </c>
      <c r="J86" s="72">
        <v>5</v>
      </c>
      <c r="K86" s="73">
        <v>5</v>
      </c>
      <c r="L86" s="73">
        <v>5</v>
      </c>
      <c r="M86" s="73">
        <v>4</v>
      </c>
      <c r="N86" s="73">
        <v>5</v>
      </c>
      <c r="O86" s="73">
        <v>5</v>
      </c>
      <c r="P86" s="73">
        <v>2</v>
      </c>
      <c r="Q86" s="73">
        <v>2</v>
      </c>
      <c r="R86" s="73">
        <v>1.776</v>
      </c>
      <c r="S86" s="73">
        <v>1.776</v>
      </c>
      <c r="T86" s="73">
        <v>0</v>
      </c>
      <c r="U86" s="73">
        <v>0</v>
      </c>
      <c r="V86" s="73">
        <v>0</v>
      </c>
      <c r="W86" s="73">
        <v>0</v>
      </c>
      <c r="X86" s="73">
        <v>0</v>
      </c>
      <c r="Y86" s="183">
        <v>0</v>
      </c>
      <c r="Z86" s="183">
        <v>0</v>
      </c>
      <c r="AA86" s="57"/>
    </row>
    <row r="87" spans="1:27" ht="40.15" customHeight="1" thickTop="1" thickBot="1">
      <c r="A87" s="142">
        <v>10.4</v>
      </c>
      <c r="B87" s="143" t="s">
        <v>213</v>
      </c>
      <c r="C87" s="86" t="s">
        <v>53</v>
      </c>
      <c r="D87" s="87">
        <v>7</v>
      </c>
      <c r="E87" s="87">
        <v>7</v>
      </c>
      <c r="F87" s="87">
        <v>7</v>
      </c>
      <c r="G87" s="87">
        <v>7</v>
      </c>
      <c r="H87" s="87">
        <v>7</v>
      </c>
      <c r="I87" s="87">
        <v>7</v>
      </c>
      <c r="J87" s="87">
        <v>7</v>
      </c>
      <c r="K87" s="87">
        <v>6</v>
      </c>
      <c r="L87" s="87">
        <v>6</v>
      </c>
      <c r="M87" s="87">
        <v>9</v>
      </c>
      <c r="N87" s="87">
        <v>10</v>
      </c>
      <c r="O87" s="87">
        <v>33</v>
      </c>
      <c r="P87" s="87">
        <v>8</v>
      </c>
      <c r="Q87" s="87">
        <v>7.4160000000000004</v>
      </c>
      <c r="R87" s="87">
        <v>6</v>
      </c>
      <c r="S87" s="87">
        <v>6</v>
      </c>
      <c r="T87" s="87">
        <v>0</v>
      </c>
      <c r="U87" s="87">
        <v>0</v>
      </c>
      <c r="V87" s="87">
        <v>0</v>
      </c>
      <c r="W87" s="87">
        <v>0</v>
      </c>
      <c r="X87" s="87">
        <v>4.0235100000000001E-3</v>
      </c>
      <c r="Y87" s="87">
        <v>8.5330300000000005E-3</v>
      </c>
      <c r="Z87" s="87">
        <v>8.0673399999999992E-3</v>
      </c>
    </row>
    <row r="88" spans="1:27" ht="13.5" thickTop="1"/>
    <row r="89" spans="1:27" ht="15.75">
      <c r="B89" s="150" t="s">
        <v>95</v>
      </c>
    </row>
    <row r="90" spans="1:27">
      <c r="C90" s="6"/>
      <c r="D90" s="6"/>
      <c r="F90" s="6"/>
    </row>
    <row r="97" spans="5:5">
      <c r="E97" s="6"/>
    </row>
  </sheetData>
  <mergeCells count="2">
    <mergeCell ref="A13:Z13"/>
    <mergeCell ref="A38:Z38"/>
  </mergeCells>
  <phoneticPr fontId="6" type="noConversion"/>
  <pageMargins left="0.78740157480314965" right="0.19685039370078741" top="1.1811023622047245" bottom="0.98425196850393704" header="0" footer="0"/>
  <pageSetup paperSize="5" scale="60" orientation="portrait" horizontalDpi="4294967295" verticalDpi="300" r:id="rId1"/>
  <headerFooter alignWithMargins="0"/>
  <ignoredErrors>
    <ignoredError sqref="R16:S19 H15:Q24 S45 R49:S49 R56:S56 R30:S32 R29 R15 R24:S24 S23 R27:S28 S26 S25 H27:Q32 H26:O26 H25:O25 R21:S22 S15:V15 T16:V17 W15:X15 W16:X17 P75:S75 X22:X23 X29:Y29 Y15:Y17 Y22:Y23 R48 P48:Q48 S48:Z48 U75 T75 V75:Z75" unlockedFormula="1"/>
    <ignoredError sqref="R82:S82 X52:Y52 W58:X58 T82:X82 P76:Z76 Y82:Z82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88"/>
  <sheetViews>
    <sheetView showGridLines="0" zoomScale="64" zoomScaleNormal="64" workbookViewId="0">
      <pane ySplit="12" topLeftCell="A13" activePane="bottomLeft" state="frozen"/>
      <selection pane="bottomLeft" activeCell="N24" sqref="N24"/>
    </sheetView>
  </sheetViews>
  <sheetFormatPr baseColWidth="10" defaultRowHeight="12.75"/>
  <cols>
    <col min="1" max="1" width="18.7109375" customWidth="1"/>
    <col min="2" max="2" width="105.42578125" customWidth="1"/>
    <col min="3" max="3" width="16" customWidth="1"/>
    <col min="14" max="14" width="9.140625" bestFit="1" customWidth="1"/>
  </cols>
  <sheetData>
    <row r="1" spans="1:15">
      <c r="A1" s="4"/>
      <c r="B1" s="10"/>
      <c r="C1" s="2"/>
    </row>
    <row r="2" spans="1:15">
      <c r="A2" s="4"/>
      <c r="B2" s="10"/>
      <c r="C2" s="2"/>
    </row>
    <row r="3" spans="1:15">
      <c r="A3" s="4"/>
      <c r="B3" s="10"/>
      <c r="C3" s="2"/>
    </row>
    <row r="4" spans="1:15">
      <c r="A4" s="4"/>
      <c r="B4" s="10"/>
      <c r="C4" s="2"/>
    </row>
    <row r="5" spans="1:15">
      <c r="A5" s="4"/>
      <c r="B5" s="10"/>
      <c r="C5" s="2"/>
    </row>
    <row r="6" spans="1:15">
      <c r="A6" s="4"/>
      <c r="B6" s="10"/>
    </row>
    <row r="7" spans="1:15">
      <c r="A7" s="4"/>
      <c r="B7" s="10"/>
      <c r="C7" s="2"/>
    </row>
    <row r="8" spans="1:15" ht="36">
      <c r="A8" s="4"/>
      <c r="B8" s="223"/>
      <c r="C8" s="223"/>
      <c r="D8" s="223"/>
      <c r="E8" s="223"/>
      <c r="F8" s="223"/>
      <c r="G8" s="223"/>
    </row>
    <row r="9" spans="1:15">
      <c r="A9" s="4"/>
      <c r="B9" s="10"/>
      <c r="C9" s="2"/>
    </row>
    <row r="10" spans="1:15">
      <c r="A10" s="4"/>
      <c r="B10" s="10"/>
      <c r="C10" s="2"/>
    </row>
    <row r="11" spans="1:15" ht="25.5" customHeight="1">
      <c r="A11" s="218" t="s">
        <v>150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</row>
    <row r="12" spans="1:15" ht="15.75">
      <c r="A12" s="88" t="s">
        <v>112</v>
      </c>
      <c r="B12" s="88" t="s">
        <v>111</v>
      </c>
      <c r="C12" s="89" t="s">
        <v>103</v>
      </c>
      <c r="D12" s="22">
        <v>2012</v>
      </c>
      <c r="E12" s="22">
        <v>2013</v>
      </c>
      <c r="F12" s="22">
        <v>2014</v>
      </c>
      <c r="G12" s="22">
        <v>2015</v>
      </c>
      <c r="H12" s="15">
        <v>2016</v>
      </c>
      <c r="I12" s="22">
        <v>2017</v>
      </c>
      <c r="J12" s="15">
        <v>2018</v>
      </c>
      <c r="K12" s="22">
        <v>2019</v>
      </c>
      <c r="L12" s="15">
        <v>2020</v>
      </c>
      <c r="M12" s="22">
        <v>2021</v>
      </c>
      <c r="N12" s="196">
        <v>2022</v>
      </c>
    </row>
    <row r="13" spans="1:15" ht="18" thickBot="1">
      <c r="A13" s="80">
        <v>1</v>
      </c>
      <c r="B13" s="94" t="s">
        <v>105</v>
      </c>
      <c r="C13" s="81" t="s">
        <v>40</v>
      </c>
      <c r="D13" s="82">
        <f>SUM(D14:D15)</f>
        <v>9559.8880356919926</v>
      </c>
      <c r="E13" s="82">
        <f>SUM(E14:E15)</f>
        <v>10576.549566147023</v>
      </c>
      <c r="F13" s="82">
        <f>SUM(F14:F15)</f>
        <v>12521.457825533242</v>
      </c>
      <c r="G13" s="83">
        <f t="shared" ref="G13" si="0">SUM(G14:G15)</f>
        <v>13851.826679245283</v>
      </c>
      <c r="H13" s="83">
        <f>SUM(H14:H15)</f>
        <v>14082.690571428571</v>
      </c>
      <c r="I13" s="83">
        <f t="shared" ref="I13:N15" si="1">+I16+I19</f>
        <v>15895.647875457878</v>
      </c>
      <c r="J13" s="83">
        <f t="shared" si="1"/>
        <v>16988.141194386866</v>
      </c>
      <c r="K13" s="83">
        <f t="shared" si="1"/>
        <v>16034</v>
      </c>
      <c r="L13" s="83">
        <f t="shared" si="1"/>
        <v>17975.031457458637</v>
      </c>
      <c r="M13" s="83">
        <f t="shared" si="1"/>
        <v>18079.178041719999</v>
      </c>
      <c r="N13" s="83">
        <f t="shared" si="1"/>
        <v>17006.010270504688</v>
      </c>
      <c r="O13" s="161">
        <f>100-((M13*100)/N13)</f>
        <v>-6.3105205403563644</v>
      </c>
    </row>
    <row r="14" spans="1:15" ht="18.75" thickTop="1" thickBot="1">
      <c r="A14" s="80" t="s">
        <v>2</v>
      </c>
      <c r="B14" s="94" t="s">
        <v>137</v>
      </c>
      <c r="C14" s="81" t="s">
        <v>72</v>
      </c>
      <c r="D14" s="82">
        <f t="shared" ref="D14:G15" si="2">+D17+D20</f>
        <v>679.98439999999994</v>
      </c>
      <c r="E14" s="82">
        <f t="shared" si="2"/>
        <v>652.30669999999998</v>
      </c>
      <c r="F14" s="82">
        <f t="shared" si="2"/>
        <v>832.22532553324106</v>
      </c>
      <c r="G14" s="83">
        <f t="shared" si="2"/>
        <v>815.94624528301904</v>
      </c>
      <c r="H14" s="83">
        <f>+H17+H20</f>
        <v>835.40957142857144</v>
      </c>
      <c r="I14" s="83">
        <f t="shared" si="1"/>
        <v>2265.9336666666704</v>
      </c>
      <c r="J14" s="83">
        <f t="shared" si="1"/>
        <v>3278.3110634090908</v>
      </c>
      <c r="K14" s="83">
        <f t="shared" si="1"/>
        <v>2444</v>
      </c>
      <c r="L14" s="83">
        <f t="shared" ref="L14" si="3">+L17+L20</f>
        <v>3511.2043917386363</v>
      </c>
      <c r="M14" s="83">
        <f>+M17+M20</f>
        <v>3930.8623299999995</v>
      </c>
      <c r="N14" s="83">
        <f>+N17+N20</f>
        <v>3141.31355244</v>
      </c>
      <c r="O14" s="161">
        <f t="shared" ref="O14:O27" si="4">100-((M14*100)/N14)</f>
        <v>-25.134351104388202</v>
      </c>
    </row>
    <row r="15" spans="1:15" ht="18.75" thickTop="1" thickBot="1">
      <c r="A15" s="80" t="s">
        <v>3</v>
      </c>
      <c r="B15" s="94" t="s">
        <v>138</v>
      </c>
      <c r="C15" s="81" t="s">
        <v>72</v>
      </c>
      <c r="D15" s="82">
        <f t="shared" si="2"/>
        <v>8879.9036356919933</v>
      </c>
      <c r="E15" s="82">
        <f t="shared" si="2"/>
        <v>9924.242866147024</v>
      </c>
      <c r="F15" s="82">
        <f t="shared" si="2"/>
        <v>11689.2325</v>
      </c>
      <c r="G15" s="83">
        <f>+G18+G21</f>
        <v>13035.880433962264</v>
      </c>
      <c r="H15" s="83">
        <f>+H18+H21</f>
        <v>13247.280999999999</v>
      </c>
      <c r="I15" s="83">
        <f t="shared" si="1"/>
        <v>13629.714208791209</v>
      </c>
      <c r="J15" s="83">
        <f t="shared" si="1"/>
        <v>13709.830130977776</v>
      </c>
      <c r="K15" s="83">
        <f t="shared" si="1"/>
        <v>13590</v>
      </c>
      <c r="L15" s="83">
        <f t="shared" ref="L15:N15" si="5">+L18+L21</f>
        <v>14463.827065719999</v>
      </c>
      <c r="M15" s="83">
        <f t="shared" si="5"/>
        <v>14148.315711720001</v>
      </c>
      <c r="N15" s="83">
        <f t="shared" si="5"/>
        <v>13864.696718064686</v>
      </c>
      <c r="O15" s="161">
        <f t="shared" si="4"/>
        <v>-2.0456198892961055</v>
      </c>
    </row>
    <row r="16" spans="1:15" ht="39" customHeight="1" thickTop="1" thickBot="1">
      <c r="A16" s="85">
        <v>1.1000000000000001</v>
      </c>
      <c r="B16" s="95" t="s">
        <v>139</v>
      </c>
      <c r="C16" s="86" t="s">
        <v>40</v>
      </c>
      <c r="D16" s="87">
        <f>D17+D18</f>
        <v>2704.1297356919949</v>
      </c>
      <c r="E16" s="87">
        <f>E17+E18</f>
        <v>2755.8574861470247</v>
      </c>
      <c r="F16" s="87">
        <f>F17+F18</f>
        <v>2756</v>
      </c>
      <c r="G16" s="87">
        <f>SUM(G17:G18)</f>
        <v>2777</v>
      </c>
      <c r="H16" s="87">
        <f>SUM(H17:H18)</f>
        <v>2785.4</v>
      </c>
      <c r="I16" s="87">
        <f>SUM(I17:I18)</f>
        <v>2566</v>
      </c>
      <c r="J16" s="87">
        <f t="shared" ref="J16:N16" si="6">SUM(J17:J18)</f>
        <v>2567</v>
      </c>
      <c r="K16" s="87">
        <f t="shared" si="6"/>
        <v>2629</v>
      </c>
      <c r="L16" s="87">
        <f t="shared" si="6"/>
        <v>2629.1769840000002</v>
      </c>
      <c r="M16" s="87">
        <f t="shared" si="6"/>
        <v>2332.6125200000006</v>
      </c>
      <c r="N16" s="87">
        <f t="shared" si="6"/>
        <v>2352.3178000000007</v>
      </c>
      <c r="O16" s="161">
        <f t="shared" si="4"/>
        <v>0.83769633507853314</v>
      </c>
    </row>
    <row r="17" spans="1:15" ht="18.75" thickTop="1" thickBot="1">
      <c r="A17" s="70" t="s">
        <v>4</v>
      </c>
      <c r="B17" s="96" t="s">
        <v>125</v>
      </c>
      <c r="C17" s="71" t="s">
        <v>40</v>
      </c>
      <c r="D17" s="72">
        <v>0</v>
      </c>
      <c r="E17" s="72">
        <v>0</v>
      </c>
      <c r="F17" s="72">
        <v>0</v>
      </c>
      <c r="G17" s="72">
        <v>21</v>
      </c>
      <c r="H17" s="73">
        <v>29.4</v>
      </c>
      <c r="I17" s="73">
        <v>31</v>
      </c>
      <c r="J17" s="73">
        <v>36</v>
      </c>
      <c r="K17" s="73">
        <v>30</v>
      </c>
      <c r="L17" s="73">
        <v>24.178000000000001</v>
      </c>
      <c r="M17" s="183">
        <v>26.891010000000001</v>
      </c>
      <c r="N17" s="183">
        <v>30.17568</v>
      </c>
      <c r="O17" s="161">
        <f t="shared" si="4"/>
        <v>10.885156523398976</v>
      </c>
    </row>
    <row r="18" spans="1:15" ht="18.75" thickTop="1" thickBot="1">
      <c r="A18" s="70" t="s">
        <v>5</v>
      </c>
      <c r="B18" s="96" t="s">
        <v>126</v>
      </c>
      <c r="C18" s="71" t="s">
        <v>40</v>
      </c>
      <c r="D18" s="72">
        <v>2704.1297356919949</v>
      </c>
      <c r="E18" s="72">
        <v>2755.8574861470247</v>
      </c>
      <c r="F18" s="72">
        <v>2756</v>
      </c>
      <c r="G18" s="72">
        <v>2756</v>
      </c>
      <c r="H18" s="73">
        <v>2756</v>
      </c>
      <c r="I18" s="73">
        <v>2535</v>
      </c>
      <c r="J18" s="73">
        <v>2531</v>
      </c>
      <c r="K18" s="73">
        <v>2599</v>
      </c>
      <c r="L18" s="73">
        <v>2604.9989840000003</v>
      </c>
      <c r="M18" s="183">
        <v>2305.7215100000008</v>
      </c>
      <c r="N18" s="183">
        <v>2322.1421200000009</v>
      </c>
      <c r="O18" s="161">
        <f t="shared" si="4"/>
        <v>0.70713199931105919</v>
      </c>
    </row>
    <row r="19" spans="1:15" ht="33.75" customHeight="1" thickTop="1" thickBot="1">
      <c r="A19" s="85">
        <v>1.2</v>
      </c>
      <c r="B19" s="95" t="s">
        <v>140</v>
      </c>
      <c r="C19" s="86" t="s">
        <v>40</v>
      </c>
      <c r="D19" s="87">
        <f t="shared" ref="D19:J19" si="7">SUM(D20:D21)</f>
        <v>6855.7582999999995</v>
      </c>
      <c r="E19" s="87">
        <f t="shared" si="7"/>
        <v>7820.6920799999998</v>
      </c>
      <c r="F19" s="87">
        <f t="shared" si="7"/>
        <v>9765.4578255332417</v>
      </c>
      <c r="G19" s="87">
        <f t="shared" si="7"/>
        <v>11074.826679245283</v>
      </c>
      <c r="H19" s="87">
        <f t="shared" si="7"/>
        <v>11297.29057142857</v>
      </c>
      <c r="I19" s="87">
        <f t="shared" si="7"/>
        <v>13329.647875457878</v>
      </c>
      <c r="J19" s="87">
        <f t="shared" si="7"/>
        <v>14421.141194386866</v>
      </c>
      <c r="K19" s="87">
        <f>SUM(K20:K21)</f>
        <v>13405</v>
      </c>
      <c r="L19" s="87">
        <f t="shared" ref="L19:N19" si="8">SUM(L20:L21)</f>
        <v>15345.854473458636</v>
      </c>
      <c r="M19" s="87">
        <f t="shared" si="8"/>
        <v>15746.56552172</v>
      </c>
      <c r="N19" s="87">
        <f t="shared" si="8"/>
        <v>14653.692470504686</v>
      </c>
      <c r="O19" s="161">
        <f t="shared" si="4"/>
        <v>-7.4580045501505907</v>
      </c>
    </row>
    <row r="20" spans="1:15" ht="18.75" thickTop="1" thickBot="1">
      <c r="A20" s="70" t="s">
        <v>6</v>
      </c>
      <c r="B20" s="96" t="s">
        <v>125</v>
      </c>
      <c r="C20" s="71" t="s">
        <v>40</v>
      </c>
      <c r="D20" s="72">
        <f t="shared" ref="D20:G21" si="9">+D23+D26+D29</f>
        <v>679.98439999999994</v>
      </c>
      <c r="E20" s="72">
        <f t="shared" si="9"/>
        <v>652.30669999999998</v>
      </c>
      <c r="F20" s="72">
        <f t="shared" si="9"/>
        <v>832.22532553324106</v>
      </c>
      <c r="G20" s="72">
        <f t="shared" si="9"/>
        <v>794.94624528301904</v>
      </c>
      <c r="H20" s="73">
        <f t="shared" ref="H20:N21" si="10">+H23+H26+H29</f>
        <v>806.00957142857146</v>
      </c>
      <c r="I20" s="73">
        <f t="shared" si="10"/>
        <v>2234.9336666666704</v>
      </c>
      <c r="J20" s="183">
        <f t="shared" si="10"/>
        <v>3242.3110634090908</v>
      </c>
      <c r="K20" s="183">
        <f t="shared" si="10"/>
        <v>2414</v>
      </c>
      <c r="L20" s="183">
        <f t="shared" si="10"/>
        <v>3487.0263917386364</v>
      </c>
      <c r="M20" s="183">
        <f t="shared" si="10"/>
        <v>3903.9713199999997</v>
      </c>
      <c r="N20" s="183">
        <f t="shared" si="10"/>
        <v>3111.1378724400001</v>
      </c>
      <c r="O20" s="161">
        <f t="shared" si="4"/>
        <v>-25.483713035777384</v>
      </c>
    </row>
    <row r="21" spans="1:15" ht="18.75" thickTop="1" thickBot="1">
      <c r="A21" s="70" t="s">
        <v>7</v>
      </c>
      <c r="B21" s="96" t="s">
        <v>126</v>
      </c>
      <c r="C21" s="71" t="s">
        <v>40</v>
      </c>
      <c r="D21" s="72">
        <f t="shared" si="9"/>
        <v>6175.7738999999992</v>
      </c>
      <c r="E21" s="72">
        <f t="shared" si="9"/>
        <v>7168.3853799999997</v>
      </c>
      <c r="F21" s="72">
        <f t="shared" si="9"/>
        <v>8933.2325000000001</v>
      </c>
      <c r="G21" s="72">
        <f t="shared" si="9"/>
        <v>10279.880433962264</v>
      </c>
      <c r="H21" s="73">
        <f t="shared" si="10"/>
        <v>10491.280999999999</v>
      </c>
      <c r="I21" s="183">
        <f t="shared" si="10"/>
        <v>11094.714208791209</v>
      </c>
      <c r="J21" s="183">
        <f t="shared" si="10"/>
        <v>11178.830130977776</v>
      </c>
      <c r="K21" s="183">
        <f t="shared" si="10"/>
        <v>10991</v>
      </c>
      <c r="L21" s="183">
        <f t="shared" si="10"/>
        <v>11858.828081719999</v>
      </c>
      <c r="M21" s="183">
        <f t="shared" si="10"/>
        <v>11842.59420172</v>
      </c>
      <c r="N21" s="183">
        <f t="shared" si="10"/>
        <v>11542.554598064686</v>
      </c>
      <c r="O21" s="161">
        <f t="shared" si="4"/>
        <v>-2.5994211342575682</v>
      </c>
    </row>
    <row r="22" spans="1:15" ht="18.75" thickTop="1" thickBot="1">
      <c r="A22" s="85" t="s">
        <v>8</v>
      </c>
      <c r="B22" s="95" t="s">
        <v>214</v>
      </c>
      <c r="C22" s="86" t="s">
        <v>40</v>
      </c>
      <c r="D22" s="87">
        <f t="shared" ref="D22:L22" si="11">SUM(D23:D24)</f>
        <v>1600.6393</v>
      </c>
      <c r="E22" s="87">
        <f t="shared" si="11"/>
        <v>1618.69208</v>
      </c>
      <c r="F22" s="87">
        <f t="shared" si="11"/>
        <v>1937.3878255332411</v>
      </c>
      <c r="G22" s="87">
        <f t="shared" si="11"/>
        <v>1703.8986792452829</v>
      </c>
      <c r="H22" s="87">
        <f t="shared" si="11"/>
        <v>1534.7619999999999</v>
      </c>
      <c r="I22" s="87">
        <f t="shared" si="11"/>
        <v>3125.8335897435936</v>
      </c>
      <c r="J22" s="87">
        <f t="shared" si="11"/>
        <v>4176.1611943868666</v>
      </c>
      <c r="K22" s="87">
        <f t="shared" si="11"/>
        <v>3135</v>
      </c>
      <c r="L22" s="87">
        <f t="shared" si="11"/>
        <v>4259.8544734586367</v>
      </c>
      <c r="M22" s="87">
        <f>SUM(M23:M24)</f>
        <v>4803.5655217199992</v>
      </c>
      <c r="N22" s="87">
        <f>SUM(N23:N24)</f>
        <v>3995.5148031400004</v>
      </c>
      <c r="O22" s="161">
        <f t="shared" si="4"/>
        <v>-20.22394505821795</v>
      </c>
    </row>
    <row r="23" spans="1:15" ht="18.75" thickTop="1" thickBot="1">
      <c r="A23" s="70" t="s">
        <v>9</v>
      </c>
      <c r="B23" s="96" t="s">
        <v>125</v>
      </c>
      <c r="C23" s="71" t="s">
        <v>40</v>
      </c>
      <c r="D23" s="72">
        <v>602.18439999999998</v>
      </c>
      <c r="E23" s="72">
        <v>637.30669999999998</v>
      </c>
      <c r="F23" s="72">
        <v>807.70532553324108</v>
      </c>
      <c r="G23" s="72">
        <v>687.08924528301907</v>
      </c>
      <c r="H23" s="73">
        <f>737.481+68</f>
        <v>805.48099999999999</v>
      </c>
      <c r="I23" s="73">
        <f>1027.55366666667+1207</f>
        <v>2234.5536666666703</v>
      </c>
      <c r="J23" s="73">
        <v>3241.8310634090908</v>
      </c>
      <c r="K23" s="73">
        <v>2414</v>
      </c>
      <c r="L23" s="73">
        <v>3487.0263917386364</v>
      </c>
      <c r="M23" s="183">
        <v>3903.9713199999997</v>
      </c>
      <c r="N23" s="183">
        <v>3111.1378724400001</v>
      </c>
      <c r="O23" s="161">
        <f t="shared" si="4"/>
        <v>-25.483713035777384</v>
      </c>
    </row>
    <row r="24" spans="1:15" ht="18.75" thickTop="1" thickBot="1">
      <c r="A24" s="70" t="s">
        <v>10</v>
      </c>
      <c r="B24" s="96" t="s">
        <v>126</v>
      </c>
      <c r="C24" s="71" t="s">
        <v>40</v>
      </c>
      <c r="D24" s="72">
        <v>998.45490000000007</v>
      </c>
      <c r="E24" s="72">
        <v>981.38538000000005</v>
      </c>
      <c r="F24" s="72">
        <v>1129.6825000000001</v>
      </c>
      <c r="G24" s="72">
        <v>1016.8094339622639</v>
      </c>
      <c r="H24" s="73">
        <f>635.281+94</f>
        <v>729.28099999999995</v>
      </c>
      <c r="I24" s="73">
        <f>722.059923076923+169.22</f>
        <v>891.27992307692307</v>
      </c>
      <c r="J24" s="73">
        <v>934.33013097777609</v>
      </c>
      <c r="K24" s="73">
        <v>721</v>
      </c>
      <c r="L24" s="73">
        <v>772.82808172</v>
      </c>
      <c r="M24" s="183">
        <v>899.59420171999977</v>
      </c>
      <c r="N24" s="183">
        <v>884.3769307</v>
      </c>
      <c r="O24" s="161">
        <f t="shared" si="4"/>
        <v>-1.7206770655986077</v>
      </c>
    </row>
    <row r="25" spans="1:15" ht="18.75" thickTop="1" thickBot="1">
      <c r="A25" s="85" t="s">
        <v>11</v>
      </c>
      <c r="B25" s="95" t="s">
        <v>215</v>
      </c>
      <c r="C25" s="86" t="s">
        <v>40</v>
      </c>
      <c r="D25" s="87">
        <f t="shared" ref="D25:L25" si="12">SUM(D26:D27)</f>
        <v>5232.2190000000001</v>
      </c>
      <c r="E25" s="87">
        <f t="shared" si="12"/>
        <v>6180</v>
      </c>
      <c r="F25" s="87">
        <f t="shared" si="12"/>
        <v>7793.75</v>
      </c>
      <c r="G25" s="87">
        <f t="shared" si="12"/>
        <v>9346</v>
      </c>
      <c r="H25" s="87">
        <f t="shared" si="12"/>
        <v>9714</v>
      </c>
      <c r="I25" s="87">
        <f t="shared" si="12"/>
        <v>10158</v>
      </c>
      <c r="J25" s="87">
        <f t="shared" si="12"/>
        <v>10197</v>
      </c>
      <c r="K25" s="87">
        <f t="shared" si="12"/>
        <v>10220</v>
      </c>
      <c r="L25" s="87">
        <f t="shared" si="12"/>
        <v>11036</v>
      </c>
      <c r="M25" s="87">
        <f>SUM(M26:M27)</f>
        <v>10893</v>
      </c>
      <c r="N25" s="87">
        <f>SUM(N26:N27)</f>
        <v>10608.177667364685</v>
      </c>
      <c r="O25" s="161">
        <f t="shared" si="4"/>
        <v>-2.6849317721322734</v>
      </c>
    </row>
    <row r="26" spans="1:15" ht="18.75" thickTop="1" thickBot="1">
      <c r="A26" s="70" t="s">
        <v>12</v>
      </c>
      <c r="B26" s="96" t="s">
        <v>125</v>
      </c>
      <c r="C26" s="71" t="s">
        <v>40</v>
      </c>
      <c r="D26" s="72">
        <v>77.8</v>
      </c>
      <c r="E26" s="72">
        <v>15</v>
      </c>
      <c r="F26" s="72">
        <v>24</v>
      </c>
      <c r="G26" s="72">
        <v>107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183">
        <v>0</v>
      </c>
      <c r="N26" s="183">
        <v>0</v>
      </c>
      <c r="O26" s="161"/>
    </row>
    <row r="27" spans="1:15" ht="18.75" thickTop="1" thickBot="1">
      <c r="A27" s="70" t="s">
        <v>13</v>
      </c>
      <c r="B27" s="96" t="s">
        <v>126</v>
      </c>
      <c r="C27" s="71" t="s">
        <v>40</v>
      </c>
      <c r="D27" s="72">
        <f>867.5+329.19+26+30.5+3901.229</f>
        <v>5154.4189999999999</v>
      </c>
      <c r="E27" s="72">
        <v>6165</v>
      </c>
      <c r="F27" s="72">
        <v>7769.75</v>
      </c>
      <c r="G27" s="72">
        <v>9239</v>
      </c>
      <c r="H27" s="73">
        <v>9714</v>
      </c>
      <c r="I27" s="73">
        <f>9063+1095</f>
        <v>10158</v>
      </c>
      <c r="J27" s="73">
        <v>10197</v>
      </c>
      <c r="K27" s="73">
        <v>10220</v>
      </c>
      <c r="L27" s="73">
        <v>11036</v>
      </c>
      <c r="M27" s="183">
        <v>10893</v>
      </c>
      <c r="N27" s="183">
        <v>10608.177667364685</v>
      </c>
      <c r="O27" s="161">
        <f t="shared" si="4"/>
        <v>-2.6849317721322734</v>
      </c>
    </row>
    <row r="28" spans="1:15" ht="18.75" thickTop="1" thickBot="1">
      <c r="A28" s="85" t="s">
        <v>14</v>
      </c>
      <c r="B28" s="95" t="s">
        <v>141</v>
      </c>
      <c r="C28" s="86" t="s">
        <v>40</v>
      </c>
      <c r="D28" s="87">
        <f t="shared" ref="D28:L28" si="13">SUM(D29:D30)</f>
        <v>22.9</v>
      </c>
      <c r="E28" s="87">
        <f t="shared" si="13"/>
        <v>22</v>
      </c>
      <c r="F28" s="87">
        <f t="shared" si="13"/>
        <v>34.32</v>
      </c>
      <c r="G28" s="87">
        <f t="shared" si="13"/>
        <v>24.928000000000001</v>
      </c>
      <c r="H28" s="87">
        <f t="shared" si="13"/>
        <v>48.528571428571475</v>
      </c>
      <c r="I28" s="87">
        <f t="shared" si="13"/>
        <v>45.814285714285766</v>
      </c>
      <c r="J28" s="87">
        <f t="shared" si="13"/>
        <v>47.98</v>
      </c>
      <c r="K28" s="87">
        <f t="shared" si="13"/>
        <v>50</v>
      </c>
      <c r="L28" s="87">
        <f t="shared" si="13"/>
        <v>50</v>
      </c>
      <c r="M28" s="87">
        <f>SUM(M29:M30)</f>
        <v>50</v>
      </c>
      <c r="N28" s="87">
        <v>50</v>
      </c>
      <c r="O28" s="161"/>
    </row>
    <row r="29" spans="1:15" ht="18.75" thickTop="1" thickBot="1">
      <c r="A29" s="70" t="s">
        <v>15</v>
      </c>
      <c r="B29" s="96" t="s">
        <v>125</v>
      </c>
      <c r="C29" s="71" t="s">
        <v>40</v>
      </c>
      <c r="D29" s="72">
        <v>0</v>
      </c>
      <c r="E29" s="72">
        <v>0</v>
      </c>
      <c r="F29" s="72">
        <v>0.52</v>
      </c>
      <c r="G29" s="72">
        <v>0.85699999999999998</v>
      </c>
      <c r="H29" s="73">
        <v>0.52857142857142914</v>
      </c>
      <c r="I29" s="73">
        <v>0.38000000000000034</v>
      </c>
      <c r="J29" s="73">
        <v>0.48</v>
      </c>
      <c r="K29" s="73">
        <v>0</v>
      </c>
      <c r="L29" s="73">
        <v>0</v>
      </c>
      <c r="M29" s="183">
        <v>0</v>
      </c>
      <c r="N29" s="183">
        <v>0</v>
      </c>
      <c r="O29" s="161"/>
    </row>
    <row r="30" spans="1:15" ht="18.75" thickTop="1" thickBot="1">
      <c r="A30" s="70" t="s">
        <v>16</v>
      </c>
      <c r="B30" s="96" t="s">
        <v>126</v>
      </c>
      <c r="C30" s="71" t="s">
        <v>40</v>
      </c>
      <c r="D30" s="72">
        <f>16.4+6.5</f>
        <v>22.9</v>
      </c>
      <c r="E30" s="72">
        <v>22</v>
      </c>
      <c r="F30" s="72">
        <v>33.799999999999997</v>
      </c>
      <c r="G30" s="72">
        <v>24.071000000000002</v>
      </c>
      <c r="H30" s="73">
        <v>48.000000000000043</v>
      </c>
      <c r="I30" s="73">
        <v>45.434285714285764</v>
      </c>
      <c r="J30" s="73">
        <v>47.5</v>
      </c>
      <c r="K30" s="73">
        <v>50</v>
      </c>
      <c r="L30" s="73">
        <v>50</v>
      </c>
      <c r="M30" s="183">
        <v>50</v>
      </c>
      <c r="N30" s="183">
        <v>50</v>
      </c>
      <c r="O30" s="161"/>
    </row>
    <row r="31" spans="1:15" ht="15" thickTop="1">
      <c r="A31" s="16"/>
      <c r="B31" s="17"/>
      <c r="C31" s="18"/>
      <c r="D31" s="21"/>
      <c r="E31" s="21"/>
      <c r="F31" s="21"/>
    </row>
    <row r="32" spans="1:15" ht="15.75">
      <c r="A32" s="16"/>
      <c r="B32" s="100" t="s">
        <v>94</v>
      </c>
      <c r="C32" s="18"/>
      <c r="D32" s="21"/>
      <c r="E32" s="21"/>
      <c r="F32" s="21"/>
    </row>
    <row r="33" spans="1:15" ht="14.25">
      <c r="A33" s="16"/>
      <c r="B33" s="17"/>
      <c r="C33" s="18"/>
      <c r="D33" s="21"/>
      <c r="E33" s="21"/>
      <c r="F33" s="21"/>
    </row>
    <row r="34" spans="1:15" ht="14.25">
      <c r="A34" s="16"/>
      <c r="B34" s="17"/>
      <c r="C34" s="18"/>
      <c r="D34" s="21"/>
      <c r="E34" s="21"/>
      <c r="F34" s="21"/>
    </row>
    <row r="35" spans="1:15" ht="7.5" customHeight="1">
      <c r="A35" s="16"/>
      <c r="B35" s="17"/>
      <c r="C35" s="18"/>
      <c r="D35" s="21"/>
      <c r="E35" s="21"/>
      <c r="F35" s="21"/>
    </row>
    <row r="36" spans="1:15" ht="25.5" customHeight="1">
      <c r="A36" s="222" t="s">
        <v>116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</row>
    <row r="37" spans="1:15" ht="15.75">
      <c r="A37" s="15" t="s">
        <v>104</v>
      </c>
      <c r="B37" s="15" t="s">
        <v>113</v>
      </c>
      <c r="C37" s="22" t="s">
        <v>103</v>
      </c>
      <c r="D37" s="22">
        <v>2012</v>
      </c>
      <c r="E37" s="22">
        <v>2013</v>
      </c>
      <c r="F37" s="22">
        <v>2014</v>
      </c>
      <c r="G37" s="22">
        <v>2015</v>
      </c>
      <c r="H37" s="22">
        <v>2016</v>
      </c>
      <c r="I37" s="22">
        <v>2017</v>
      </c>
      <c r="J37" s="22">
        <v>2018</v>
      </c>
      <c r="K37" s="22">
        <v>2019</v>
      </c>
      <c r="L37" s="22">
        <v>2020</v>
      </c>
      <c r="M37" s="22">
        <v>2021</v>
      </c>
      <c r="N37" s="22">
        <v>2022</v>
      </c>
    </row>
    <row r="38" spans="1:15" ht="18" thickBot="1">
      <c r="A38" s="80">
        <v>2</v>
      </c>
      <c r="B38" s="94" t="s">
        <v>187</v>
      </c>
      <c r="C38" s="81" t="s">
        <v>53</v>
      </c>
      <c r="D38" s="82">
        <v>0</v>
      </c>
      <c r="E38" s="82">
        <v>0</v>
      </c>
      <c r="F38" s="82">
        <v>0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v>0</v>
      </c>
    </row>
    <row r="39" spans="1:15" ht="18.75" thickTop="1" thickBot="1">
      <c r="A39" s="80" t="s">
        <v>96</v>
      </c>
      <c r="B39" s="94" t="s">
        <v>216</v>
      </c>
      <c r="C39" s="81" t="s">
        <v>41</v>
      </c>
      <c r="D39" s="82">
        <f>SUM(D40:D41)</f>
        <v>834.99</v>
      </c>
      <c r="E39" s="82">
        <f t="shared" ref="E39:H39" si="14">SUM(E40:E41)</f>
        <v>985.2</v>
      </c>
      <c r="F39" s="82">
        <f t="shared" si="14"/>
        <v>897.77646666666658</v>
      </c>
      <c r="G39" s="83">
        <f t="shared" si="14"/>
        <v>720.16</v>
      </c>
      <c r="H39" s="83">
        <f t="shared" si="14"/>
        <v>1064</v>
      </c>
      <c r="I39" s="83">
        <v>832</v>
      </c>
      <c r="J39" s="83">
        <v>1315.025416285926</v>
      </c>
      <c r="K39" s="83">
        <f t="shared" ref="K39" si="15">SUM(K40:K41)</f>
        <v>1260.6087386666668</v>
      </c>
      <c r="L39" s="83">
        <f>+L40+L41</f>
        <v>245.81275191111112</v>
      </c>
      <c r="M39" s="83">
        <f>+M40+M41</f>
        <v>1039.2880233185185</v>
      </c>
      <c r="N39" s="83">
        <f>+N40+N41</f>
        <v>1334</v>
      </c>
    </row>
    <row r="40" spans="1:15" ht="18.75" thickTop="1" thickBot="1">
      <c r="A40" s="85" t="s">
        <v>97</v>
      </c>
      <c r="B40" s="95" t="s">
        <v>189</v>
      </c>
      <c r="C40" s="86" t="s">
        <v>41</v>
      </c>
      <c r="D40" s="87">
        <v>832</v>
      </c>
      <c r="E40" s="87">
        <v>985</v>
      </c>
      <c r="F40" s="87">
        <v>886.77646666666658</v>
      </c>
      <c r="G40" s="87">
        <v>716.16</v>
      </c>
      <c r="H40" s="87">
        <v>1064</v>
      </c>
      <c r="I40" s="87">
        <v>832</v>
      </c>
      <c r="J40" s="87">
        <v>1312.7669570266667</v>
      </c>
      <c r="K40" s="87">
        <v>1259.3950086666669</v>
      </c>
      <c r="L40" s="87">
        <v>245.81202666666667</v>
      </c>
      <c r="M40" s="87">
        <v>1039.1184768000001</v>
      </c>
      <c r="N40" s="87">
        <v>1334</v>
      </c>
    </row>
    <row r="41" spans="1:15" ht="18.75" thickTop="1" thickBot="1">
      <c r="A41" s="85" t="s">
        <v>98</v>
      </c>
      <c r="B41" s="95" t="s">
        <v>268</v>
      </c>
      <c r="C41" s="86" t="s">
        <v>41</v>
      </c>
      <c r="D41" s="87">
        <v>2.99</v>
      </c>
      <c r="E41" s="87">
        <v>0.2</v>
      </c>
      <c r="F41" s="87">
        <v>11</v>
      </c>
      <c r="G41" s="87">
        <v>4</v>
      </c>
      <c r="H41" s="87">
        <v>0</v>
      </c>
      <c r="I41" s="87">
        <v>0</v>
      </c>
      <c r="J41" s="87">
        <v>2.2584592592592596</v>
      </c>
      <c r="K41" s="87">
        <v>1.21373</v>
      </c>
      <c r="L41" s="87">
        <v>7.2524444444444435E-4</v>
      </c>
      <c r="M41" s="87">
        <v>0.16954651851851849</v>
      </c>
      <c r="N41" s="87">
        <v>0</v>
      </c>
    </row>
    <row r="42" spans="1:15" ht="18.75" thickTop="1" thickBot="1">
      <c r="A42" s="80" t="s">
        <v>99</v>
      </c>
      <c r="B42" s="94" t="s">
        <v>267</v>
      </c>
      <c r="C42" s="81" t="s">
        <v>41</v>
      </c>
      <c r="D42" s="82">
        <v>2.0510000000000002</v>
      </c>
      <c r="E42" s="82">
        <v>3.3439999999999999</v>
      </c>
      <c r="F42" s="82">
        <v>1.4602499799999999</v>
      </c>
      <c r="G42" s="83">
        <v>2</v>
      </c>
      <c r="H42" s="83">
        <v>0.40993999999999997</v>
      </c>
      <c r="I42" s="83">
        <v>1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</row>
    <row r="43" spans="1:15" ht="19.5" thickTop="1" thickBot="1">
      <c r="A43" s="80">
        <v>5</v>
      </c>
      <c r="B43" s="94" t="s">
        <v>107</v>
      </c>
      <c r="C43" s="81" t="s">
        <v>54</v>
      </c>
      <c r="D43" s="82">
        <f>D44+D45</f>
        <v>412.67</v>
      </c>
      <c r="E43" s="82">
        <f>E44+E45</f>
        <v>432.96</v>
      </c>
      <c r="F43" s="82">
        <f>F44+F45</f>
        <v>513</v>
      </c>
      <c r="G43" s="83">
        <f>G44+G45</f>
        <v>487.03584905660301</v>
      </c>
      <c r="H43" s="83">
        <f>H44+H45</f>
        <v>434.63018867924529</v>
      </c>
      <c r="I43" s="83">
        <v>595</v>
      </c>
      <c r="J43" s="83">
        <f>J44+J45</f>
        <v>585</v>
      </c>
      <c r="K43" s="83">
        <f>K44+K45</f>
        <v>527.904</v>
      </c>
      <c r="L43" s="83">
        <f t="shared" ref="L43:N43" si="16">L44+L45</f>
        <v>580.18304086000001</v>
      </c>
      <c r="M43" s="83">
        <f t="shared" si="16"/>
        <v>684.80504085999996</v>
      </c>
      <c r="N43" s="83">
        <f t="shared" si="16"/>
        <v>755.80091086000004</v>
      </c>
      <c r="O43" s="161">
        <f>(M43*100)/N43</f>
        <v>90.606538179582728</v>
      </c>
    </row>
    <row r="44" spans="1:15" ht="18.75" thickTop="1" thickBot="1">
      <c r="A44" s="70" t="s">
        <v>18</v>
      </c>
      <c r="B44" s="96" t="s">
        <v>125</v>
      </c>
      <c r="C44" s="71" t="s">
        <v>40</v>
      </c>
      <c r="D44" s="72">
        <v>145</v>
      </c>
      <c r="E44" s="72">
        <v>156</v>
      </c>
      <c r="F44" s="72">
        <v>193</v>
      </c>
      <c r="G44" s="72">
        <v>208.905660377358</v>
      </c>
      <c r="H44" s="73">
        <v>225.29811320754717</v>
      </c>
      <c r="I44" s="73">
        <v>345</v>
      </c>
      <c r="J44" s="73">
        <v>354</v>
      </c>
      <c r="K44" s="73">
        <v>319.85000000000002</v>
      </c>
      <c r="L44" s="73">
        <v>377.54</v>
      </c>
      <c r="M44" s="183">
        <v>422.79300000000001</v>
      </c>
      <c r="N44" s="183">
        <v>481.23187000000001</v>
      </c>
      <c r="O44" s="161">
        <f t="shared" ref="O44:O50" si="17">(M44*100)/N44</f>
        <v>87.856400699313625</v>
      </c>
    </row>
    <row r="45" spans="1:15" ht="18.75" thickTop="1" thickBot="1">
      <c r="A45" s="70" t="s">
        <v>19</v>
      </c>
      <c r="B45" s="96" t="s">
        <v>126</v>
      </c>
      <c r="C45" s="71" t="s">
        <v>40</v>
      </c>
      <c r="D45" s="72">
        <v>267.67</v>
      </c>
      <c r="E45" s="72">
        <v>276.95999999999998</v>
      </c>
      <c r="F45" s="72">
        <v>320</v>
      </c>
      <c r="G45" s="72">
        <v>278.13018867924501</v>
      </c>
      <c r="H45" s="73">
        <v>209.33207547169812</v>
      </c>
      <c r="I45" s="73">
        <v>250</v>
      </c>
      <c r="J45" s="73">
        <v>231</v>
      </c>
      <c r="K45" s="73">
        <v>208.054</v>
      </c>
      <c r="L45" s="73">
        <v>202.64304086000001</v>
      </c>
      <c r="M45" s="183">
        <v>262.01204086000001</v>
      </c>
      <c r="N45" s="183">
        <v>274.56904086000003</v>
      </c>
      <c r="O45" s="161">
        <f t="shared" si="17"/>
        <v>95.426651176451202</v>
      </c>
    </row>
    <row r="46" spans="1:15" ht="19.5" thickTop="1" thickBot="1">
      <c r="A46" s="80">
        <v>6</v>
      </c>
      <c r="B46" s="94" t="s">
        <v>266</v>
      </c>
      <c r="C46" s="81" t="s">
        <v>54</v>
      </c>
      <c r="D46" s="82">
        <f>D47+D50+D54+D56</f>
        <v>251.84400000000002</v>
      </c>
      <c r="E46" s="82">
        <f>E47+E50+E54+E56</f>
        <v>243.84400000000002</v>
      </c>
      <c r="F46" s="82">
        <f>F47+F50+F54+F56</f>
        <v>258.5183041307306</v>
      </c>
      <c r="G46" s="83">
        <f>G47+G50+G54+G56</f>
        <v>218</v>
      </c>
      <c r="H46" s="83">
        <f>H47+H50+H54+H56</f>
        <v>228.7</v>
      </c>
      <c r="I46" s="83">
        <f t="shared" ref="I46:L46" si="18">I47+I50+I54+I56</f>
        <v>241</v>
      </c>
      <c r="J46" s="83">
        <f t="shared" si="18"/>
        <v>251</v>
      </c>
      <c r="K46" s="83">
        <f t="shared" si="18"/>
        <v>238.351</v>
      </c>
      <c r="L46" s="83">
        <f t="shared" si="18"/>
        <v>243.03610665333332</v>
      </c>
      <c r="M46" s="83">
        <f>M47+M50+M54+M56</f>
        <v>246.78820000000002</v>
      </c>
      <c r="N46" s="83">
        <f>N47+N50+N54+N56</f>
        <v>283.36500000000001</v>
      </c>
      <c r="O46" s="161">
        <f t="shared" si="17"/>
        <v>87.091983837100571</v>
      </c>
    </row>
    <row r="47" spans="1:15" ht="18.75" thickTop="1" thickBot="1">
      <c r="A47" s="85">
        <v>6.1</v>
      </c>
      <c r="B47" s="95" t="s">
        <v>217</v>
      </c>
      <c r="C47" s="86" t="s">
        <v>40</v>
      </c>
      <c r="D47" s="87">
        <f>D48+D49</f>
        <v>0</v>
      </c>
      <c r="E47" s="87">
        <f>E48+E49</f>
        <v>0</v>
      </c>
      <c r="F47" s="87">
        <f>F48+F49</f>
        <v>0</v>
      </c>
      <c r="G47" s="87">
        <f>G48+G49</f>
        <v>0</v>
      </c>
      <c r="H47" s="87">
        <f>H48+H49</f>
        <v>0</v>
      </c>
      <c r="I47" s="87">
        <f t="shared" ref="I47:M47" si="19">I48+I49</f>
        <v>0</v>
      </c>
      <c r="J47" s="87">
        <f t="shared" si="19"/>
        <v>0</v>
      </c>
      <c r="K47" s="87">
        <f t="shared" si="19"/>
        <v>0</v>
      </c>
      <c r="L47" s="87">
        <f t="shared" si="19"/>
        <v>4.3106653333333335E-2</v>
      </c>
      <c r="M47" s="87">
        <f t="shared" si="19"/>
        <v>0.29620000000000002</v>
      </c>
      <c r="N47" s="87">
        <f t="shared" ref="N47" si="20">N48+N49</f>
        <v>8.6869999999999994</v>
      </c>
      <c r="O47" s="161">
        <f t="shared" si="17"/>
        <v>3.4096926441809603</v>
      </c>
    </row>
    <row r="48" spans="1:15" ht="18.75" thickTop="1" thickBot="1">
      <c r="A48" s="70" t="s">
        <v>20</v>
      </c>
      <c r="B48" s="96" t="s">
        <v>125</v>
      </c>
      <c r="C48" s="71" t="s">
        <v>40</v>
      </c>
      <c r="D48" s="72">
        <v>0</v>
      </c>
      <c r="E48" s="72">
        <v>0</v>
      </c>
      <c r="F48" s="72">
        <v>0</v>
      </c>
      <c r="G48" s="72">
        <v>0</v>
      </c>
      <c r="H48" s="73">
        <v>0</v>
      </c>
      <c r="I48" s="73">
        <v>0</v>
      </c>
      <c r="J48" s="73">
        <v>0</v>
      </c>
      <c r="K48" s="73">
        <v>0</v>
      </c>
      <c r="L48" s="73">
        <v>0</v>
      </c>
      <c r="M48" s="183">
        <v>0</v>
      </c>
      <c r="N48" s="183">
        <v>0</v>
      </c>
      <c r="O48" s="161" t="e">
        <f t="shared" si="17"/>
        <v>#DIV/0!</v>
      </c>
    </row>
    <row r="49" spans="1:16" ht="18.75" thickTop="1" thickBot="1">
      <c r="A49" s="70" t="s">
        <v>21</v>
      </c>
      <c r="B49" s="96" t="s">
        <v>126</v>
      </c>
      <c r="C49" s="71" t="s">
        <v>40</v>
      </c>
      <c r="D49" s="72">
        <v>0</v>
      </c>
      <c r="E49" s="72">
        <v>0</v>
      </c>
      <c r="F49" s="72">
        <v>0</v>
      </c>
      <c r="G49" s="72">
        <v>0</v>
      </c>
      <c r="H49" s="73">
        <v>0</v>
      </c>
      <c r="I49" s="73">
        <v>0</v>
      </c>
      <c r="J49" s="73">
        <v>0</v>
      </c>
      <c r="K49" s="73">
        <v>0</v>
      </c>
      <c r="L49" s="73">
        <v>4.3106653333333335E-2</v>
      </c>
      <c r="M49" s="183">
        <v>0.29620000000000002</v>
      </c>
      <c r="N49" s="183">
        <v>8.6869999999999994</v>
      </c>
      <c r="O49" s="161">
        <f t="shared" si="17"/>
        <v>3.4096926441809603</v>
      </c>
    </row>
    <row r="50" spans="1:16" ht="18.75" thickTop="1" thickBot="1">
      <c r="A50" s="85">
        <v>6.2</v>
      </c>
      <c r="B50" s="95" t="s">
        <v>142</v>
      </c>
      <c r="C50" s="86" t="s">
        <v>40</v>
      </c>
      <c r="D50" s="87">
        <f>SUM(D51:D53)</f>
        <v>228.48500000000001</v>
      </c>
      <c r="E50" s="87">
        <f>SUM(E51:E53)</f>
        <v>220.48500000000001</v>
      </c>
      <c r="F50" s="87">
        <f>SUM(F51:F53)</f>
        <v>238.9973431307306</v>
      </c>
      <c r="G50" s="87">
        <f>SUM(G51:G53)</f>
        <v>218</v>
      </c>
      <c r="H50" s="87">
        <f>SUM(H51:H53)</f>
        <v>228.7</v>
      </c>
      <c r="I50" s="87">
        <v>241</v>
      </c>
      <c r="J50" s="87">
        <f>SUM(J51:J53)</f>
        <v>251</v>
      </c>
      <c r="K50" s="87">
        <f t="shared" ref="K50:N50" si="21">SUM(K51:K53)</f>
        <v>238.351</v>
      </c>
      <c r="L50" s="87">
        <f t="shared" si="21"/>
        <v>242.99299999999999</v>
      </c>
      <c r="M50" s="87">
        <f t="shared" si="21"/>
        <v>246.40600000000001</v>
      </c>
      <c r="N50" s="87">
        <f t="shared" si="21"/>
        <v>274.59199999999998</v>
      </c>
      <c r="O50" s="161">
        <f t="shared" si="17"/>
        <v>89.735316396690379</v>
      </c>
    </row>
    <row r="51" spans="1:16" ht="18.75" thickTop="1" thickBot="1">
      <c r="A51" s="70" t="s">
        <v>22</v>
      </c>
      <c r="B51" s="96" t="s">
        <v>125</v>
      </c>
      <c r="C51" s="71" t="s">
        <v>40</v>
      </c>
      <c r="D51" s="72">
        <v>30.484999999999999</v>
      </c>
      <c r="E51" s="72">
        <v>42.484999999999999</v>
      </c>
      <c r="F51" s="72">
        <v>55.997343130730592</v>
      </c>
      <c r="G51" s="72">
        <v>32</v>
      </c>
      <c r="H51" s="73">
        <v>43.4</v>
      </c>
      <c r="I51" s="73">
        <v>49.698999999999998</v>
      </c>
      <c r="J51" s="73">
        <v>53</v>
      </c>
      <c r="K51" s="73">
        <v>61.601999999999997</v>
      </c>
      <c r="L51" s="73">
        <v>83.150999999999996</v>
      </c>
      <c r="M51" s="183">
        <v>89.745000000000005</v>
      </c>
      <c r="N51" s="183">
        <v>100.29600000000001</v>
      </c>
    </row>
    <row r="52" spans="1:16" ht="18.75" thickTop="1" thickBot="1">
      <c r="A52" s="70" t="s">
        <v>23</v>
      </c>
      <c r="B52" s="96" t="s">
        <v>126</v>
      </c>
      <c r="C52" s="71" t="s">
        <v>40</v>
      </c>
      <c r="D52" s="72">
        <v>67</v>
      </c>
      <c r="E52" s="72">
        <v>56</v>
      </c>
      <c r="F52" s="72">
        <v>49</v>
      </c>
      <c r="G52" s="72">
        <v>26</v>
      </c>
      <c r="H52" s="73">
        <v>16.899999999999999</v>
      </c>
      <c r="I52" s="73">
        <v>10.314</v>
      </c>
      <c r="J52" s="73">
        <v>16</v>
      </c>
      <c r="K52" s="73">
        <v>11.749000000000001</v>
      </c>
      <c r="L52" s="73">
        <v>8.8420000000000005</v>
      </c>
      <c r="M52" s="183">
        <v>17.661000000000001</v>
      </c>
      <c r="N52" s="183">
        <v>33.411000000000001</v>
      </c>
    </row>
    <row r="53" spans="1:16" ht="18.75" thickTop="1" thickBot="1">
      <c r="A53" s="70" t="s">
        <v>62</v>
      </c>
      <c r="B53" s="96" t="s">
        <v>344</v>
      </c>
      <c r="C53" s="71" t="s">
        <v>40</v>
      </c>
      <c r="D53" s="72">
        <v>131</v>
      </c>
      <c r="E53" s="72">
        <v>122</v>
      </c>
      <c r="F53" s="72">
        <v>134</v>
      </c>
      <c r="G53" s="72">
        <v>160</v>
      </c>
      <c r="H53" s="73">
        <v>168.4</v>
      </c>
      <c r="I53" s="73">
        <v>180.56</v>
      </c>
      <c r="J53" s="73">
        <v>182</v>
      </c>
      <c r="K53" s="73">
        <v>165</v>
      </c>
      <c r="L53" s="73">
        <v>151</v>
      </c>
      <c r="M53" s="183">
        <v>139</v>
      </c>
      <c r="N53" s="183">
        <v>140.88499999999999</v>
      </c>
    </row>
    <row r="54" spans="1:16" ht="33" thickTop="1" thickBot="1">
      <c r="A54" s="85">
        <v>6.3</v>
      </c>
      <c r="B54" s="95" t="s">
        <v>192</v>
      </c>
      <c r="C54" s="86" t="s">
        <v>40</v>
      </c>
      <c r="D54" s="87">
        <f>D55</f>
        <v>0</v>
      </c>
      <c r="E54" s="87">
        <v>0</v>
      </c>
      <c r="F54" s="87">
        <f>SUM(F55)</f>
        <v>0</v>
      </c>
      <c r="G54" s="87">
        <f>SUM(G55)</f>
        <v>0</v>
      </c>
      <c r="H54" s="87">
        <f>SUM(H55)</f>
        <v>0</v>
      </c>
      <c r="I54" s="87">
        <f>SUM(I55)</f>
        <v>0</v>
      </c>
      <c r="J54" s="87">
        <v>0</v>
      </c>
      <c r="K54" s="87">
        <v>0</v>
      </c>
      <c r="L54" s="87">
        <v>0</v>
      </c>
      <c r="M54" s="87">
        <v>0</v>
      </c>
      <c r="N54" s="87">
        <v>0</v>
      </c>
      <c r="P54" s="204"/>
    </row>
    <row r="55" spans="1:16" ht="18.75" thickTop="1" thickBot="1">
      <c r="A55" s="70" t="s">
        <v>24</v>
      </c>
      <c r="B55" s="96" t="s">
        <v>193</v>
      </c>
      <c r="C55" s="71" t="s">
        <v>40</v>
      </c>
      <c r="D55" s="72">
        <v>0</v>
      </c>
      <c r="E55" s="72">
        <v>0</v>
      </c>
      <c r="F55" s="72">
        <v>0</v>
      </c>
      <c r="G55" s="72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183">
        <v>0</v>
      </c>
      <c r="N55" s="183">
        <v>0</v>
      </c>
      <c r="P55" s="205"/>
    </row>
    <row r="56" spans="1:16" ht="18.75" thickTop="1" thickBot="1">
      <c r="A56" s="85">
        <v>6.4</v>
      </c>
      <c r="B56" s="95" t="s">
        <v>218</v>
      </c>
      <c r="C56" s="86" t="s">
        <v>40</v>
      </c>
      <c r="D56" s="87">
        <f>D57+D58+D59</f>
        <v>23.359000000000002</v>
      </c>
      <c r="E56" s="87">
        <f>E57+E58+E59</f>
        <v>23.359000000000002</v>
      </c>
      <c r="F56" s="87">
        <f t="shared" ref="F56:K56" si="22">SUM(F57:F59)</f>
        <v>19.520961000000028</v>
      </c>
      <c r="G56" s="87">
        <f t="shared" si="22"/>
        <v>0</v>
      </c>
      <c r="H56" s="87">
        <f t="shared" si="22"/>
        <v>0</v>
      </c>
      <c r="I56" s="87">
        <f t="shared" si="22"/>
        <v>0</v>
      </c>
      <c r="J56" s="87">
        <f t="shared" si="22"/>
        <v>0</v>
      </c>
      <c r="K56" s="87">
        <f t="shared" si="22"/>
        <v>0</v>
      </c>
      <c r="L56" s="87">
        <f t="shared" ref="L56:M56" si="23">SUM(L57:L59)</f>
        <v>0</v>
      </c>
      <c r="M56" s="87">
        <f t="shared" si="23"/>
        <v>8.5999999999999993E-2</v>
      </c>
      <c r="N56" s="87">
        <f t="shared" ref="N56" si="24">SUM(N57:N59)</f>
        <v>8.5999999999999993E-2</v>
      </c>
      <c r="P56" s="205"/>
    </row>
    <row r="57" spans="1:16" ht="27.75" customHeight="1" thickTop="1" thickBot="1">
      <c r="A57" s="70" t="s">
        <v>25</v>
      </c>
      <c r="B57" s="96" t="s">
        <v>194</v>
      </c>
      <c r="C57" s="71" t="s">
        <v>40</v>
      </c>
      <c r="D57" s="72">
        <v>0</v>
      </c>
      <c r="E57" s="72">
        <v>0</v>
      </c>
      <c r="F57" s="72">
        <v>0</v>
      </c>
      <c r="G57" s="72">
        <v>0</v>
      </c>
      <c r="H57" s="73">
        <v>0</v>
      </c>
      <c r="I57" s="73">
        <v>0</v>
      </c>
      <c r="J57" s="73">
        <v>0</v>
      </c>
      <c r="K57" s="73">
        <v>0</v>
      </c>
      <c r="L57" s="73">
        <v>0</v>
      </c>
      <c r="M57" s="183">
        <v>0</v>
      </c>
      <c r="N57" s="183">
        <v>0</v>
      </c>
    </row>
    <row r="58" spans="1:16" ht="18.75" thickTop="1" thickBot="1">
      <c r="A58" s="70" t="s">
        <v>26</v>
      </c>
      <c r="B58" s="96" t="s">
        <v>144</v>
      </c>
      <c r="C58" s="71" t="s">
        <v>40</v>
      </c>
      <c r="D58" s="72">
        <v>23.359000000000002</v>
      </c>
      <c r="E58" s="72">
        <v>23.359000000000002</v>
      </c>
      <c r="F58" s="72">
        <v>19.520961000000028</v>
      </c>
      <c r="G58" s="72">
        <v>0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183">
        <v>0</v>
      </c>
      <c r="N58" s="183">
        <v>0</v>
      </c>
    </row>
    <row r="59" spans="1:16" ht="18.75" thickTop="1" thickBot="1">
      <c r="A59" s="70" t="s">
        <v>27</v>
      </c>
      <c r="B59" s="96" t="s">
        <v>219</v>
      </c>
      <c r="C59" s="71" t="s">
        <v>40</v>
      </c>
      <c r="D59" s="72">
        <v>0</v>
      </c>
      <c r="E59" s="72">
        <v>0</v>
      </c>
      <c r="F59" s="72">
        <v>0</v>
      </c>
      <c r="G59" s="72">
        <v>0</v>
      </c>
      <c r="H59" s="73">
        <v>0</v>
      </c>
      <c r="I59" s="73">
        <v>0</v>
      </c>
      <c r="J59" s="73">
        <v>0</v>
      </c>
      <c r="K59" s="73">
        <v>0</v>
      </c>
      <c r="L59" s="73">
        <v>0</v>
      </c>
      <c r="M59" s="183">
        <v>8.5999999999999993E-2</v>
      </c>
      <c r="N59" s="183">
        <v>8.5999999999999993E-2</v>
      </c>
    </row>
    <row r="60" spans="1:16" ht="18.75" thickTop="1" thickBot="1">
      <c r="A60" s="80">
        <v>7</v>
      </c>
      <c r="B60" s="94" t="s">
        <v>108</v>
      </c>
      <c r="C60" s="81" t="s">
        <v>53</v>
      </c>
      <c r="D60" s="82">
        <v>1162.3</v>
      </c>
      <c r="E60" s="82">
        <f>SUM(E61:E63)</f>
        <v>1257.3</v>
      </c>
      <c r="F60" s="82">
        <f>+F61+F62+F63+F68</f>
        <v>1910</v>
      </c>
      <c r="G60" s="83">
        <f>+G61+G62+G63+G68</f>
        <v>2412</v>
      </c>
      <c r="H60" s="83">
        <f>+H61+H62+H63+H68</f>
        <v>2604</v>
      </c>
      <c r="I60" s="83">
        <f>+I61+I62+I63+I68</f>
        <v>2644</v>
      </c>
      <c r="J60" s="83">
        <v>2543.3450000000003</v>
      </c>
      <c r="K60" s="83">
        <v>2618</v>
      </c>
      <c r="L60" s="83">
        <f>+L63</f>
        <v>2792.7809999999999</v>
      </c>
      <c r="M60" s="83">
        <f>+M63</f>
        <v>2770.7299899999998</v>
      </c>
      <c r="N60" s="83">
        <f>+N63</f>
        <v>2711.1374369999999</v>
      </c>
    </row>
    <row r="61" spans="1:16" ht="18.75" thickTop="1" thickBot="1">
      <c r="A61" s="85">
        <v>7.1</v>
      </c>
      <c r="B61" s="95" t="s">
        <v>196</v>
      </c>
      <c r="C61" s="86" t="s">
        <v>53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0</v>
      </c>
      <c r="J61" s="87">
        <v>0</v>
      </c>
      <c r="K61" s="87">
        <v>0</v>
      </c>
      <c r="L61" s="87">
        <v>0</v>
      </c>
      <c r="M61" s="87">
        <v>0</v>
      </c>
      <c r="N61" s="87">
        <v>0</v>
      </c>
    </row>
    <row r="62" spans="1:16" ht="18.75" thickTop="1" thickBot="1">
      <c r="A62" s="85">
        <v>7.2</v>
      </c>
      <c r="B62" s="95" t="s">
        <v>197</v>
      </c>
      <c r="C62" s="86" t="s">
        <v>53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</row>
    <row r="63" spans="1:16" ht="18.75" thickTop="1" thickBot="1">
      <c r="A63" s="85">
        <v>7.3</v>
      </c>
      <c r="B63" s="95" t="s">
        <v>198</v>
      </c>
      <c r="C63" s="86" t="s">
        <v>53</v>
      </c>
      <c r="D63" s="87">
        <v>1162.3</v>
      </c>
      <c r="E63" s="87">
        <v>1257.3</v>
      </c>
      <c r="F63" s="87">
        <v>1910</v>
      </c>
      <c r="G63" s="87">
        <f>SUM(G65:G67)</f>
        <v>2412</v>
      </c>
      <c r="H63" s="87">
        <f>SUM(H65:H67)</f>
        <v>2604</v>
      </c>
      <c r="I63" s="87">
        <f>SUM(I65:I67)</f>
        <v>2644</v>
      </c>
      <c r="J63" s="87">
        <f t="shared" ref="J63:M63" si="25">SUM(J65:J67)</f>
        <v>2543.3450000000003</v>
      </c>
      <c r="K63" s="87">
        <f t="shared" si="25"/>
        <v>2618</v>
      </c>
      <c r="L63" s="87">
        <f t="shared" si="25"/>
        <v>2792.7809999999999</v>
      </c>
      <c r="M63" s="87">
        <f t="shared" si="25"/>
        <v>2770.7299899999998</v>
      </c>
      <c r="N63" s="87">
        <f t="shared" ref="N63" si="26">SUM(N65:N67)</f>
        <v>2711.1374369999999</v>
      </c>
    </row>
    <row r="64" spans="1:16" ht="18.75" thickTop="1" thickBot="1">
      <c r="A64" s="70" t="s">
        <v>28</v>
      </c>
      <c r="B64" s="96" t="s">
        <v>220</v>
      </c>
      <c r="C64" s="71" t="s">
        <v>53</v>
      </c>
      <c r="D64" s="72">
        <v>0</v>
      </c>
      <c r="E64" s="72">
        <v>0</v>
      </c>
      <c r="F64" s="72">
        <v>0</v>
      </c>
      <c r="G64" s="72">
        <v>0</v>
      </c>
      <c r="H64" s="73">
        <v>0</v>
      </c>
      <c r="I64" s="73">
        <v>0</v>
      </c>
      <c r="J64" s="73">
        <v>0</v>
      </c>
      <c r="K64" s="73">
        <v>0</v>
      </c>
      <c r="L64" s="73">
        <v>0</v>
      </c>
      <c r="M64" s="183">
        <v>0</v>
      </c>
      <c r="N64" s="183">
        <v>0</v>
      </c>
    </row>
    <row r="65" spans="1:15" ht="18.75" thickTop="1" thickBot="1">
      <c r="A65" s="70" t="s">
        <v>29</v>
      </c>
      <c r="B65" s="96" t="s">
        <v>221</v>
      </c>
      <c r="C65" s="71" t="s">
        <v>53</v>
      </c>
      <c r="D65" s="72">
        <v>1162.3</v>
      </c>
      <c r="E65" s="72">
        <v>1257.3</v>
      </c>
      <c r="F65" s="72">
        <v>1910</v>
      </c>
      <c r="G65" s="72">
        <v>2412</v>
      </c>
      <c r="H65" s="73">
        <v>2604</v>
      </c>
      <c r="I65" s="73">
        <v>2644</v>
      </c>
      <c r="J65" s="73">
        <v>2543.3450000000003</v>
      </c>
      <c r="K65" s="73">
        <v>2618</v>
      </c>
      <c r="L65" s="73">
        <v>2792.7809999999999</v>
      </c>
      <c r="M65" s="183">
        <v>2770.7299899999998</v>
      </c>
      <c r="N65" s="183">
        <v>2711.1374369999999</v>
      </c>
    </row>
    <row r="66" spans="1:15" ht="18.75" thickTop="1" thickBot="1">
      <c r="A66" s="70" t="s">
        <v>30</v>
      </c>
      <c r="B66" s="96" t="s">
        <v>222</v>
      </c>
      <c r="C66" s="71" t="s">
        <v>53</v>
      </c>
      <c r="D66" s="72">
        <v>0</v>
      </c>
      <c r="E66" s="72">
        <v>0</v>
      </c>
      <c r="F66" s="72">
        <v>0</v>
      </c>
      <c r="G66" s="72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183">
        <v>0</v>
      </c>
      <c r="N66" s="183">
        <v>0</v>
      </c>
    </row>
    <row r="67" spans="1:15" ht="18.75" thickTop="1" thickBot="1">
      <c r="A67" s="70" t="s">
        <v>31</v>
      </c>
      <c r="B67" s="96" t="s">
        <v>223</v>
      </c>
      <c r="C67" s="71" t="s">
        <v>53</v>
      </c>
      <c r="D67" s="72">
        <v>0</v>
      </c>
      <c r="E67" s="72">
        <v>0</v>
      </c>
      <c r="F67" s="72">
        <v>0</v>
      </c>
      <c r="G67" s="72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183">
        <v>0</v>
      </c>
      <c r="N67" s="183">
        <v>0</v>
      </c>
    </row>
    <row r="68" spans="1:15" ht="18.75" thickTop="1" thickBot="1">
      <c r="A68" s="85">
        <v>7.4</v>
      </c>
      <c r="B68" s="95" t="s">
        <v>203</v>
      </c>
      <c r="C68" s="86" t="s">
        <v>53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  <c r="I68" s="87">
        <v>0</v>
      </c>
      <c r="J68" s="87">
        <v>0</v>
      </c>
      <c r="K68" s="87">
        <v>0</v>
      </c>
      <c r="L68" s="87">
        <v>0</v>
      </c>
      <c r="M68" s="87">
        <v>0</v>
      </c>
      <c r="N68" s="87">
        <v>0</v>
      </c>
    </row>
    <row r="69" spans="1:15" ht="18.75" thickTop="1" thickBot="1">
      <c r="A69" s="80">
        <v>8</v>
      </c>
      <c r="B69" s="94" t="s">
        <v>204</v>
      </c>
      <c r="C69" s="81" t="s">
        <v>53</v>
      </c>
      <c r="D69" s="82">
        <v>0</v>
      </c>
      <c r="E69" s="82">
        <v>0</v>
      </c>
      <c r="F69" s="82">
        <f>SUM(F70:F71)</f>
        <v>0</v>
      </c>
      <c r="G69" s="83">
        <f>SUM(G70:G71)</f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</row>
    <row r="70" spans="1:15" ht="31.5" customHeight="1" thickTop="1" thickBot="1">
      <c r="A70" s="85">
        <v>8.1</v>
      </c>
      <c r="B70" s="95" t="s">
        <v>224</v>
      </c>
      <c r="C70" s="86" t="s">
        <v>53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  <c r="I70" s="87">
        <v>0</v>
      </c>
      <c r="J70" s="87">
        <v>0</v>
      </c>
      <c r="K70" s="87">
        <v>0</v>
      </c>
      <c r="L70" s="87">
        <v>0</v>
      </c>
      <c r="M70" s="87">
        <v>0</v>
      </c>
      <c r="N70" s="87">
        <v>0</v>
      </c>
      <c r="O70" s="57"/>
    </row>
    <row r="71" spans="1:15" ht="18.75" thickTop="1" thickBot="1">
      <c r="A71" s="85">
        <v>8.1999999999999993</v>
      </c>
      <c r="B71" s="95" t="s">
        <v>145</v>
      </c>
      <c r="C71" s="86" t="s">
        <v>53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57"/>
    </row>
    <row r="72" spans="1:15" ht="18.75" thickTop="1" thickBot="1">
      <c r="A72" s="80">
        <v>9</v>
      </c>
      <c r="B72" s="94" t="s">
        <v>109</v>
      </c>
      <c r="C72" s="81" t="s">
        <v>53</v>
      </c>
      <c r="D72" s="82">
        <v>39</v>
      </c>
      <c r="E72" s="82">
        <v>41</v>
      </c>
      <c r="F72" s="82">
        <v>11.836855999999999</v>
      </c>
      <c r="G72" s="83">
        <v>16</v>
      </c>
      <c r="H72" s="83">
        <v>21</v>
      </c>
      <c r="I72" s="82">
        <v>73</v>
      </c>
      <c r="J72" s="82">
        <v>82</v>
      </c>
      <c r="K72" s="82">
        <v>66</v>
      </c>
      <c r="L72" s="82">
        <v>70.150930000000002</v>
      </c>
      <c r="M72" s="82">
        <v>23.46</v>
      </c>
      <c r="N72" s="82">
        <v>24.203888669999998</v>
      </c>
      <c r="O72" s="190"/>
    </row>
    <row r="73" spans="1:15" ht="18.75" thickTop="1" thickBot="1">
      <c r="A73" s="80">
        <v>10</v>
      </c>
      <c r="B73" s="94" t="s">
        <v>110</v>
      </c>
      <c r="C73" s="81" t="s">
        <v>53</v>
      </c>
      <c r="D73" s="162">
        <f>+D79+D74+D80+D85</f>
        <v>132.34377252000002</v>
      </c>
      <c r="E73" s="162">
        <f>+E79+E74+E80+E85</f>
        <v>128.50146700000002</v>
      </c>
      <c r="F73" s="162">
        <f>+F74+F79+F80+F85</f>
        <v>118.13324142</v>
      </c>
      <c r="G73" s="163">
        <f>+G74+G79+G80+G85</f>
        <v>126.80780263999992</v>
      </c>
      <c r="H73" s="163">
        <v>108</v>
      </c>
      <c r="I73" s="163">
        <f>+I74+I79+I80+I85</f>
        <v>64.112004619999993</v>
      </c>
      <c r="J73" s="163">
        <v>59</v>
      </c>
      <c r="K73" s="163">
        <v>54</v>
      </c>
      <c r="L73" s="163">
        <f>+L74+L79+L80+L85</f>
        <v>49.158618160000003</v>
      </c>
      <c r="M73" s="163">
        <f t="shared" ref="M73:N73" si="27">+M74+M79+M80+M85</f>
        <v>52.524457070000004</v>
      </c>
      <c r="N73" s="163">
        <f t="shared" si="27"/>
        <v>51.66804132</v>
      </c>
      <c r="O73" s="57"/>
    </row>
    <row r="74" spans="1:15" ht="18.75" thickTop="1" thickBot="1">
      <c r="A74" s="85">
        <v>10.1</v>
      </c>
      <c r="B74" s="95" t="s">
        <v>206</v>
      </c>
      <c r="C74" s="86" t="s">
        <v>53</v>
      </c>
      <c r="D74" s="176">
        <f t="shared" ref="D74:F74" si="28">SUM(D75:D78)</f>
        <v>49.343772520000002</v>
      </c>
      <c r="E74" s="176">
        <f t="shared" si="28"/>
        <v>48.983467000000005</v>
      </c>
      <c r="F74" s="176">
        <f t="shared" si="28"/>
        <v>53.160241420000006</v>
      </c>
      <c r="G74" s="176">
        <f>SUM(G75:G78)</f>
        <v>52.634802639999904</v>
      </c>
      <c r="H74" s="176">
        <f t="shared" ref="H74:N74" si="29">SUM(H75:H78)</f>
        <v>36.560641040000007</v>
      </c>
      <c r="I74" s="176">
        <f t="shared" si="29"/>
        <v>2.0100046200000001</v>
      </c>
      <c r="J74" s="176">
        <f t="shared" si="29"/>
        <v>0.24434715000000004</v>
      </c>
      <c r="K74" s="176">
        <f t="shared" si="29"/>
        <v>0</v>
      </c>
      <c r="L74" s="176">
        <f t="shared" si="29"/>
        <v>4.0846499999999996E-3</v>
      </c>
      <c r="M74" s="176">
        <f t="shared" si="29"/>
        <v>9.9240399999999986E-3</v>
      </c>
      <c r="N74" s="176">
        <f t="shared" si="29"/>
        <v>0.21507598</v>
      </c>
      <c r="O74" s="57"/>
    </row>
    <row r="75" spans="1:15" ht="18.75" thickTop="1" thickBot="1">
      <c r="A75" s="70" t="s">
        <v>32</v>
      </c>
      <c r="B75" s="97" t="s">
        <v>207</v>
      </c>
      <c r="C75" s="71" t="s">
        <v>53</v>
      </c>
      <c r="D75" s="72">
        <v>0</v>
      </c>
      <c r="E75" s="72">
        <v>0</v>
      </c>
      <c r="F75" s="72">
        <v>0</v>
      </c>
      <c r="G75" s="72">
        <v>0</v>
      </c>
      <c r="H75" s="73">
        <v>0</v>
      </c>
      <c r="I75" s="73">
        <v>0</v>
      </c>
      <c r="J75" s="73">
        <v>0</v>
      </c>
      <c r="K75" s="73">
        <v>0</v>
      </c>
      <c r="L75" s="73">
        <v>3.4129999999999998E-3</v>
      </c>
      <c r="M75" s="183">
        <v>9.8879999999999992E-3</v>
      </c>
      <c r="N75" s="183">
        <v>0</v>
      </c>
      <c r="O75" s="57"/>
    </row>
    <row r="76" spans="1:15" ht="18.75" thickTop="1" thickBot="1">
      <c r="A76" s="70" t="s">
        <v>33</v>
      </c>
      <c r="B76" s="97" t="s">
        <v>146</v>
      </c>
      <c r="C76" s="71" t="s">
        <v>53</v>
      </c>
      <c r="D76" s="72">
        <v>0</v>
      </c>
      <c r="E76" s="72">
        <v>0</v>
      </c>
      <c r="F76" s="72">
        <v>0</v>
      </c>
      <c r="G76" s="72">
        <v>0</v>
      </c>
      <c r="H76" s="73">
        <v>0</v>
      </c>
      <c r="I76" s="73">
        <v>0</v>
      </c>
      <c r="J76" s="73">
        <v>0</v>
      </c>
      <c r="K76" s="73">
        <v>0</v>
      </c>
      <c r="L76" s="73">
        <v>0</v>
      </c>
      <c r="M76" s="183">
        <v>0</v>
      </c>
      <c r="N76" s="183">
        <v>0</v>
      </c>
    </row>
    <row r="77" spans="1:15" ht="18.75" thickTop="1" thickBot="1">
      <c r="A77" s="70" t="s">
        <v>34</v>
      </c>
      <c r="B77" s="97" t="s">
        <v>225</v>
      </c>
      <c r="C77" s="71" t="s">
        <v>53</v>
      </c>
      <c r="D77" s="72">
        <v>20</v>
      </c>
      <c r="E77" s="72">
        <v>19</v>
      </c>
      <c r="F77" s="72">
        <v>21</v>
      </c>
      <c r="G77" s="72">
        <v>17.8</v>
      </c>
      <c r="H77" s="73">
        <v>14</v>
      </c>
      <c r="I77" s="73">
        <v>0</v>
      </c>
      <c r="J77" s="73">
        <v>0</v>
      </c>
      <c r="K77" s="73">
        <v>0</v>
      </c>
      <c r="L77" s="73">
        <v>6.7164999999999998E-4</v>
      </c>
      <c r="M77" s="183">
        <v>3.6040000000000001E-5</v>
      </c>
      <c r="N77" s="183">
        <v>0.21507598</v>
      </c>
    </row>
    <row r="78" spans="1:15" ht="18.75" thickTop="1" thickBot="1">
      <c r="A78" s="70" t="s">
        <v>35</v>
      </c>
      <c r="B78" s="97" t="s">
        <v>147</v>
      </c>
      <c r="C78" s="71" t="s">
        <v>53</v>
      </c>
      <c r="D78" s="192">
        <v>29.343772520000002</v>
      </c>
      <c r="E78" s="192">
        <v>29.983467000000001</v>
      </c>
      <c r="F78" s="192">
        <v>32.160241420000006</v>
      </c>
      <c r="G78" s="192">
        <v>34.8348026399999</v>
      </c>
      <c r="H78" s="162">
        <v>22.560641040000011</v>
      </c>
      <c r="I78" s="162">
        <v>2.0100046200000001</v>
      </c>
      <c r="J78" s="162">
        <v>0.24434715000000004</v>
      </c>
      <c r="K78" s="162">
        <v>0</v>
      </c>
      <c r="L78" s="162">
        <v>0</v>
      </c>
      <c r="M78" s="162">
        <v>0</v>
      </c>
      <c r="N78" s="183">
        <v>0</v>
      </c>
    </row>
    <row r="79" spans="1:15" ht="18.75" thickTop="1" thickBot="1">
      <c r="A79" s="85">
        <v>10.199999999999999</v>
      </c>
      <c r="B79" s="95" t="s">
        <v>148</v>
      </c>
      <c r="C79" s="86" t="s">
        <v>53</v>
      </c>
      <c r="D79" s="87">
        <v>33</v>
      </c>
      <c r="E79" s="87">
        <v>31.102</v>
      </c>
      <c r="F79" s="87">
        <v>25.731999999999999</v>
      </c>
      <c r="G79" s="87">
        <v>22.622</v>
      </c>
      <c r="H79" s="87">
        <v>25</v>
      </c>
      <c r="I79" s="87">
        <v>28.102</v>
      </c>
      <c r="J79" s="87">
        <v>26</v>
      </c>
      <c r="K79" s="87">
        <v>21.646999999999998</v>
      </c>
      <c r="L79" s="87">
        <v>20</v>
      </c>
      <c r="M79" s="87">
        <v>18.506</v>
      </c>
      <c r="N79" s="87">
        <v>18.387</v>
      </c>
    </row>
    <row r="80" spans="1:15" ht="18.75" thickTop="1" thickBot="1">
      <c r="A80" s="85">
        <v>10.3</v>
      </c>
      <c r="B80" s="95" t="s">
        <v>149</v>
      </c>
      <c r="C80" s="86" t="s">
        <v>53</v>
      </c>
      <c r="D80" s="87">
        <v>42</v>
      </c>
      <c r="E80" s="87">
        <v>41</v>
      </c>
      <c r="F80" s="87">
        <f>SUM(F81:F84)</f>
        <v>33.241</v>
      </c>
      <c r="G80" s="87">
        <f>SUM(G81:G84)</f>
        <v>45.105000000000011</v>
      </c>
      <c r="H80" s="87">
        <v>38</v>
      </c>
      <c r="I80" s="87">
        <f>SUM(I81:I82)</f>
        <v>34</v>
      </c>
      <c r="J80" s="87">
        <f t="shared" ref="J80:N80" si="30">SUM(J81:J82)</f>
        <v>33</v>
      </c>
      <c r="K80" s="87">
        <f t="shared" si="30"/>
        <v>32.167000000000002</v>
      </c>
      <c r="L80" s="87">
        <f t="shared" si="30"/>
        <v>29.150510000000001</v>
      </c>
      <c r="M80" s="87">
        <f t="shared" si="30"/>
        <v>34</v>
      </c>
      <c r="N80" s="87">
        <f t="shared" si="30"/>
        <v>33.057898000000002</v>
      </c>
    </row>
    <row r="81" spans="1:14" ht="18.75" thickTop="1" thickBot="1">
      <c r="A81" s="70" t="s">
        <v>36</v>
      </c>
      <c r="B81" s="97" t="s">
        <v>226</v>
      </c>
      <c r="C81" s="71" t="s">
        <v>53</v>
      </c>
      <c r="D81" s="72">
        <v>2</v>
      </c>
      <c r="E81" s="72">
        <v>2</v>
      </c>
      <c r="F81" s="72">
        <v>1.2</v>
      </c>
      <c r="G81" s="72">
        <v>2.2000000000000002</v>
      </c>
      <c r="H81" s="73">
        <v>2</v>
      </c>
      <c r="I81" s="73">
        <v>8</v>
      </c>
      <c r="J81" s="73">
        <v>7</v>
      </c>
      <c r="K81" s="73">
        <v>7.1669999999999998</v>
      </c>
      <c r="L81" s="73">
        <v>6.6429999999999998</v>
      </c>
      <c r="M81" s="183">
        <v>0</v>
      </c>
      <c r="N81" s="183">
        <v>0</v>
      </c>
    </row>
    <row r="82" spans="1:14" ht="18.75" thickTop="1" thickBot="1">
      <c r="A82" s="70" t="s">
        <v>37</v>
      </c>
      <c r="B82" s="97" t="s">
        <v>210</v>
      </c>
      <c r="C82" s="71" t="s">
        <v>53</v>
      </c>
      <c r="D82" s="72">
        <v>34</v>
      </c>
      <c r="E82" s="72">
        <v>34</v>
      </c>
      <c r="F82" s="72">
        <v>27.431000000000001</v>
      </c>
      <c r="G82" s="72">
        <v>37.295000000000002</v>
      </c>
      <c r="H82" s="73">
        <v>34</v>
      </c>
      <c r="I82" s="73">
        <v>26</v>
      </c>
      <c r="J82" s="73">
        <v>26</v>
      </c>
      <c r="K82" s="73">
        <v>25</v>
      </c>
      <c r="L82" s="73">
        <v>22.50751</v>
      </c>
      <c r="M82" s="183">
        <v>34</v>
      </c>
      <c r="N82" s="183">
        <v>33.057898000000002</v>
      </c>
    </row>
    <row r="83" spans="1:14" ht="18.75" thickTop="1" thickBot="1">
      <c r="A83" s="70" t="s">
        <v>38</v>
      </c>
      <c r="B83" s="97" t="s">
        <v>211</v>
      </c>
      <c r="C83" s="71" t="s">
        <v>53</v>
      </c>
      <c r="D83" s="72">
        <v>4</v>
      </c>
      <c r="E83" s="72">
        <v>3</v>
      </c>
      <c r="F83" s="72">
        <v>2.8339999999999996</v>
      </c>
      <c r="G83" s="72">
        <v>3.8340000000000001</v>
      </c>
      <c r="H83" s="73">
        <v>2</v>
      </c>
      <c r="I83" s="73">
        <v>0</v>
      </c>
      <c r="J83" s="73">
        <v>0</v>
      </c>
      <c r="K83" s="73">
        <v>0</v>
      </c>
      <c r="L83" s="73">
        <v>0</v>
      </c>
      <c r="M83" s="183">
        <v>0</v>
      </c>
      <c r="N83" s="183">
        <v>0</v>
      </c>
    </row>
    <row r="84" spans="1:14" ht="33" thickTop="1" thickBot="1">
      <c r="A84" s="70" t="s">
        <v>39</v>
      </c>
      <c r="B84" s="98" t="s">
        <v>227</v>
      </c>
      <c r="C84" s="71" t="s">
        <v>53</v>
      </c>
      <c r="D84" s="72">
        <v>2</v>
      </c>
      <c r="E84" s="72">
        <v>2</v>
      </c>
      <c r="F84" s="72">
        <v>1.776</v>
      </c>
      <c r="G84" s="72">
        <v>1.776</v>
      </c>
      <c r="H84" s="73">
        <v>0</v>
      </c>
      <c r="I84" s="73">
        <v>0</v>
      </c>
      <c r="J84" s="73">
        <v>0</v>
      </c>
      <c r="K84" s="73">
        <v>0</v>
      </c>
      <c r="L84" s="73">
        <v>0</v>
      </c>
      <c r="M84" s="183">
        <v>0</v>
      </c>
      <c r="N84" s="183">
        <v>0</v>
      </c>
    </row>
    <row r="85" spans="1:14" ht="33" thickTop="1" thickBot="1">
      <c r="A85" s="85">
        <v>10.4</v>
      </c>
      <c r="B85" s="95" t="s">
        <v>213</v>
      </c>
      <c r="C85" s="86" t="s">
        <v>53</v>
      </c>
      <c r="D85" s="87">
        <v>8</v>
      </c>
      <c r="E85" s="87">
        <v>7.4160000000000004</v>
      </c>
      <c r="F85" s="87">
        <v>6</v>
      </c>
      <c r="G85" s="87">
        <v>6.4459999999999997</v>
      </c>
      <c r="H85" s="87">
        <v>0</v>
      </c>
      <c r="I85" s="87">
        <v>0</v>
      </c>
      <c r="J85" s="87">
        <v>0</v>
      </c>
      <c r="K85" s="87">
        <v>0</v>
      </c>
      <c r="L85" s="87">
        <v>4.0235100000000001E-3</v>
      </c>
      <c r="M85" s="87">
        <v>8.5330300000000005E-3</v>
      </c>
      <c r="N85" s="87">
        <v>8.0673399999999992E-3</v>
      </c>
    </row>
    <row r="86" spans="1:14" ht="13.5" thickTop="1">
      <c r="J86" s="52"/>
    </row>
    <row r="87" spans="1:14" ht="15.75">
      <c r="B87" s="100" t="s">
        <v>94</v>
      </c>
    </row>
    <row r="88" spans="1:14">
      <c r="C88" s="6"/>
    </row>
  </sheetData>
  <mergeCells count="3">
    <mergeCell ref="B8:G8"/>
    <mergeCell ref="A11:N11"/>
    <mergeCell ref="A36:N36"/>
  </mergeCells>
  <pageMargins left="0.7" right="0.7" top="0.75" bottom="0.75" header="0.3" footer="0.3"/>
  <pageSetup orientation="portrait" horizontalDpi="0" verticalDpi="0" r:id="rId1"/>
  <ignoredErrors>
    <ignoredError sqref="D13:G22 F73:G73 F81:G84 D73:E73 D43:G59 D28:G28 D27:F27 D63:E63 D61:G62 D60 G60 F60 D25:G26 D29:F30 H20:M20 H21:M21" unlockedFormula="1"/>
    <ignoredError sqref="F75:G77 E60 F80:G80 F79 G74" formulaRange="1" unlockedFormula="1"/>
    <ignoredError sqref="F69:G69 J50 G63:I63 I80 K39 K50:N50 J63:N63 H74:M74 J80:L80 D74:F74 M80:N8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0"/>
  <sheetViews>
    <sheetView showGridLines="0" topLeftCell="A4" zoomScale="50" zoomScaleNormal="50" workbookViewId="0">
      <selection activeCell="Z20" sqref="Z20"/>
    </sheetView>
  </sheetViews>
  <sheetFormatPr baseColWidth="10" defaultRowHeight="12.75"/>
  <cols>
    <col min="1" max="1" width="14.7109375" customWidth="1"/>
    <col min="2" max="2" width="103.42578125" customWidth="1"/>
    <col min="3" max="3" width="16.7109375" hidden="1" customWidth="1"/>
    <col min="4" max="7" width="11.42578125" hidden="1" customWidth="1"/>
    <col min="8" max="19" width="11.42578125" customWidth="1"/>
    <col min="20" max="21" width="11.7109375" customWidth="1"/>
    <col min="24" max="24" width="11.42578125" customWidth="1"/>
  </cols>
  <sheetData>
    <row r="1" spans="1:26" ht="15.75">
      <c r="B1" s="7"/>
      <c r="C1" s="5"/>
    </row>
    <row r="2" spans="1:26" ht="15.75">
      <c r="B2" s="7"/>
      <c r="C2" s="5"/>
    </row>
    <row r="3" spans="1:26">
      <c r="B3" s="4"/>
      <c r="C3" s="10"/>
      <c r="D3" s="2"/>
      <c r="E3" s="2"/>
      <c r="F3" s="2"/>
      <c r="G3" s="2"/>
      <c r="H3" s="2"/>
      <c r="I3" s="1"/>
      <c r="J3" s="1"/>
    </row>
    <row r="4" spans="1:26">
      <c r="B4" s="4"/>
      <c r="C4" s="10"/>
      <c r="D4" s="2"/>
      <c r="E4" s="2"/>
      <c r="F4" s="2"/>
      <c r="G4" s="2"/>
      <c r="H4" s="2"/>
      <c r="I4" s="1"/>
      <c r="J4" s="1"/>
    </row>
    <row r="5" spans="1:26">
      <c r="B5" s="4"/>
      <c r="C5" s="10"/>
      <c r="D5" s="2"/>
      <c r="E5" s="2"/>
      <c r="F5" s="2"/>
      <c r="G5" s="2"/>
      <c r="H5" s="2"/>
      <c r="I5" s="1"/>
      <c r="J5" s="1"/>
    </row>
    <row r="6" spans="1:26">
      <c r="B6" s="4"/>
      <c r="C6" s="10"/>
      <c r="D6" s="2"/>
      <c r="E6" s="2"/>
      <c r="F6" s="2"/>
      <c r="G6" s="2"/>
      <c r="H6" s="2"/>
      <c r="I6" s="1"/>
      <c r="J6" s="1"/>
    </row>
    <row r="7" spans="1:26">
      <c r="B7" s="4"/>
      <c r="C7" s="10"/>
      <c r="D7" s="2"/>
      <c r="E7" s="2"/>
      <c r="F7" s="2"/>
      <c r="G7" s="2"/>
      <c r="H7" s="2"/>
      <c r="I7" s="1"/>
      <c r="J7" s="1"/>
    </row>
    <row r="8" spans="1:26" ht="36">
      <c r="B8" s="4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8"/>
    </row>
    <row r="9" spans="1:26">
      <c r="B9" s="4"/>
      <c r="C9" s="10"/>
      <c r="D9" s="2"/>
      <c r="E9" s="2"/>
      <c r="F9" s="2"/>
      <c r="G9" s="2"/>
      <c r="H9" s="2"/>
      <c r="I9" s="1"/>
      <c r="J9" s="1"/>
    </row>
    <row r="10" spans="1:26" ht="23.25">
      <c r="B10" s="4"/>
      <c r="C10" s="10"/>
      <c r="D10" s="2"/>
      <c r="E10" s="220"/>
      <c r="F10" s="220"/>
      <c r="G10" s="220"/>
      <c r="H10" s="220"/>
      <c r="I10" s="220"/>
      <c r="J10" s="220"/>
      <c r="K10" s="220"/>
    </row>
    <row r="11" spans="1:26" ht="19.5" customHeight="1">
      <c r="B11" s="4"/>
      <c r="C11" s="10"/>
      <c r="D11" s="2"/>
      <c r="E11" s="2"/>
      <c r="F11" s="2"/>
      <c r="G11" s="2"/>
      <c r="H11" s="2"/>
      <c r="I11" s="1"/>
      <c r="J11" s="1"/>
    </row>
    <row r="12" spans="1:26">
      <c r="B12" s="4"/>
      <c r="C12" s="10"/>
      <c r="D12" s="2"/>
      <c r="E12" s="2"/>
      <c r="F12" s="2"/>
      <c r="G12" s="2"/>
      <c r="H12" s="2"/>
      <c r="I12" s="1"/>
      <c r="J12" s="1"/>
    </row>
    <row r="13" spans="1:26" ht="15.75" customHeight="1">
      <c r="B13" s="173" t="s">
        <v>0</v>
      </c>
    </row>
    <row r="14" spans="1:26" ht="32.25" customHeight="1">
      <c r="A14" s="222" t="s">
        <v>337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</row>
    <row r="15" spans="1:26" ht="20.100000000000001" customHeight="1" thickBot="1">
      <c r="A15" s="78" t="s">
        <v>101</v>
      </c>
      <c r="B15" s="78" t="s">
        <v>102</v>
      </c>
      <c r="C15" s="79" t="s">
        <v>103</v>
      </c>
      <c r="D15" s="78">
        <v>2000</v>
      </c>
      <c r="E15" s="78">
        <v>2001</v>
      </c>
      <c r="F15" s="78">
        <v>2002</v>
      </c>
      <c r="G15" s="78">
        <v>2003</v>
      </c>
      <c r="H15" s="78">
        <v>2004</v>
      </c>
      <c r="I15" s="78">
        <v>2005</v>
      </c>
      <c r="J15" s="78">
        <v>2006</v>
      </c>
      <c r="K15" s="78">
        <v>2007</v>
      </c>
      <c r="L15" s="78">
        <v>2008</v>
      </c>
      <c r="M15" s="78">
        <v>2009</v>
      </c>
      <c r="N15" s="78">
        <v>2010</v>
      </c>
      <c r="O15" s="78">
        <v>2011</v>
      </c>
      <c r="P15" s="78">
        <v>2012</v>
      </c>
      <c r="Q15" s="78">
        <v>2013</v>
      </c>
      <c r="R15" s="78">
        <v>2014</v>
      </c>
      <c r="S15" s="78">
        <v>2015</v>
      </c>
      <c r="T15" s="78">
        <v>2016</v>
      </c>
      <c r="U15" s="78">
        <v>2017</v>
      </c>
      <c r="V15" s="78">
        <v>2018</v>
      </c>
      <c r="W15" s="78">
        <v>2019</v>
      </c>
      <c r="X15" s="78">
        <v>2020</v>
      </c>
      <c r="Y15" s="78">
        <v>2021</v>
      </c>
      <c r="Z15" s="78">
        <v>2022</v>
      </c>
    </row>
    <row r="16" spans="1:26" ht="18.75" thickTop="1" thickBot="1">
      <c r="A16" s="80">
        <v>1</v>
      </c>
      <c r="B16" s="94" t="s">
        <v>122</v>
      </c>
      <c r="C16" s="81" t="s">
        <v>41</v>
      </c>
      <c r="D16" s="82">
        <v>845</v>
      </c>
      <c r="E16" s="82">
        <v>912</v>
      </c>
      <c r="F16" s="82">
        <v>1097</v>
      </c>
      <c r="G16" s="83">
        <v>1375</v>
      </c>
      <c r="H16" s="91">
        <v>1614</v>
      </c>
      <c r="I16" s="92">
        <v>1490</v>
      </c>
      <c r="J16" s="81">
        <v>1995</v>
      </c>
      <c r="K16" s="82">
        <v>2534</v>
      </c>
      <c r="L16" s="82">
        <v>3818</v>
      </c>
      <c r="M16" s="82">
        <f>SUM(M17:M18)</f>
        <v>4062</v>
      </c>
      <c r="N16" s="83">
        <f>SUM(N17:N18)</f>
        <v>5794</v>
      </c>
      <c r="O16" s="91">
        <f>SUM(O17:O18)</f>
        <v>4519</v>
      </c>
      <c r="P16" s="93">
        <f>P17+P18</f>
        <v>4196.1298170000009</v>
      </c>
      <c r="Q16" s="83">
        <f>Q17+Q18</f>
        <v>4909.3229799999999</v>
      </c>
      <c r="R16" s="82">
        <f>R17+R18</f>
        <v>6972.6199000000151</v>
      </c>
      <c r="S16" s="82">
        <f>S17+S18</f>
        <v>9329.9877857169231</v>
      </c>
      <c r="T16" s="82">
        <f>+T17+T18</f>
        <v>9620</v>
      </c>
      <c r="U16" s="82">
        <f>SUM(U17:U18)</f>
        <v>10450.267281078788</v>
      </c>
      <c r="V16" s="82">
        <f>SUM(V17:V18)</f>
        <v>11213.330001136364</v>
      </c>
      <c r="W16" s="82">
        <f>W17+W18</f>
        <v>10649.15792</v>
      </c>
      <c r="X16" s="82">
        <f>X17+X18</f>
        <v>13198.399121738625</v>
      </c>
      <c r="Y16" s="82">
        <f>Y17+Y18</f>
        <v>12556.074580000011</v>
      </c>
      <c r="Z16" s="82">
        <f>Z17+Z18</f>
        <v>10948.715232440019</v>
      </c>
    </row>
    <row r="17" spans="1:26" ht="33" thickTop="1" thickBot="1">
      <c r="A17" s="85">
        <v>1.1000000000000001</v>
      </c>
      <c r="B17" s="95" t="s">
        <v>123</v>
      </c>
      <c r="C17" s="86" t="s">
        <v>41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1.9817000000000001E-2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7">
        <v>0</v>
      </c>
      <c r="Y17" s="87">
        <v>0</v>
      </c>
      <c r="Z17" s="87">
        <v>0</v>
      </c>
    </row>
    <row r="18" spans="1:26" ht="21.75" customHeight="1" thickTop="1" thickBot="1">
      <c r="A18" s="85">
        <v>1.2</v>
      </c>
      <c r="B18" s="95" t="s">
        <v>124</v>
      </c>
      <c r="C18" s="86" t="s">
        <v>41</v>
      </c>
      <c r="D18" s="87">
        <v>845</v>
      </c>
      <c r="E18" s="87">
        <v>912</v>
      </c>
      <c r="F18" s="87">
        <v>1097</v>
      </c>
      <c r="G18" s="87">
        <v>1375</v>
      </c>
      <c r="H18" s="87">
        <v>1614</v>
      </c>
      <c r="I18" s="87">
        <v>1490</v>
      </c>
      <c r="J18" s="87">
        <v>1995</v>
      </c>
      <c r="K18" s="87">
        <v>2534</v>
      </c>
      <c r="L18" s="87">
        <v>3818</v>
      </c>
      <c r="M18" s="87">
        <f>SUM(M19:M20)</f>
        <v>4062</v>
      </c>
      <c r="N18" s="87">
        <f>SUM(N19:N20)</f>
        <v>5794</v>
      </c>
      <c r="O18" s="87">
        <f>SUM(O19:O20)</f>
        <v>4519</v>
      </c>
      <c r="P18" s="87">
        <f>P19+P20</f>
        <v>4196.1100000000006</v>
      </c>
      <c r="Q18" s="87">
        <f>Q19+Q20</f>
        <v>4909.3229799999999</v>
      </c>
      <c r="R18" s="87">
        <f>R19+R20</f>
        <v>6972.6199000000151</v>
      </c>
      <c r="S18" s="87">
        <f>S19+S20</f>
        <v>9329.9877857169231</v>
      </c>
      <c r="T18" s="87">
        <f t="shared" ref="T18:Z18" si="0">SUM(T19:T20)</f>
        <v>9620</v>
      </c>
      <c r="U18" s="87">
        <f t="shared" si="0"/>
        <v>10450.267281078788</v>
      </c>
      <c r="V18" s="87">
        <f t="shared" si="0"/>
        <v>11213.330001136364</v>
      </c>
      <c r="W18" s="87">
        <f t="shared" si="0"/>
        <v>10649.15792</v>
      </c>
      <c r="X18" s="87">
        <f t="shared" si="0"/>
        <v>13198.399121738625</v>
      </c>
      <c r="Y18" s="87">
        <f t="shared" si="0"/>
        <v>12556.074580000011</v>
      </c>
      <c r="Z18" s="87">
        <f t="shared" si="0"/>
        <v>10948.715232440019</v>
      </c>
    </row>
    <row r="19" spans="1:26" ht="18.75" thickTop="1" thickBot="1">
      <c r="A19" s="70" t="s">
        <v>6</v>
      </c>
      <c r="B19" s="96" t="s">
        <v>125</v>
      </c>
      <c r="C19" s="71" t="s">
        <v>41</v>
      </c>
      <c r="D19" s="72">
        <v>0</v>
      </c>
      <c r="E19" s="72">
        <v>5</v>
      </c>
      <c r="F19" s="72"/>
      <c r="G19" s="72">
        <v>6</v>
      </c>
      <c r="H19" s="72">
        <v>3</v>
      </c>
      <c r="I19" s="72">
        <v>1</v>
      </c>
      <c r="J19" s="72">
        <v>0</v>
      </c>
      <c r="K19" s="72">
        <v>5</v>
      </c>
      <c r="L19" s="72">
        <v>12</v>
      </c>
      <c r="M19" s="72">
        <v>14</v>
      </c>
      <c r="N19" s="72">
        <v>103</v>
      </c>
      <c r="O19" s="72">
        <v>353</v>
      </c>
      <c r="P19" s="72">
        <v>97.52</v>
      </c>
      <c r="Q19" s="72">
        <v>48.312019999999997</v>
      </c>
      <c r="R19" s="72">
        <v>93.089960000000005</v>
      </c>
      <c r="S19" s="72">
        <v>37.581643076923079</v>
      </c>
      <c r="T19" s="72">
        <v>104</v>
      </c>
      <c r="U19" s="72">
        <v>1239.5097045454545</v>
      </c>
      <c r="V19" s="72">
        <v>2127.3300011363635</v>
      </c>
      <c r="W19" s="72">
        <v>1230.1579200000001</v>
      </c>
      <c r="X19" s="72">
        <v>2321.1383917386365</v>
      </c>
      <c r="Y19" s="72">
        <v>2652.2493199999999</v>
      </c>
      <c r="Z19" s="72">
        <v>1635.6384824400002</v>
      </c>
    </row>
    <row r="20" spans="1:26" ht="18.75" thickTop="1" thickBot="1">
      <c r="A20" s="70" t="s">
        <v>7</v>
      </c>
      <c r="B20" s="96" t="s">
        <v>126</v>
      </c>
      <c r="C20" s="71" t="s">
        <v>41</v>
      </c>
      <c r="D20" s="72">
        <v>845</v>
      </c>
      <c r="E20" s="72">
        <v>907</v>
      </c>
      <c r="F20" s="72">
        <v>1097</v>
      </c>
      <c r="G20" s="72">
        <v>1369</v>
      </c>
      <c r="H20" s="72">
        <v>1611</v>
      </c>
      <c r="I20" s="72">
        <v>1489</v>
      </c>
      <c r="J20" s="72">
        <v>1995</v>
      </c>
      <c r="K20" s="72">
        <v>2529</v>
      </c>
      <c r="L20" s="72">
        <v>3806</v>
      </c>
      <c r="M20" s="72">
        <v>4048</v>
      </c>
      <c r="N20" s="72">
        <v>5691</v>
      </c>
      <c r="O20" s="72">
        <v>4166</v>
      </c>
      <c r="P20" s="72">
        <v>4098.59</v>
      </c>
      <c r="Q20" s="72">
        <v>4861.0109599999996</v>
      </c>
      <c r="R20" s="72">
        <v>6879.5299400000149</v>
      </c>
      <c r="S20" s="72">
        <v>9292.4061426400003</v>
      </c>
      <c r="T20" s="72">
        <v>9516</v>
      </c>
      <c r="U20" s="72">
        <v>9210.7575765333331</v>
      </c>
      <c r="V20" s="72">
        <v>9086</v>
      </c>
      <c r="W20" s="72">
        <v>9419</v>
      </c>
      <c r="X20" s="72">
        <v>10877.260729999989</v>
      </c>
      <c r="Y20" s="72">
        <v>9903.8252600000105</v>
      </c>
      <c r="Z20" s="72">
        <v>9313.0767500000184</v>
      </c>
    </row>
    <row r="21" spans="1:26" ht="18.75" thickTop="1" thickBot="1">
      <c r="A21" s="80" t="s">
        <v>59</v>
      </c>
      <c r="B21" s="94" t="s">
        <v>228</v>
      </c>
      <c r="C21" s="81" t="s">
        <v>60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0</v>
      </c>
      <c r="N21" s="82">
        <v>0</v>
      </c>
      <c r="O21" s="82">
        <f>SUM(O23:O24)</f>
        <v>585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</row>
    <row r="22" spans="1:26" ht="18.75" thickTop="1" thickBot="1">
      <c r="A22" s="80" t="s">
        <v>96</v>
      </c>
      <c r="B22" s="94" t="s">
        <v>229</v>
      </c>
      <c r="C22" s="81" t="s">
        <v>41</v>
      </c>
      <c r="D22" s="82">
        <f t="shared" ref="D22:S22" si="1">SUM(D23:D24)</f>
        <v>17</v>
      </c>
      <c r="E22" s="82">
        <f t="shared" si="1"/>
        <v>25</v>
      </c>
      <c r="F22" s="82">
        <f t="shared" si="1"/>
        <v>12</v>
      </c>
      <c r="G22" s="82">
        <f t="shared" si="1"/>
        <v>262</v>
      </c>
      <c r="H22" s="82">
        <f t="shared" si="1"/>
        <v>836</v>
      </c>
      <c r="I22" s="82">
        <f t="shared" si="1"/>
        <v>1298</v>
      </c>
      <c r="J22" s="82">
        <f t="shared" si="1"/>
        <v>1389</v>
      </c>
      <c r="K22" s="82">
        <f t="shared" si="1"/>
        <v>1280</v>
      </c>
      <c r="L22" s="82">
        <f t="shared" si="1"/>
        <v>2283</v>
      </c>
      <c r="M22" s="82">
        <f t="shared" si="1"/>
        <v>1146</v>
      </c>
      <c r="N22" s="82">
        <f t="shared" si="1"/>
        <v>2276</v>
      </c>
      <c r="O22" s="82">
        <f t="shared" si="1"/>
        <v>585</v>
      </c>
      <c r="P22" s="82">
        <f t="shared" si="1"/>
        <v>906</v>
      </c>
      <c r="Q22" s="82">
        <f t="shared" si="1"/>
        <v>924</v>
      </c>
      <c r="R22" s="82">
        <f t="shared" si="1"/>
        <v>973.98699999999997</v>
      </c>
      <c r="S22" s="82">
        <f t="shared" si="1"/>
        <v>831.66</v>
      </c>
      <c r="T22" s="82">
        <f t="shared" ref="T22:Z22" si="2">SUM(T23:T24)</f>
        <v>1110.5305529333334</v>
      </c>
      <c r="U22" s="82">
        <f t="shared" si="2"/>
        <v>1001.0279066666666</v>
      </c>
      <c r="V22" s="82">
        <f t="shared" si="2"/>
        <v>1450.290032582222</v>
      </c>
      <c r="W22" s="82">
        <f t="shared" si="2"/>
        <v>1382.8776562962962</v>
      </c>
      <c r="X22" s="82">
        <f t="shared" si="2"/>
        <v>366.69180524444442</v>
      </c>
      <c r="Y22" s="82">
        <f t="shared" si="2"/>
        <v>1182.7479566518518</v>
      </c>
      <c r="Z22" s="82">
        <f t="shared" si="2"/>
        <v>1487.339313883205</v>
      </c>
    </row>
    <row r="23" spans="1:26" ht="18.75" thickTop="1" thickBot="1">
      <c r="A23" s="85" t="s">
        <v>97</v>
      </c>
      <c r="B23" s="95" t="s">
        <v>230</v>
      </c>
      <c r="C23" s="86" t="s">
        <v>41</v>
      </c>
      <c r="D23" s="87">
        <v>17</v>
      </c>
      <c r="E23" s="87">
        <v>25</v>
      </c>
      <c r="F23" s="87">
        <v>12</v>
      </c>
      <c r="G23" s="87">
        <v>262</v>
      </c>
      <c r="H23" s="87">
        <v>836</v>
      </c>
      <c r="I23" s="87">
        <v>1298</v>
      </c>
      <c r="J23" s="87">
        <v>1383</v>
      </c>
      <c r="K23" s="87">
        <v>1280</v>
      </c>
      <c r="L23" s="87">
        <v>2283</v>
      </c>
      <c r="M23" s="87">
        <v>1146</v>
      </c>
      <c r="N23" s="87">
        <v>2274</v>
      </c>
      <c r="O23" s="87">
        <f>SUM(O24:O26)</f>
        <v>371</v>
      </c>
      <c r="P23" s="87">
        <v>905</v>
      </c>
      <c r="Q23" s="87">
        <v>924</v>
      </c>
      <c r="R23" s="87">
        <v>962.98699999999997</v>
      </c>
      <c r="S23" s="87">
        <v>827.66</v>
      </c>
      <c r="T23" s="87">
        <v>1110.5305529333334</v>
      </c>
      <c r="U23" s="87">
        <v>1001.0279066666666</v>
      </c>
      <c r="V23" s="87">
        <v>1450.0097036933332</v>
      </c>
      <c r="W23" s="87">
        <v>1382.5952</v>
      </c>
      <c r="X23" s="87">
        <v>366.69108</v>
      </c>
      <c r="Y23" s="87">
        <v>1182.5784101333334</v>
      </c>
      <c r="Z23" s="87">
        <v>1487.1697673646865</v>
      </c>
    </row>
    <row r="24" spans="1:26" ht="18.75" thickTop="1" thickBot="1">
      <c r="A24" s="85" t="s">
        <v>98</v>
      </c>
      <c r="B24" s="95" t="s">
        <v>338</v>
      </c>
      <c r="C24" s="86" t="s">
        <v>41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6</v>
      </c>
      <c r="K24" s="87">
        <v>0</v>
      </c>
      <c r="L24" s="87">
        <v>0</v>
      </c>
      <c r="M24" s="87">
        <v>0</v>
      </c>
      <c r="N24" s="87">
        <v>2</v>
      </c>
      <c r="O24" s="87">
        <f>SUM(O26:O27)</f>
        <v>214</v>
      </c>
      <c r="P24" s="87">
        <v>1</v>
      </c>
      <c r="Q24" s="87">
        <v>0</v>
      </c>
      <c r="R24" s="87">
        <v>11</v>
      </c>
      <c r="S24" s="87">
        <v>4</v>
      </c>
      <c r="T24" s="87">
        <v>0</v>
      </c>
      <c r="U24" s="87">
        <v>0</v>
      </c>
      <c r="V24" s="87">
        <v>0.28032888888888891</v>
      </c>
      <c r="W24" s="87">
        <v>0.28245629629629626</v>
      </c>
      <c r="X24" s="87">
        <v>7.2524444444444435E-4</v>
      </c>
      <c r="Y24" s="87">
        <v>0.16954651851851849</v>
      </c>
      <c r="Z24" s="87">
        <v>0.16954651851851849</v>
      </c>
    </row>
    <row r="25" spans="1:26" ht="18.75" thickTop="1" thickBot="1">
      <c r="A25" s="80" t="s">
        <v>99</v>
      </c>
      <c r="B25" s="94" t="s">
        <v>264</v>
      </c>
      <c r="C25" s="81" t="s">
        <v>53</v>
      </c>
      <c r="D25" s="82" t="s">
        <v>55</v>
      </c>
      <c r="E25" s="82" t="s">
        <v>55</v>
      </c>
      <c r="F25" s="82" t="s">
        <v>55</v>
      </c>
      <c r="G25" s="82" t="s">
        <v>55</v>
      </c>
      <c r="H25" s="82" t="s">
        <v>55</v>
      </c>
      <c r="I25" s="82" t="s">
        <v>55</v>
      </c>
      <c r="J25" s="82" t="s">
        <v>55</v>
      </c>
      <c r="K25" s="82" t="s">
        <v>55</v>
      </c>
      <c r="L25" s="82" t="s">
        <v>55</v>
      </c>
      <c r="M25" s="82" t="s">
        <v>55</v>
      </c>
      <c r="N25" s="82" t="s">
        <v>55</v>
      </c>
      <c r="O25" s="82" t="s">
        <v>55</v>
      </c>
      <c r="P25" s="82">
        <v>2.0510000000000002</v>
      </c>
      <c r="Q25" s="82">
        <v>3.3439999999999999</v>
      </c>
      <c r="R25" s="82">
        <v>1.4602499799999999</v>
      </c>
      <c r="S25" s="82">
        <v>1.8922099999999999</v>
      </c>
      <c r="T25" s="82">
        <v>0.40993999999999997</v>
      </c>
      <c r="U25" s="82">
        <v>0.56665999999999994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</row>
    <row r="26" spans="1:26" ht="18.75" thickTop="1" thickBot="1">
      <c r="A26" s="80">
        <v>5</v>
      </c>
      <c r="B26" s="94" t="s">
        <v>117</v>
      </c>
      <c r="C26" s="81" t="s">
        <v>41</v>
      </c>
      <c r="D26" s="82">
        <f>SUM(D27:D28)</f>
        <v>72</v>
      </c>
      <c r="E26" s="82">
        <v>58</v>
      </c>
      <c r="F26" s="82">
        <v>77</v>
      </c>
      <c r="G26" s="82">
        <v>96</v>
      </c>
      <c r="H26" s="82">
        <v>120</v>
      </c>
      <c r="I26" s="82">
        <v>140</v>
      </c>
      <c r="J26" s="82">
        <v>130</v>
      </c>
      <c r="K26" s="82">
        <v>144</v>
      </c>
      <c r="L26" s="82">
        <v>109</v>
      </c>
      <c r="M26" s="82">
        <f>SUM(M27:M28)</f>
        <v>92</v>
      </c>
      <c r="N26" s="82">
        <f>SUM(N27:N28)</f>
        <v>125</v>
      </c>
      <c r="O26" s="82">
        <f>SUM(O27:O28)</f>
        <v>157</v>
      </c>
      <c r="P26" s="82">
        <f>P27+P28</f>
        <v>146.36927299999999</v>
      </c>
      <c r="Q26" s="82">
        <f>Q27+Q28</f>
        <v>189.20395600000001</v>
      </c>
      <c r="R26" s="82">
        <f>R27+R28</f>
        <v>212.50236718181819</v>
      </c>
      <c r="S26" s="82">
        <f>S27+S28</f>
        <v>193.1485076077922</v>
      </c>
      <c r="T26" s="82">
        <v>198.77238539220778</v>
      </c>
      <c r="U26" s="82">
        <f t="shared" ref="U26:Z26" si="3">SUM(U27:U28)</f>
        <v>333.25198989090904</v>
      </c>
      <c r="V26" s="82">
        <f t="shared" si="3"/>
        <v>389.11908547272719</v>
      </c>
      <c r="W26" s="82">
        <f t="shared" si="3"/>
        <v>412.65967409090911</v>
      </c>
      <c r="X26" s="82">
        <f t="shared" si="3"/>
        <v>469.63764102499999</v>
      </c>
      <c r="Y26" s="82">
        <f t="shared" si="3"/>
        <v>557.31224624318179</v>
      </c>
      <c r="Z26" s="82">
        <f t="shared" si="3"/>
        <v>608.31013803181804</v>
      </c>
    </row>
    <row r="27" spans="1:26" ht="18.75" thickTop="1" thickBot="1">
      <c r="A27" s="70" t="s">
        <v>56</v>
      </c>
      <c r="B27" s="96" t="s">
        <v>125</v>
      </c>
      <c r="C27" s="71" t="s">
        <v>41</v>
      </c>
      <c r="D27" s="72">
        <v>53</v>
      </c>
      <c r="E27" s="72">
        <v>44</v>
      </c>
      <c r="F27" s="72">
        <v>8</v>
      </c>
      <c r="G27" s="72">
        <v>34</v>
      </c>
      <c r="H27" s="73">
        <v>30</v>
      </c>
      <c r="I27" s="73">
        <v>33</v>
      </c>
      <c r="J27" s="74">
        <v>35</v>
      </c>
      <c r="K27" s="73">
        <v>39</v>
      </c>
      <c r="L27" s="73">
        <v>42</v>
      </c>
      <c r="M27" s="73">
        <v>41</v>
      </c>
      <c r="N27" s="73">
        <v>59</v>
      </c>
      <c r="O27" s="73">
        <v>57</v>
      </c>
      <c r="P27" s="73">
        <v>55.873272999999998</v>
      </c>
      <c r="Q27" s="73">
        <v>73.73</v>
      </c>
      <c r="R27" s="73">
        <v>76.312367181818189</v>
      </c>
      <c r="S27" s="73">
        <v>74.977283636363637</v>
      </c>
      <c r="T27" s="73">
        <v>97.925448963636356</v>
      </c>
      <c r="U27" s="73">
        <v>178</v>
      </c>
      <c r="V27" s="73">
        <v>235.60079727272728</v>
      </c>
      <c r="W27" s="73">
        <v>272</v>
      </c>
      <c r="X27" s="73">
        <v>333.37750742499998</v>
      </c>
      <c r="Y27" s="73">
        <v>378.13663282499999</v>
      </c>
      <c r="Z27" s="183">
        <v>424.91288024999989</v>
      </c>
    </row>
    <row r="28" spans="1:26" ht="18.75" thickTop="1" thickBot="1">
      <c r="A28" s="70" t="s">
        <v>57</v>
      </c>
      <c r="B28" s="96" t="s">
        <v>126</v>
      </c>
      <c r="C28" s="71" t="s">
        <v>41</v>
      </c>
      <c r="D28" s="72">
        <v>19</v>
      </c>
      <c r="E28" s="72">
        <v>14</v>
      </c>
      <c r="F28" s="72">
        <v>69</v>
      </c>
      <c r="G28" s="72">
        <v>62</v>
      </c>
      <c r="H28" s="73">
        <v>90</v>
      </c>
      <c r="I28" s="73">
        <v>107</v>
      </c>
      <c r="J28" s="74">
        <v>95</v>
      </c>
      <c r="K28" s="73">
        <v>105</v>
      </c>
      <c r="L28" s="73">
        <v>67</v>
      </c>
      <c r="M28" s="73">
        <v>51</v>
      </c>
      <c r="N28" s="73">
        <v>66</v>
      </c>
      <c r="O28" s="73">
        <v>100</v>
      </c>
      <c r="P28" s="73">
        <v>90.495999999999995</v>
      </c>
      <c r="Q28" s="73">
        <v>115.473956</v>
      </c>
      <c r="R28" s="73">
        <v>136.19</v>
      </c>
      <c r="S28" s="73">
        <v>118.17122397142856</v>
      </c>
      <c r="T28" s="73">
        <v>100.84693642857142</v>
      </c>
      <c r="U28" s="73">
        <v>155.25198989090907</v>
      </c>
      <c r="V28" s="73">
        <v>153.51828819999994</v>
      </c>
      <c r="W28" s="73">
        <v>140.65967409090908</v>
      </c>
      <c r="X28" s="73">
        <v>136.26013359999999</v>
      </c>
      <c r="Y28" s="73">
        <v>179.1756134181818</v>
      </c>
      <c r="Z28" s="183">
        <v>183.39725778181818</v>
      </c>
    </row>
    <row r="29" spans="1:26" ht="18.75" thickTop="1" thickBot="1">
      <c r="A29" s="80">
        <v>6</v>
      </c>
      <c r="B29" s="94" t="s">
        <v>263</v>
      </c>
      <c r="C29" s="81" t="s">
        <v>41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3</v>
      </c>
      <c r="J29" s="82">
        <v>50</v>
      </c>
      <c r="K29" s="82">
        <v>112</v>
      </c>
      <c r="L29" s="82">
        <v>137</v>
      </c>
      <c r="M29" s="82">
        <f>SUM(M30+M33+M34+M36)</f>
        <v>109.9</v>
      </c>
      <c r="N29" s="82">
        <f>SUM(N30+N33+N34+N36)</f>
        <v>154</v>
      </c>
      <c r="O29" s="82">
        <f>SUM(O30+O33+O34+O36)</f>
        <v>158</v>
      </c>
      <c r="P29" s="82">
        <f>P30+P33+P34+P36</f>
        <v>181.30031</v>
      </c>
      <c r="Q29" s="82">
        <f>Q30+Q33+Q34+Q36</f>
        <v>231.23226</v>
      </c>
      <c r="R29" s="82">
        <f>R30+R33+R34+R36</f>
        <v>198.25398800000002</v>
      </c>
      <c r="S29" s="82">
        <f>S30+S33+S34+S36</f>
        <v>158.13218666666666</v>
      </c>
      <c r="T29" s="82">
        <v>228.96482499999999</v>
      </c>
      <c r="U29" s="82">
        <f>+U33+U34+U36</f>
        <v>224.62582499999999</v>
      </c>
      <c r="V29" s="82">
        <f>+V33+V34+V36</f>
        <v>186.05229244230793</v>
      </c>
      <c r="W29" s="82">
        <f>+W30+W33+W34+W36</f>
        <v>215</v>
      </c>
      <c r="X29" s="82">
        <f>+X30+X33+X34+X36</f>
        <v>191.04310665333333</v>
      </c>
      <c r="Y29" s="82">
        <f>+Y30+Y33+Y34+Y36</f>
        <v>183.38220000000001</v>
      </c>
      <c r="Z29" s="82">
        <f>+Z30+Z33+Z34+Z36</f>
        <v>201.19579087692222</v>
      </c>
    </row>
    <row r="30" spans="1:26" ht="18.75" thickTop="1" thickBot="1">
      <c r="A30" s="85">
        <v>6.1</v>
      </c>
      <c r="B30" s="95" t="s">
        <v>217</v>
      </c>
      <c r="C30" s="86" t="s">
        <v>41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  <c r="N30" s="87">
        <f>SUM(N31:N32)</f>
        <v>0</v>
      </c>
      <c r="O30" s="87">
        <v>1</v>
      </c>
      <c r="P30" s="87">
        <f>SUM(P31:P32)</f>
        <v>0</v>
      </c>
      <c r="Q30" s="87">
        <f>SUM(Q31:Q32)</f>
        <v>3.7490000000000002E-2</v>
      </c>
      <c r="R30" s="87">
        <f>SUM(R31:R32)</f>
        <v>0.13302699999999998</v>
      </c>
      <c r="S30" s="87">
        <f>S31+S32</f>
        <v>8.1866666666666667E-3</v>
      </c>
      <c r="T30" s="87">
        <v>0</v>
      </c>
      <c r="U30" s="87">
        <v>0</v>
      </c>
      <c r="V30" s="87">
        <v>0</v>
      </c>
      <c r="W30" s="87">
        <f>SUM(W32:W32)</f>
        <v>0</v>
      </c>
      <c r="X30" s="87">
        <f>SUM(X32:X32)</f>
        <v>4.3106653333333335E-2</v>
      </c>
      <c r="Y30" s="87">
        <f>SUM(Y32:Y32)</f>
        <v>0.29620000000000002</v>
      </c>
      <c r="Z30" s="87">
        <f>SUM(Z32:Z32)</f>
        <v>6.6119200000000014</v>
      </c>
    </row>
    <row r="31" spans="1:26" ht="18.75" thickTop="1" thickBot="1">
      <c r="A31" s="70" t="s">
        <v>20</v>
      </c>
      <c r="B31" s="96" t="s">
        <v>125</v>
      </c>
      <c r="C31" s="71" t="s">
        <v>41</v>
      </c>
      <c r="D31" s="72">
        <v>0</v>
      </c>
      <c r="E31" s="72">
        <v>0</v>
      </c>
      <c r="F31" s="72">
        <v>0</v>
      </c>
      <c r="G31" s="72">
        <v>0</v>
      </c>
      <c r="H31" s="73">
        <v>0</v>
      </c>
      <c r="I31" s="73">
        <v>0</v>
      </c>
      <c r="J31" s="72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3.457E-3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183">
        <v>0</v>
      </c>
      <c r="Z31" s="183">
        <v>0</v>
      </c>
    </row>
    <row r="32" spans="1:26" ht="18.75" thickTop="1" thickBot="1">
      <c r="A32" s="70" t="s">
        <v>21</v>
      </c>
      <c r="B32" s="96" t="s">
        <v>126</v>
      </c>
      <c r="C32" s="71" t="s">
        <v>41</v>
      </c>
      <c r="D32" s="72">
        <v>0</v>
      </c>
      <c r="E32" s="72">
        <v>0</v>
      </c>
      <c r="F32" s="72">
        <v>0</v>
      </c>
      <c r="G32" s="72">
        <v>0</v>
      </c>
      <c r="H32" s="73">
        <v>0</v>
      </c>
      <c r="I32" s="73">
        <v>0</v>
      </c>
      <c r="J32" s="72">
        <v>0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3.7490000000000002E-2</v>
      </c>
      <c r="R32" s="73">
        <v>0.12956999999999999</v>
      </c>
      <c r="S32" s="73">
        <v>8.1866666666666667E-3</v>
      </c>
      <c r="T32" s="73">
        <v>0</v>
      </c>
      <c r="U32" s="73">
        <v>0</v>
      </c>
      <c r="V32" s="73">
        <v>0</v>
      </c>
      <c r="W32" s="73">
        <v>0</v>
      </c>
      <c r="X32" s="73">
        <v>4.3106653333333335E-2</v>
      </c>
      <c r="Y32" s="73">
        <v>0.29620000000000002</v>
      </c>
      <c r="Z32" s="183">
        <v>6.6119200000000014</v>
      </c>
    </row>
    <row r="33" spans="1:26" ht="18.75" thickTop="1" thickBot="1">
      <c r="A33" s="85">
        <v>6.2</v>
      </c>
      <c r="B33" s="95" t="s">
        <v>128</v>
      </c>
      <c r="C33" s="86" t="s">
        <v>41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3</v>
      </c>
      <c r="J33" s="87">
        <v>49</v>
      </c>
      <c r="K33" s="87">
        <v>112</v>
      </c>
      <c r="L33" s="87">
        <v>137</v>
      </c>
      <c r="M33" s="87">
        <v>104</v>
      </c>
      <c r="N33" s="87">
        <v>113</v>
      </c>
      <c r="O33" s="87">
        <v>125</v>
      </c>
      <c r="P33" s="87">
        <v>161</v>
      </c>
      <c r="Q33" s="87">
        <v>201</v>
      </c>
      <c r="R33" s="87">
        <v>178.6</v>
      </c>
      <c r="S33" s="87">
        <v>156.624</v>
      </c>
      <c r="T33" s="87">
        <v>228.7</v>
      </c>
      <c r="U33" s="87">
        <v>224.36099999999999</v>
      </c>
      <c r="V33" s="87">
        <v>186.04125009230793</v>
      </c>
      <c r="W33" s="87">
        <v>215</v>
      </c>
      <c r="X33" s="87">
        <f>142+49</f>
        <v>191</v>
      </c>
      <c r="Y33" s="87">
        <v>183</v>
      </c>
      <c r="Z33" s="87">
        <v>194.49787087692221</v>
      </c>
    </row>
    <row r="34" spans="1:26" ht="33" thickTop="1" thickBot="1">
      <c r="A34" s="85">
        <v>6.3</v>
      </c>
      <c r="B34" s="95" t="s">
        <v>231</v>
      </c>
      <c r="C34" s="86" t="s">
        <v>41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0</v>
      </c>
      <c r="J34" s="87">
        <v>1</v>
      </c>
      <c r="K34" s="87"/>
      <c r="L34" s="87">
        <v>0</v>
      </c>
      <c r="M34" s="87">
        <v>0</v>
      </c>
      <c r="N34" s="87">
        <v>0</v>
      </c>
      <c r="O34" s="87">
        <v>0</v>
      </c>
      <c r="P34" s="87">
        <f>P35</f>
        <v>5.8999999999999997E-2</v>
      </c>
      <c r="Q34" s="87">
        <f>Q35</f>
        <v>0</v>
      </c>
      <c r="R34" s="87">
        <f>R35</f>
        <v>0</v>
      </c>
      <c r="S34" s="87">
        <f>S35</f>
        <v>0</v>
      </c>
      <c r="T34" s="87">
        <v>0</v>
      </c>
      <c r="U34" s="87">
        <v>0</v>
      </c>
      <c r="V34" s="87">
        <v>0</v>
      </c>
      <c r="W34" s="87">
        <f t="shared" ref="W34:Z34" si="4">W35</f>
        <v>0</v>
      </c>
      <c r="X34" s="87">
        <f t="shared" si="4"/>
        <v>0</v>
      </c>
      <c r="Y34" s="87">
        <f t="shared" si="4"/>
        <v>0</v>
      </c>
      <c r="Z34" s="87">
        <f t="shared" si="4"/>
        <v>0</v>
      </c>
    </row>
    <row r="35" spans="1:26" ht="18.75" thickTop="1" thickBot="1">
      <c r="A35" s="70" t="s">
        <v>24</v>
      </c>
      <c r="B35" s="96" t="s">
        <v>193</v>
      </c>
      <c r="C35" s="71" t="s">
        <v>41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5.8999999999999997E-2</v>
      </c>
      <c r="Q35" s="72">
        <v>0</v>
      </c>
      <c r="R35" s="72">
        <v>0</v>
      </c>
      <c r="S35" s="72">
        <v>0</v>
      </c>
      <c r="T35" s="72">
        <v>0</v>
      </c>
      <c r="U35" s="72">
        <v>0</v>
      </c>
      <c r="V35" s="72">
        <v>0</v>
      </c>
      <c r="W35" s="159">
        <v>0</v>
      </c>
      <c r="X35" s="159">
        <v>0</v>
      </c>
      <c r="Y35" s="159">
        <v>0</v>
      </c>
      <c r="Z35" s="159">
        <v>0</v>
      </c>
    </row>
    <row r="36" spans="1:26" ht="18.75" thickTop="1" thickBot="1">
      <c r="A36" s="85">
        <v>6.4</v>
      </c>
      <c r="B36" s="95" t="s">
        <v>129</v>
      </c>
      <c r="C36" s="86" t="s">
        <v>41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f>SUM(M37:M39)</f>
        <v>5.9</v>
      </c>
      <c r="N36" s="87">
        <f>SUM(N37:N39)</f>
        <v>41</v>
      </c>
      <c r="O36" s="87">
        <f>SUM(O37:O39)</f>
        <v>32</v>
      </c>
      <c r="P36" s="87">
        <f>P37+P38+P39</f>
        <v>20.241309999999999</v>
      </c>
      <c r="Q36" s="87">
        <f>Q37+Q38+Q39</f>
        <v>30.194769999999998</v>
      </c>
      <c r="R36" s="87">
        <f>R37+R38+R39</f>
        <v>19.520961000000028</v>
      </c>
      <c r="S36" s="87">
        <f>S37+S38+S39</f>
        <v>1.5</v>
      </c>
      <c r="T36" s="87">
        <v>0.26482499999999998</v>
      </c>
      <c r="U36" s="87">
        <v>0.26482499999999998</v>
      </c>
      <c r="V36" s="87">
        <f>SUM(V37:V39)</f>
        <v>1.1042350000000001E-2</v>
      </c>
      <c r="W36" s="87">
        <f t="shared" ref="W36:X36" si="5">W37+W38+W39</f>
        <v>0</v>
      </c>
      <c r="X36" s="87">
        <f t="shared" si="5"/>
        <v>0</v>
      </c>
      <c r="Y36" s="87">
        <f t="shared" ref="Y36:Z36" si="6">Y37+Y38+Y39</f>
        <v>8.5999999999999993E-2</v>
      </c>
      <c r="Z36" s="87">
        <f t="shared" si="6"/>
        <v>8.5999999999999993E-2</v>
      </c>
    </row>
    <row r="37" spans="1:26" ht="18.75" thickTop="1" thickBot="1">
      <c r="A37" s="70" t="s">
        <v>25</v>
      </c>
      <c r="B37" s="96" t="s">
        <v>232</v>
      </c>
      <c r="C37" s="71" t="s">
        <v>41</v>
      </c>
      <c r="D37" s="72">
        <v>0</v>
      </c>
      <c r="E37" s="72">
        <v>0</v>
      </c>
      <c r="F37" s="72">
        <v>0</v>
      </c>
      <c r="G37" s="72">
        <v>0</v>
      </c>
      <c r="H37" s="73">
        <v>0</v>
      </c>
      <c r="I37" s="73">
        <v>0</v>
      </c>
      <c r="J37" s="72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183">
        <v>0</v>
      </c>
      <c r="Z37" s="183">
        <v>0</v>
      </c>
    </row>
    <row r="38" spans="1:26" ht="18.75" thickTop="1" thickBot="1">
      <c r="A38" s="70" t="s">
        <v>26</v>
      </c>
      <c r="B38" s="96" t="s">
        <v>130</v>
      </c>
      <c r="C38" s="71" t="s">
        <v>41</v>
      </c>
      <c r="D38" s="72">
        <v>0</v>
      </c>
      <c r="E38" s="72">
        <v>0</v>
      </c>
      <c r="F38" s="72">
        <v>0</v>
      </c>
      <c r="G38" s="72">
        <v>0</v>
      </c>
      <c r="H38" s="73">
        <v>0</v>
      </c>
      <c r="I38" s="73">
        <v>0</v>
      </c>
      <c r="J38" s="72">
        <v>0</v>
      </c>
      <c r="K38" s="73">
        <v>0</v>
      </c>
      <c r="L38" s="73">
        <v>0</v>
      </c>
      <c r="M38" s="73">
        <v>5.9</v>
      </c>
      <c r="N38" s="73">
        <v>41</v>
      </c>
      <c r="O38" s="73">
        <v>32</v>
      </c>
      <c r="P38" s="73">
        <v>16.581309999999998</v>
      </c>
      <c r="Q38" s="73">
        <v>30.194769999999998</v>
      </c>
      <c r="R38" s="73">
        <v>19.520961000000028</v>
      </c>
      <c r="S38" s="73">
        <v>1.5</v>
      </c>
      <c r="T38" s="73">
        <v>0.26482499999999998</v>
      </c>
      <c r="U38" s="73">
        <v>0.26482499999999998</v>
      </c>
      <c r="V38" s="73">
        <v>1.1042350000000001E-2</v>
      </c>
      <c r="W38" s="73">
        <v>0</v>
      </c>
      <c r="X38" s="73">
        <v>0</v>
      </c>
      <c r="Y38" s="183">
        <v>0</v>
      </c>
      <c r="Z38" s="183">
        <v>0</v>
      </c>
    </row>
    <row r="39" spans="1:26" ht="18.75" thickTop="1" thickBot="1">
      <c r="A39" s="70" t="s">
        <v>27</v>
      </c>
      <c r="B39" s="96" t="s">
        <v>219</v>
      </c>
      <c r="C39" s="71" t="s">
        <v>41</v>
      </c>
      <c r="D39" s="72">
        <v>0</v>
      </c>
      <c r="E39" s="72">
        <v>0</v>
      </c>
      <c r="F39" s="72">
        <v>0</v>
      </c>
      <c r="G39" s="72">
        <v>0</v>
      </c>
      <c r="H39" s="73">
        <v>0</v>
      </c>
      <c r="I39" s="73">
        <v>0</v>
      </c>
      <c r="J39" s="72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3.66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183">
        <v>8.5999999999999993E-2</v>
      </c>
      <c r="Z39" s="183">
        <v>8.5999999999999993E-2</v>
      </c>
    </row>
    <row r="40" spans="1:26" ht="18.75" thickTop="1" thickBot="1">
      <c r="A40" s="80">
        <v>7</v>
      </c>
      <c r="B40" s="94" t="s">
        <v>118</v>
      </c>
      <c r="C40" s="81" t="s">
        <v>53</v>
      </c>
      <c r="D40" s="82">
        <v>0</v>
      </c>
      <c r="E40" s="82">
        <v>1</v>
      </c>
      <c r="F40" s="82">
        <v>0</v>
      </c>
      <c r="G40" s="82">
        <v>0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0</v>
      </c>
      <c r="N40" s="82">
        <v>0</v>
      </c>
      <c r="O40" s="82">
        <v>0</v>
      </c>
      <c r="P40" s="82">
        <f>P41+P42+P43+P48</f>
        <v>0</v>
      </c>
      <c r="Q40" s="82">
        <f>Q41+Q42+Q43+Q48</f>
        <v>0</v>
      </c>
      <c r="R40" s="82">
        <f>R41+R42+R43+R48</f>
        <v>0</v>
      </c>
      <c r="S40" s="82">
        <f>S41+S42+S43+S48</f>
        <v>0</v>
      </c>
      <c r="T40" s="82">
        <v>0</v>
      </c>
      <c r="U40" s="82">
        <v>0</v>
      </c>
      <c r="V40" s="82">
        <v>0</v>
      </c>
      <c r="W40" s="82">
        <v>0</v>
      </c>
      <c r="X40" s="82">
        <v>0</v>
      </c>
      <c r="Y40" s="82">
        <v>0</v>
      </c>
      <c r="Z40" s="82">
        <v>0</v>
      </c>
    </row>
    <row r="41" spans="1:26" ht="18.75" thickTop="1" thickBot="1">
      <c r="A41" s="85">
        <v>7.1</v>
      </c>
      <c r="B41" s="95" t="s">
        <v>233</v>
      </c>
      <c r="C41" s="86" t="s">
        <v>53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v>0</v>
      </c>
      <c r="W41" s="87">
        <v>0</v>
      </c>
      <c r="X41" s="87">
        <v>0</v>
      </c>
      <c r="Y41" s="87">
        <v>0</v>
      </c>
      <c r="Z41" s="87">
        <v>0</v>
      </c>
    </row>
    <row r="42" spans="1:26" ht="18.75" thickTop="1" thickBot="1">
      <c r="A42" s="85">
        <v>7.2</v>
      </c>
      <c r="B42" s="95" t="s">
        <v>234</v>
      </c>
      <c r="C42" s="86" t="s">
        <v>53</v>
      </c>
      <c r="D42" s="87">
        <v>0</v>
      </c>
      <c r="E42" s="87">
        <v>1</v>
      </c>
      <c r="F42" s="87">
        <v>0</v>
      </c>
      <c r="G42" s="87">
        <v>0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v>0</v>
      </c>
      <c r="W42" s="87">
        <v>0</v>
      </c>
      <c r="X42" s="87">
        <v>0</v>
      </c>
      <c r="Y42" s="87">
        <v>0</v>
      </c>
      <c r="Z42" s="87">
        <v>0</v>
      </c>
    </row>
    <row r="43" spans="1:26" ht="18.75" thickTop="1" thickBot="1">
      <c r="A43" s="85">
        <v>7.3</v>
      </c>
      <c r="B43" s="95" t="s">
        <v>235</v>
      </c>
      <c r="C43" s="86" t="s">
        <v>53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  <c r="I43" s="87">
        <v>0</v>
      </c>
      <c r="J43" s="87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f>SUM(P44:P47)</f>
        <v>0</v>
      </c>
      <c r="Q43" s="87">
        <f>SUM(Q44:Q47)</f>
        <v>0</v>
      </c>
      <c r="R43" s="87">
        <f>SUM(R44:R47)</f>
        <v>0</v>
      </c>
      <c r="S43" s="87">
        <f>SUM(S44:S47)</f>
        <v>0</v>
      </c>
      <c r="T43" s="87">
        <v>0</v>
      </c>
      <c r="U43" s="87">
        <v>0</v>
      </c>
      <c r="V43" s="87">
        <v>0</v>
      </c>
      <c r="W43" s="87">
        <v>0</v>
      </c>
      <c r="X43" s="87">
        <v>0</v>
      </c>
      <c r="Y43" s="87">
        <v>0</v>
      </c>
      <c r="Z43" s="87">
        <v>0</v>
      </c>
    </row>
    <row r="44" spans="1:26" ht="18.75" thickTop="1" thickBot="1">
      <c r="A44" s="70" t="s">
        <v>28</v>
      </c>
      <c r="B44" s="96" t="s">
        <v>339</v>
      </c>
      <c r="C44" s="71" t="s">
        <v>53</v>
      </c>
      <c r="D44" s="72">
        <v>0</v>
      </c>
      <c r="E44" s="72">
        <v>0</v>
      </c>
      <c r="F44" s="72">
        <v>0</v>
      </c>
      <c r="G44" s="72">
        <v>0</v>
      </c>
      <c r="H44" s="73">
        <v>0</v>
      </c>
      <c r="I44" s="73">
        <v>0</v>
      </c>
      <c r="J44" s="72">
        <v>0</v>
      </c>
      <c r="K44" s="73">
        <v>0</v>
      </c>
      <c r="L44" s="73">
        <v>0</v>
      </c>
      <c r="M44" s="73">
        <v>0</v>
      </c>
      <c r="N44" s="77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183">
        <v>0</v>
      </c>
      <c r="Z44" s="183">
        <v>0</v>
      </c>
    </row>
    <row r="45" spans="1:26" ht="18.75" thickTop="1" thickBot="1">
      <c r="A45" s="70" t="s">
        <v>29</v>
      </c>
      <c r="B45" s="96" t="s">
        <v>236</v>
      </c>
      <c r="C45" s="71" t="s">
        <v>53</v>
      </c>
      <c r="D45" s="72">
        <v>0</v>
      </c>
      <c r="E45" s="72">
        <v>1</v>
      </c>
      <c r="F45" s="72">
        <v>0</v>
      </c>
      <c r="G45" s="72">
        <v>0</v>
      </c>
      <c r="H45" s="73">
        <v>0</v>
      </c>
      <c r="I45" s="73">
        <v>0</v>
      </c>
      <c r="J45" s="72">
        <v>0</v>
      </c>
      <c r="K45" s="73">
        <v>0</v>
      </c>
      <c r="L45" s="73">
        <v>0</v>
      </c>
      <c r="M45" s="73">
        <v>0</v>
      </c>
      <c r="N45" s="77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183">
        <v>0</v>
      </c>
      <c r="Z45" s="183">
        <v>0</v>
      </c>
    </row>
    <row r="46" spans="1:26" ht="18.75" thickTop="1" thickBot="1">
      <c r="A46" s="70" t="s">
        <v>30</v>
      </c>
      <c r="B46" s="96" t="s">
        <v>237</v>
      </c>
      <c r="C46" s="71" t="s">
        <v>53</v>
      </c>
      <c r="D46" s="72">
        <v>0</v>
      </c>
      <c r="E46" s="72">
        <v>0</v>
      </c>
      <c r="F46" s="72">
        <v>0</v>
      </c>
      <c r="G46" s="72">
        <v>0</v>
      </c>
      <c r="H46" s="73">
        <v>0</v>
      </c>
      <c r="I46" s="73">
        <v>0</v>
      </c>
      <c r="J46" s="72">
        <v>0</v>
      </c>
      <c r="K46" s="73">
        <v>0</v>
      </c>
      <c r="L46" s="73">
        <v>0</v>
      </c>
      <c r="M46" s="73">
        <v>0</v>
      </c>
      <c r="N46" s="77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183">
        <v>0</v>
      </c>
      <c r="Z46" s="183">
        <v>0</v>
      </c>
    </row>
    <row r="47" spans="1:26" ht="18.75" thickTop="1" thickBot="1">
      <c r="A47" s="70" t="s">
        <v>31</v>
      </c>
      <c r="B47" s="96" t="s">
        <v>238</v>
      </c>
      <c r="C47" s="71" t="s">
        <v>53</v>
      </c>
      <c r="D47" s="72">
        <v>0</v>
      </c>
      <c r="E47" s="72">
        <v>0</v>
      </c>
      <c r="F47" s="72">
        <v>0</v>
      </c>
      <c r="G47" s="72">
        <v>0</v>
      </c>
      <c r="H47" s="73">
        <v>0</v>
      </c>
      <c r="I47" s="73">
        <v>0</v>
      </c>
      <c r="J47" s="72">
        <v>0</v>
      </c>
      <c r="K47" s="73">
        <v>0</v>
      </c>
      <c r="L47" s="73">
        <v>0</v>
      </c>
      <c r="M47" s="73">
        <v>0</v>
      </c>
      <c r="N47" s="77">
        <v>0</v>
      </c>
      <c r="O47" s="73">
        <v>0</v>
      </c>
      <c r="P47" s="73">
        <v>0</v>
      </c>
      <c r="Q47" s="73">
        <v>0</v>
      </c>
      <c r="R47" s="73">
        <v>0</v>
      </c>
      <c r="S47" s="73">
        <v>0</v>
      </c>
      <c r="T47" s="73">
        <v>0</v>
      </c>
      <c r="U47" s="73">
        <v>0</v>
      </c>
      <c r="V47" s="73">
        <v>0</v>
      </c>
      <c r="W47" s="73">
        <v>0</v>
      </c>
      <c r="X47" s="73">
        <v>0</v>
      </c>
      <c r="Y47" s="183">
        <v>0</v>
      </c>
      <c r="Z47" s="183">
        <v>0</v>
      </c>
    </row>
    <row r="48" spans="1:26" ht="18.75" thickTop="1" thickBot="1">
      <c r="A48" s="85">
        <v>7.4</v>
      </c>
      <c r="B48" s="95" t="s">
        <v>203</v>
      </c>
      <c r="C48" s="86" t="s">
        <v>53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</row>
    <row r="49" spans="1:26" ht="18.75" thickTop="1" thickBot="1">
      <c r="A49" s="80">
        <v>8</v>
      </c>
      <c r="B49" s="94" t="s">
        <v>239</v>
      </c>
      <c r="C49" s="81" t="s">
        <v>53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f>P50+P51</f>
        <v>0</v>
      </c>
      <c r="Q49" s="82">
        <f>Q50+Q51</f>
        <v>0</v>
      </c>
      <c r="R49" s="82">
        <f>R50+R51</f>
        <v>0</v>
      </c>
      <c r="S49" s="82">
        <f>S50+S51</f>
        <v>0</v>
      </c>
      <c r="T49" s="82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</row>
    <row r="50" spans="1:26" ht="18.75" thickTop="1" thickBot="1">
      <c r="A50" s="85">
        <v>8.1</v>
      </c>
      <c r="B50" s="95" t="s">
        <v>224</v>
      </c>
      <c r="C50" s="86" t="s">
        <v>53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87">
        <v>0</v>
      </c>
      <c r="P50" s="87">
        <v>0</v>
      </c>
      <c r="Q50" s="87">
        <v>0</v>
      </c>
      <c r="R50" s="87">
        <v>0</v>
      </c>
      <c r="S50" s="87">
        <v>0</v>
      </c>
      <c r="T50" s="87">
        <v>0</v>
      </c>
      <c r="U50" s="87">
        <v>0</v>
      </c>
      <c r="V50" s="87">
        <v>0</v>
      </c>
      <c r="W50" s="87">
        <v>0</v>
      </c>
      <c r="X50" s="87">
        <v>0</v>
      </c>
      <c r="Y50" s="87">
        <v>0</v>
      </c>
      <c r="Z50" s="87">
        <v>0</v>
      </c>
    </row>
    <row r="51" spans="1:26" ht="18.75" thickTop="1" thickBot="1">
      <c r="A51" s="85">
        <v>8.1999999999999993</v>
      </c>
      <c r="B51" s="95" t="s">
        <v>132</v>
      </c>
      <c r="C51" s="86" t="s">
        <v>53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</row>
    <row r="52" spans="1:26" ht="18.75" thickTop="1" thickBot="1">
      <c r="A52" s="80">
        <v>9</v>
      </c>
      <c r="B52" s="94" t="s">
        <v>120</v>
      </c>
      <c r="C52" s="81" t="s">
        <v>53</v>
      </c>
      <c r="D52" s="82">
        <v>12</v>
      </c>
      <c r="E52" s="82">
        <v>17</v>
      </c>
      <c r="F52" s="82">
        <v>19</v>
      </c>
      <c r="G52" s="82">
        <v>13</v>
      </c>
      <c r="H52" s="82">
        <v>10</v>
      </c>
      <c r="I52" s="82">
        <v>15</v>
      </c>
      <c r="J52" s="82">
        <v>12</v>
      </c>
      <c r="K52" s="82">
        <v>17</v>
      </c>
      <c r="L52" s="82">
        <v>11</v>
      </c>
      <c r="M52" s="82">
        <v>12</v>
      </c>
      <c r="N52" s="82">
        <v>14</v>
      </c>
      <c r="O52" s="82">
        <v>21</v>
      </c>
      <c r="P52" s="82">
        <v>14.76340055</v>
      </c>
      <c r="Q52" s="82">
        <v>14.51</v>
      </c>
      <c r="R52" s="82">
        <v>11.836855999999999</v>
      </c>
      <c r="S52" s="82">
        <v>15.805654130000001</v>
      </c>
      <c r="T52" s="82">
        <v>21.191393999999999</v>
      </c>
      <c r="U52" s="82">
        <v>15.286379999999999</v>
      </c>
      <c r="V52" s="82">
        <v>23.353408990000002</v>
      </c>
      <c r="W52" s="82">
        <v>13.785955</v>
      </c>
      <c r="X52" s="82">
        <v>19.574187000000002</v>
      </c>
      <c r="Y52" s="82">
        <v>14.457965</v>
      </c>
      <c r="Z52" s="82">
        <v>17.22823867</v>
      </c>
    </row>
    <row r="53" spans="1:26" ht="18.75" thickTop="1" thickBot="1">
      <c r="A53" s="80">
        <v>10</v>
      </c>
      <c r="B53" s="94" t="s">
        <v>121</v>
      </c>
      <c r="C53" s="81" t="s">
        <v>53</v>
      </c>
      <c r="D53" s="82">
        <v>39</v>
      </c>
      <c r="E53" s="82">
        <v>36</v>
      </c>
      <c r="F53" s="82">
        <v>44</v>
      </c>
      <c r="G53" s="82">
        <v>43</v>
      </c>
      <c r="H53" s="82">
        <v>42</v>
      </c>
      <c r="I53" s="82">
        <v>41</v>
      </c>
      <c r="J53" s="82">
        <v>41</v>
      </c>
      <c r="K53" s="82">
        <v>38</v>
      </c>
      <c r="L53" s="82">
        <v>36</v>
      </c>
      <c r="M53" s="82">
        <f>SUM(M54+M59+M60+M65)</f>
        <v>33</v>
      </c>
      <c r="N53" s="82">
        <f>SUM(N54+N59+N60+N65)</f>
        <v>38</v>
      </c>
      <c r="O53" s="82">
        <f>SUM(O54+O59+O60+O65)</f>
        <v>36</v>
      </c>
      <c r="P53" s="82">
        <f>P54+P59+P60+P65</f>
        <v>40.44549962</v>
      </c>
      <c r="Q53" s="82">
        <f>Q54+Q59+Q60+Q65</f>
        <v>36.814980320000004</v>
      </c>
      <c r="R53" s="82">
        <f>R54+R59+R60+R65</f>
        <v>45.863421969999898</v>
      </c>
      <c r="S53" s="82">
        <f>S54+S59+S60+S65</f>
        <v>46.188970309999902</v>
      </c>
      <c r="T53" s="82">
        <v>30.04117015000001</v>
      </c>
      <c r="U53" s="82">
        <f>+U54+U59+U60+U65</f>
        <v>6.28573381</v>
      </c>
      <c r="V53" s="82">
        <f>+V54+V59+V60+V65</f>
        <v>3.1037349499999993</v>
      </c>
      <c r="W53" s="82">
        <f>W54+W59+W60+W65</f>
        <v>3.1421643200000005</v>
      </c>
      <c r="X53" s="82">
        <f>X54+X59+X60+X65</f>
        <v>0.51851957000000004</v>
      </c>
      <c r="Y53" s="82">
        <f>Y54+Y59+Y60+Y65</f>
        <v>0.34989405000000001</v>
      </c>
      <c r="Z53" s="82">
        <f>Z54+Z59+Z60+Z65</f>
        <v>0.27964751999999998</v>
      </c>
    </row>
    <row r="54" spans="1:26" ht="18.75" thickTop="1" thickBot="1">
      <c r="A54" s="85">
        <v>10.1</v>
      </c>
      <c r="B54" s="95" t="s">
        <v>240</v>
      </c>
      <c r="C54" s="86" t="s">
        <v>53</v>
      </c>
      <c r="D54" s="87">
        <v>37</v>
      </c>
      <c r="E54" s="87">
        <v>34</v>
      </c>
      <c r="F54" s="87">
        <v>41</v>
      </c>
      <c r="G54" s="87">
        <v>41</v>
      </c>
      <c r="H54" s="87">
        <v>40</v>
      </c>
      <c r="I54" s="87">
        <v>39</v>
      </c>
      <c r="J54" s="87">
        <v>40</v>
      </c>
      <c r="K54" s="87">
        <v>37</v>
      </c>
      <c r="L54" s="87">
        <v>36</v>
      </c>
      <c r="M54" s="87">
        <v>33</v>
      </c>
      <c r="N54" s="87">
        <f t="shared" ref="N54:Z54" si="7">SUM(N55:N58)</f>
        <v>37</v>
      </c>
      <c r="O54" s="87">
        <f t="shared" si="7"/>
        <v>35</v>
      </c>
      <c r="P54" s="87">
        <f t="shared" si="7"/>
        <v>40.165090620000001</v>
      </c>
      <c r="Q54" s="87">
        <f t="shared" si="7"/>
        <v>35.35260332</v>
      </c>
      <c r="R54" s="87">
        <f t="shared" si="7"/>
        <v>41.8286768399999</v>
      </c>
      <c r="S54" s="87">
        <f t="shared" si="7"/>
        <v>42.142720169999905</v>
      </c>
      <c r="T54" s="87">
        <f t="shared" si="7"/>
        <v>28.71520872000001</v>
      </c>
      <c r="U54" s="87">
        <f t="shared" si="7"/>
        <v>2.1454302599999999</v>
      </c>
      <c r="V54" s="87">
        <f t="shared" si="7"/>
        <v>0.26697997000000007</v>
      </c>
      <c r="W54" s="87">
        <f t="shared" si="7"/>
        <v>0.14503270000000001</v>
      </c>
      <c r="X54" s="87">
        <f t="shared" si="7"/>
        <v>2.9825730000000002E-2</v>
      </c>
      <c r="Y54" s="87">
        <f t="shared" si="7"/>
        <v>5.498372E-2</v>
      </c>
      <c r="Z54" s="87">
        <f t="shared" si="7"/>
        <v>0.21507598</v>
      </c>
    </row>
    <row r="55" spans="1:26" ht="18.75" thickTop="1" thickBot="1">
      <c r="A55" s="70" t="s">
        <v>32</v>
      </c>
      <c r="B55" s="97" t="s">
        <v>241</v>
      </c>
      <c r="C55" s="71" t="s">
        <v>53</v>
      </c>
      <c r="D55" s="72">
        <v>0</v>
      </c>
      <c r="E55" s="72">
        <v>0</v>
      </c>
      <c r="F55" s="72">
        <v>0</v>
      </c>
      <c r="G55" s="72">
        <v>0</v>
      </c>
      <c r="H55" s="73">
        <v>0</v>
      </c>
      <c r="I55" s="73">
        <v>0</v>
      </c>
      <c r="J55" s="72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  <c r="X55" s="73">
        <v>3.4129999999999998E-3</v>
      </c>
      <c r="Y55" s="73">
        <v>9.8879999999999992E-3</v>
      </c>
      <c r="Z55" s="76">
        <v>0</v>
      </c>
    </row>
    <row r="56" spans="1:26" ht="18.75" thickTop="1" thickBot="1">
      <c r="A56" s="70" t="s">
        <v>33</v>
      </c>
      <c r="B56" s="97" t="s">
        <v>133</v>
      </c>
      <c r="C56" s="71" t="s">
        <v>53</v>
      </c>
      <c r="D56" s="72">
        <v>0</v>
      </c>
      <c r="E56" s="72">
        <v>0</v>
      </c>
      <c r="F56" s="72">
        <v>0</v>
      </c>
      <c r="G56" s="72">
        <v>0</v>
      </c>
      <c r="H56" s="73">
        <v>0</v>
      </c>
      <c r="I56" s="73">
        <v>0</v>
      </c>
      <c r="J56" s="72">
        <v>0</v>
      </c>
      <c r="K56" s="73">
        <v>0</v>
      </c>
      <c r="L56" s="73">
        <v>0</v>
      </c>
      <c r="M56" s="73">
        <v>0</v>
      </c>
      <c r="N56" s="73">
        <v>0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3">
        <v>0</v>
      </c>
      <c r="Y56" s="183">
        <v>0</v>
      </c>
      <c r="Z56" s="76">
        <v>0</v>
      </c>
    </row>
    <row r="57" spans="1:26" ht="18.75" thickTop="1" thickBot="1">
      <c r="A57" s="70" t="s">
        <v>34</v>
      </c>
      <c r="B57" s="97" t="s">
        <v>242</v>
      </c>
      <c r="C57" s="71" t="s">
        <v>53</v>
      </c>
      <c r="D57" s="72">
        <v>4</v>
      </c>
      <c r="E57" s="72">
        <v>4</v>
      </c>
      <c r="F57" s="72">
        <v>11</v>
      </c>
      <c r="G57" s="72">
        <v>8</v>
      </c>
      <c r="H57" s="73">
        <v>8</v>
      </c>
      <c r="I57" s="73">
        <v>7</v>
      </c>
      <c r="J57" s="74">
        <v>10</v>
      </c>
      <c r="K57" s="73">
        <v>5</v>
      </c>
      <c r="L57" s="73">
        <v>3</v>
      </c>
      <c r="M57" s="73">
        <v>8</v>
      </c>
      <c r="N57" s="73">
        <v>7</v>
      </c>
      <c r="O57" s="73">
        <v>9</v>
      </c>
      <c r="P57" s="73">
        <v>7.9616952699999999</v>
      </c>
      <c r="Q57" s="73">
        <v>5.3691360000000001</v>
      </c>
      <c r="R57" s="73">
        <v>6.9938742000000005</v>
      </c>
      <c r="S57" s="73">
        <v>6.594920809999997</v>
      </c>
      <c r="T57" s="73">
        <v>6.1545676800000004</v>
      </c>
      <c r="U57" s="73">
        <v>0.13542563999999999</v>
      </c>
      <c r="V57" s="73">
        <v>2.2632819999999998E-2</v>
      </c>
      <c r="W57" s="73">
        <v>0.141794</v>
      </c>
      <c r="X57" s="73">
        <v>2.6412730000000002E-2</v>
      </c>
      <c r="Y57" s="183">
        <v>4.5095719999999999E-2</v>
      </c>
      <c r="Z57" s="183">
        <v>0.21507598</v>
      </c>
    </row>
    <row r="58" spans="1:26" ht="18.75" thickTop="1" thickBot="1">
      <c r="A58" s="70" t="s">
        <v>35</v>
      </c>
      <c r="B58" s="97" t="s">
        <v>134</v>
      </c>
      <c r="C58" s="71" t="s">
        <v>53</v>
      </c>
      <c r="D58" s="72">
        <v>33</v>
      </c>
      <c r="E58" s="72">
        <v>30</v>
      </c>
      <c r="F58" s="72">
        <v>30</v>
      </c>
      <c r="G58" s="72">
        <v>33</v>
      </c>
      <c r="H58" s="73">
        <v>32</v>
      </c>
      <c r="I58" s="73">
        <v>32</v>
      </c>
      <c r="J58" s="74">
        <v>30</v>
      </c>
      <c r="K58" s="73">
        <v>32</v>
      </c>
      <c r="L58" s="73">
        <v>33</v>
      </c>
      <c r="M58" s="73">
        <v>25</v>
      </c>
      <c r="N58" s="73">
        <v>30</v>
      </c>
      <c r="O58" s="73">
        <v>26</v>
      </c>
      <c r="P58" s="73">
        <v>32.203395350000001</v>
      </c>
      <c r="Q58" s="183">
        <v>29.983467320000003</v>
      </c>
      <c r="R58" s="183">
        <v>34.8348026399999</v>
      </c>
      <c r="S58" s="183">
        <v>35.547799359999907</v>
      </c>
      <c r="T58" s="183">
        <v>22.560641040000011</v>
      </c>
      <c r="U58" s="183">
        <v>2.0100046200000001</v>
      </c>
      <c r="V58" s="183">
        <v>0.24434715000000004</v>
      </c>
      <c r="W58" s="183">
        <v>3.2386999999999997E-3</v>
      </c>
      <c r="X58" s="183">
        <v>0</v>
      </c>
      <c r="Y58" s="183">
        <v>0</v>
      </c>
      <c r="Z58" s="183">
        <v>0</v>
      </c>
    </row>
    <row r="59" spans="1:26" ht="18.75" thickTop="1" thickBot="1">
      <c r="A59" s="85">
        <v>10.199999999999999</v>
      </c>
      <c r="B59" s="95" t="s">
        <v>135</v>
      </c>
      <c r="C59" s="86" t="s">
        <v>53</v>
      </c>
      <c r="D59" s="87">
        <v>2</v>
      </c>
      <c r="E59" s="87">
        <v>2</v>
      </c>
      <c r="F59" s="87">
        <v>2</v>
      </c>
      <c r="G59" s="87">
        <v>2</v>
      </c>
      <c r="H59" s="87">
        <v>2</v>
      </c>
      <c r="I59" s="87">
        <v>2</v>
      </c>
      <c r="J59" s="87">
        <v>1</v>
      </c>
      <c r="K59" s="87">
        <v>1</v>
      </c>
      <c r="L59" s="87">
        <v>0</v>
      </c>
      <c r="M59" s="87">
        <v>0</v>
      </c>
      <c r="N59" s="87">
        <v>1</v>
      </c>
      <c r="O59" s="87">
        <v>1</v>
      </c>
      <c r="P59" s="87">
        <f>0.186109</f>
        <v>0.186109</v>
      </c>
      <c r="Q59" s="87">
        <v>1.462377</v>
      </c>
      <c r="R59" s="87">
        <v>4</v>
      </c>
      <c r="S59" s="87">
        <v>3.9516995899999996</v>
      </c>
      <c r="T59" s="87">
        <v>1.0341729399999999</v>
      </c>
      <c r="U59" s="87">
        <v>3.4673378800000001</v>
      </c>
      <c r="V59" s="87">
        <v>1.15888714</v>
      </c>
      <c r="W59" s="87">
        <v>2.8643490000000003</v>
      </c>
      <c r="X59" s="87">
        <v>0.20408000000000001</v>
      </c>
      <c r="Y59" s="87">
        <v>0</v>
      </c>
      <c r="Z59" s="87">
        <v>1.570057E-2</v>
      </c>
    </row>
    <row r="60" spans="1:26" ht="18.75" thickTop="1" thickBot="1">
      <c r="A60" s="85">
        <v>10.3</v>
      </c>
      <c r="B60" s="95" t="s">
        <v>136</v>
      </c>
      <c r="C60" s="86" t="s">
        <v>53</v>
      </c>
      <c r="D60" s="87">
        <v>0</v>
      </c>
      <c r="E60" s="87">
        <v>0</v>
      </c>
      <c r="F60" s="87">
        <v>1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f>SUM(N61:N64)</f>
        <v>0</v>
      </c>
      <c r="O60" s="87">
        <v>0</v>
      </c>
      <c r="P60" s="87">
        <f>SUM(P61:P64)</f>
        <v>9.4299999999999995E-2</v>
      </c>
      <c r="Q60" s="87">
        <f>SUM(Q61:Q64)</f>
        <v>0</v>
      </c>
      <c r="R60" s="87">
        <f>SUM(R61:R64)</f>
        <v>3.3315589999999992E-2</v>
      </c>
      <c r="S60" s="87">
        <f>SUM(S61:S64)</f>
        <v>8.6597550000000009E-2</v>
      </c>
      <c r="T60" s="87">
        <v>0.2917884899999999</v>
      </c>
      <c r="U60" s="87">
        <f>SUM(U61:U64)</f>
        <v>0.67073167</v>
      </c>
      <c r="V60" s="87">
        <f>SUM(V61:V64)</f>
        <v>1.6748307399999998</v>
      </c>
      <c r="W60" s="87">
        <f t="shared" ref="W60:Z60" si="8">SUM(W61:W64)</f>
        <v>0.10927198999999997</v>
      </c>
      <c r="X60" s="87">
        <f t="shared" si="8"/>
        <v>0.28059033</v>
      </c>
      <c r="Y60" s="87">
        <f t="shared" si="8"/>
        <v>0.2863773</v>
      </c>
      <c r="Z60" s="87">
        <f t="shared" si="8"/>
        <v>4.080363E-2</v>
      </c>
    </row>
    <row r="61" spans="1:26" ht="18.75" thickTop="1" thickBot="1">
      <c r="A61" s="70" t="s">
        <v>36</v>
      </c>
      <c r="B61" s="97" t="s">
        <v>243</v>
      </c>
      <c r="C61" s="71" t="s">
        <v>53</v>
      </c>
      <c r="D61" s="72">
        <v>0</v>
      </c>
      <c r="E61" s="72">
        <v>0</v>
      </c>
      <c r="F61" s="72">
        <v>0</v>
      </c>
      <c r="G61" s="72">
        <v>0</v>
      </c>
      <c r="H61" s="73">
        <v>0</v>
      </c>
      <c r="I61" s="73">
        <v>0</v>
      </c>
      <c r="J61" s="72">
        <v>0</v>
      </c>
      <c r="K61" s="73">
        <v>0</v>
      </c>
      <c r="L61" s="73">
        <v>0</v>
      </c>
      <c r="M61" s="73">
        <v>0</v>
      </c>
      <c r="N61" s="73">
        <v>0</v>
      </c>
      <c r="O61" s="73">
        <v>0</v>
      </c>
      <c r="P61" s="73">
        <v>0</v>
      </c>
      <c r="Q61" s="73">
        <v>0</v>
      </c>
      <c r="R61" s="73">
        <v>0</v>
      </c>
      <c r="S61" s="73">
        <v>0</v>
      </c>
      <c r="T61" s="73">
        <v>0</v>
      </c>
      <c r="U61" s="73">
        <v>0.42869000000000002</v>
      </c>
      <c r="V61" s="73">
        <v>1.5464544999999998</v>
      </c>
      <c r="W61" s="73">
        <v>0</v>
      </c>
      <c r="X61" s="73">
        <v>0</v>
      </c>
      <c r="Y61" s="73">
        <v>0</v>
      </c>
      <c r="Z61" s="183">
        <v>0</v>
      </c>
    </row>
    <row r="62" spans="1:26" ht="18.75" thickTop="1" thickBot="1">
      <c r="A62" s="70" t="s">
        <v>37</v>
      </c>
      <c r="B62" s="97" t="s">
        <v>244</v>
      </c>
      <c r="C62" s="71" t="s">
        <v>53</v>
      </c>
      <c r="D62" s="72">
        <v>0</v>
      </c>
      <c r="E62" s="72">
        <v>0</v>
      </c>
      <c r="F62" s="72">
        <v>0</v>
      </c>
      <c r="G62" s="72">
        <v>0</v>
      </c>
      <c r="H62" s="73">
        <v>0</v>
      </c>
      <c r="I62" s="73">
        <v>0</v>
      </c>
      <c r="J62" s="72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3.1E-2</v>
      </c>
      <c r="Q62" s="73">
        <v>0</v>
      </c>
      <c r="R62" s="73">
        <v>0</v>
      </c>
      <c r="S62" s="73">
        <v>0</v>
      </c>
      <c r="T62" s="73">
        <v>0</v>
      </c>
      <c r="U62" s="73">
        <v>2.3157439999999998E-2</v>
      </c>
      <c r="V62" s="73">
        <v>0</v>
      </c>
      <c r="W62" s="73">
        <v>0</v>
      </c>
      <c r="X62" s="73">
        <v>9.433453E-2</v>
      </c>
      <c r="Y62" s="73">
        <v>0</v>
      </c>
      <c r="Z62" s="183">
        <v>3.3177300000000001E-3</v>
      </c>
    </row>
    <row r="63" spans="1:26" ht="18.75" thickTop="1" thickBot="1">
      <c r="A63" s="70" t="s">
        <v>38</v>
      </c>
      <c r="B63" s="97" t="s">
        <v>245</v>
      </c>
      <c r="C63" s="71" t="s">
        <v>53</v>
      </c>
      <c r="D63" s="72">
        <v>0</v>
      </c>
      <c r="E63" s="72">
        <v>0</v>
      </c>
      <c r="F63" s="72">
        <v>1</v>
      </c>
      <c r="G63" s="72">
        <v>0</v>
      </c>
      <c r="H63" s="73">
        <v>0</v>
      </c>
      <c r="I63" s="73">
        <v>0</v>
      </c>
      <c r="J63" s="72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6.3299999999999995E-2</v>
      </c>
      <c r="Q63" s="73">
        <v>0</v>
      </c>
      <c r="R63" s="73">
        <v>3.3315589999999992E-2</v>
      </c>
      <c r="S63" s="73">
        <v>8.6597550000000009E-2</v>
      </c>
      <c r="T63" s="73">
        <v>0.2917884899999999</v>
      </c>
      <c r="U63" s="73">
        <v>0.21888423000000001</v>
      </c>
      <c r="V63" s="73">
        <v>0.12837624</v>
      </c>
      <c r="W63" s="73">
        <v>0.10927198999999997</v>
      </c>
      <c r="X63" s="73">
        <v>0.1862558</v>
      </c>
      <c r="Y63" s="73">
        <v>0.2863773</v>
      </c>
      <c r="Z63" s="183">
        <v>3.7485900000000003E-2</v>
      </c>
    </row>
    <row r="64" spans="1:26" ht="33" thickTop="1" thickBot="1">
      <c r="A64" s="70" t="s">
        <v>39</v>
      </c>
      <c r="B64" s="98" t="s">
        <v>246</v>
      </c>
      <c r="C64" s="71" t="s">
        <v>53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72">
        <v>0</v>
      </c>
      <c r="O64" s="72">
        <v>0</v>
      </c>
      <c r="P64" s="72">
        <v>0</v>
      </c>
      <c r="Q64" s="72">
        <v>0</v>
      </c>
      <c r="R64" s="72">
        <v>0</v>
      </c>
      <c r="S64" s="72">
        <v>0</v>
      </c>
      <c r="T64" s="72">
        <v>0</v>
      </c>
      <c r="U64" s="72">
        <v>0</v>
      </c>
      <c r="V64" s="72">
        <v>0</v>
      </c>
      <c r="W64" s="159">
        <v>0</v>
      </c>
      <c r="X64" s="159">
        <v>0</v>
      </c>
      <c r="Y64" s="159">
        <v>0</v>
      </c>
      <c r="Z64" s="159">
        <v>0</v>
      </c>
    </row>
    <row r="65" spans="1:26" ht="33" thickTop="1" thickBot="1">
      <c r="A65" s="85">
        <v>10.4</v>
      </c>
      <c r="B65" s="95" t="s">
        <v>247</v>
      </c>
      <c r="C65" s="86" t="s">
        <v>53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  <c r="L65" s="87">
        <v>0</v>
      </c>
      <c r="M65" s="87">
        <v>0</v>
      </c>
      <c r="N65" s="87">
        <v>0</v>
      </c>
      <c r="O65" s="87">
        <v>0</v>
      </c>
      <c r="P65" s="87">
        <v>0</v>
      </c>
      <c r="Q65" s="87">
        <v>0</v>
      </c>
      <c r="R65" s="87">
        <v>1.42954E-3</v>
      </c>
      <c r="S65" s="87">
        <v>7.953E-3</v>
      </c>
      <c r="T65" s="87">
        <v>0</v>
      </c>
      <c r="U65" s="87">
        <v>2.2339999999999999E-3</v>
      </c>
      <c r="V65" s="87">
        <v>3.0370999999999996E-3</v>
      </c>
      <c r="W65" s="87">
        <v>2.3510629999999998E-2</v>
      </c>
      <c r="X65" s="87">
        <v>4.0235100000000001E-3</v>
      </c>
      <c r="Y65" s="87">
        <v>8.5330300000000005E-3</v>
      </c>
      <c r="Z65" s="87">
        <v>8.0673399999999992E-3</v>
      </c>
    </row>
    <row r="66" spans="1:26" ht="13.5" thickTop="1"/>
    <row r="67" spans="1:26" ht="15.75">
      <c r="B67" s="99" t="s">
        <v>181</v>
      </c>
    </row>
    <row r="68" spans="1:26" ht="30.75" customHeight="1">
      <c r="A68" s="11"/>
      <c r="B68" s="31"/>
      <c r="C68" s="31"/>
      <c r="D68" s="31"/>
      <c r="E68" s="31"/>
      <c r="F68" s="6"/>
      <c r="G68" s="6"/>
      <c r="H68" s="6"/>
      <c r="I68" s="6"/>
      <c r="J68" s="6"/>
    </row>
    <row r="69" spans="1:26">
      <c r="I69" s="6"/>
    </row>
    <row r="70" spans="1:26">
      <c r="B70" s="6"/>
      <c r="C70" s="6"/>
      <c r="D70" s="6"/>
      <c r="E70" s="6"/>
      <c r="F70" s="6"/>
      <c r="G70" s="6"/>
      <c r="H70" s="6"/>
      <c r="I70" s="6"/>
    </row>
  </sheetData>
  <mergeCells count="3">
    <mergeCell ref="C8:M8"/>
    <mergeCell ref="E10:K10"/>
    <mergeCell ref="A14:Z14"/>
  </mergeCells>
  <pageMargins left="0.59055118110236227" right="0.19685039370078741" top="0.98425196850393704" bottom="0.98425196850393704" header="0" footer="0"/>
  <pageSetup paperSize="9" scale="60" orientation="portrait" horizontalDpi="4294967292" r:id="rId1"/>
  <headerFooter alignWithMargins="0"/>
  <ignoredErrors>
    <ignoredError sqref="U60:W60 T18:Z18 X60:AA60 R54:Z54" formulaRange="1"/>
    <ignoredError sqref="R16:V16 H22:U22 M26:Z26 T29:Z29 R29:S29 X16:Z16 Y53:Z53 W53:X53 Q53:T53 V53" unlockedFormula="1"/>
    <ignoredError sqref="V22:Z22 Q54" formulaRange="1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04"/>
  <sheetViews>
    <sheetView showGridLines="0" topLeftCell="A7" zoomScale="70" zoomScaleNormal="70" workbookViewId="0">
      <pane xSplit="2" topLeftCell="S1" activePane="topRight" state="frozen"/>
      <selection pane="topRight" activeCell="Y75" sqref="Y75"/>
    </sheetView>
  </sheetViews>
  <sheetFormatPr baseColWidth="10" defaultRowHeight="12.75"/>
  <cols>
    <col min="1" max="1" width="23.42578125" customWidth="1"/>
    <col min="2" max="2" width="104" customWidth="1"/>
    <col min="3" max="4" width="11.5703125" customWidth="1"/>
    <col min="5" max="5" width="13.28515625" customWidth="1"/>
    <col min="6" max="15" width="13.7109375" customWidth="1"/>
    <col min="16" max="16" width="15.140625" customWidth="1"/>
    <col min="17" max="17" width="14.42578125" customWidth="1"/>
    <col min="18" max="20" width="13.7109375" customWidth="1"/>
    <col min="21" max="21" width="11.42578125" customWidth="1"/>
  </cols>
  <sheetData>
    <row r="1" spans="1:25" ht="15.75">
      <c r="B1" s="7"/>
    </row>
    <row r="2" spans="1:25">
      <c r="B2" s="9"/>
    </row>
    <row r="3" spans="1:25">
      <c r="B3" s="9"/>
    </row>
    <row r="4" spans="1:25" ht="15.75">
      <c r="B4" s="7"/>
      <c r="C4" s="5"/>
    </row>
    <row r="5" spans="1:25">
      <c r="B5" s="4"/>
      <c r="C5" s="10"/>
      <c r="D5" s="2"/>
      <c r="E5" s="2"/>
      <c r="F5" s="2"/>
      <c r="G5" s="2"/>
      <c r="H5" s="2"/>
      <c r="I5" s="1"/>
      <c r="J5" s="1"/>
    </row>
    <row r="6" spans="1:25">
      <c r="B6" s="4"/>
      <c r="C6" s="10"/>
      <c r="D6" s="2"/>
      <c r="E6" s="2"/>
      <c r="F6" s="2"/>
      <c r="G6" s="2"/>
      <c r="H6" s="2"/>
      <c r="I6" s="1"/>
      <c r="J6" s="1"/>
    </row>
    <row r="7" spans="1:25">
      <c r="B7" s="4"/>
      <c r="C7" s="10"/>
      <c r="D7" s="2"/>
      <c r="E7" s="2"/>
      <c r="F7" s="2"/>
      <c r="G7" s="2"/>
      <c r="H7" s="2"/>
      <c r="I7" s="1"/>
      <c r="J7" s="1"/>
    </row>
    <row r="8" spans="1:25">
      <c r="B8" s="4"/>
      <c r="C8" s="10"/>
      <c r="D8" s="2"/>
      <c r="E8" s="2"/>
      <c r="F8" s="2"/>
      <c r="G8" s="2"/>
      <c r="H8" s="2"/>
      <c r="I8" s="1"/>
      <c r="J8" s="1"/>
    </row>
    <row r="9" spans="1:25">
      <c r="B9" s="4"/>
      <c r="C9" s="10"/>
      <c r="D9" s="2"/>
      <c r="E9" s="2"/>
      <c r="F9" s="2"/>
      <c r="G9" s="2"/>
      <c r="H9" s="2"/>
      <c r="I9" s="1"/>
      <c r="J9" s="1"/>
    </row>
    <row r="10" spans="1:25" ht="36">
      <c r="B10" s="4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8"/>
      <c r="N10" s="28"/>
    </row>
    <row r="11" spans="1:25">
      <c r="B11" s="4"/>
      <c r="C11" s="10"/>
      <c r="D11" s="2"/>
      <c r="E11" s="2"/>
      <c r="F11" s="2"/>
      <c r="G11" s="2"/>
      <c r="H11" s="2"/>
      <c r="I11" s="1"/>
      <c r="J11" s="1"/>
    </row>
    <row r="12" spans="1:25" ht="23.25">
      <c r="B12" s="4"/>
      <c r="C12" s="10"/>
      <c r="D12" s="2"/>
      <c r="E12" s="220"/>
      <c r="F12" s="220"/>
      <c r="G12" s="220"/>
      <c r="H12" s="220"/>
      <c r="I12" s="220"/>
      <c r="J12" s="220"/>
    </row>
    <row r="13" spans="1:25">
      <c r="B13" s="4"/>
      <c r="C13" s="10"/>
      <c r="D13" s="2"/>
      <c r="E13" s="2"/>
      <c r="F13" s="2"/>
      <c r="G13" s="2"/>
      <c r="H13" s="2"/>
      <c r="I13" s="1"/>
      <c r="J13" s="1"/>
    </row>
    <row r="14" spans="1:25" ht="15.75">
      <c r="B14" s="8"/>
    </row>
    <row r="15" spans="1:25" ht="17.649999999999999" customHeight="1">
      <c r="A15" s="222" t="s">
        <v>151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</row>
    <row r="16" spans="1:25" ht="17.25">
      <c r="A16" s="15" t="s">
        <v>112</v>
      </c>
      <c r="B16" s="15" t="s">
        <v>113</v>
      </c>
      <c r="C16" s="127">
        <v>2000</v>
      </c>
      <c r="D16" s="127">
        <v>2001</v>
      </c>
      <c r="E16" s="127">
        <v>2002</v>
      </c>
      <c r="F16" s="127">
        <v>2003</v>
      </c>
      <c r="G16" s="127">
        <v>2004</v>
      </c>
      <c r="H16" s="127">
        <v>2005</v>
      </c>
      <c r="I16" s="127">
        <v>2006</v>
      </c>
      <c r="J16" s="127">
        <v>2007</v>
      </c>
      <c r="K16" s="127">
        <v>2008</v>
      </c>
      <c r="L16" s="127">
        <v>2009</v>
      </c>
      <c r="M16" s="127">
        <v>2010</v>
      </c>
      <c r="N16" s="127">
        <v>2011</v>
      </c>
      <c r="O16" s="127">
        <v>2012</v>
      </c>
      <c r="P16" s="127">
        <v>2013</v>
      </c>
      <c r="Q16" s="127">
        <v>2014</v>
      </c>
      <c r="R16" s="127">
        <v>2015</v>
      </c>
      <c r="S16" s="127">
        <v>2016</v>
      </c>
      <c r="T16" s="127">
        <v>2017</v>
      </c>
      <c r="U16" s="127">
        <v>2018</v>
      </c>
      <c r="V16" s="127">
        <v>2019</v>
      </c>
      <c r="W16" s="127">
        <v>2020</v>
      </c>
      <c r="X16" s="127">
        <v>2021</v>
      </c>
      <c r="Y16" s="127">
        <v>2022</v>
      </c>
    </row>
    <row r="17" spans="1:25" ht="18" thickBot="1">
      <c r="A17" s="80">
        <v>1</v>
      </c>
      <c r="B17" s="94" t="s">
        <v>122</v>
      </c>
      <c r="C17" s="93">
        <v>39388</v>
      </c>
      <c r="D17" s="93">
        <v>40853</v>
      </c>
      <c r="E17" s="93">
        <v>42982</v>
      </c>
      <c r="F17" s="93">
        <v>47523</v>
      </c>
      <c r="G17" s="93">
        <v>56534</v>
      </c>
      <c r="H17" s="93">
        <v>55735</v>
      </c>
      <c r="I17" s="93">
        <v>73635</v>
      </c>
      <c r="J17" s="93">
        <v>112511</v>
      </c>
      <c r="K17" s="93">
        <v>177363</v>
      </c>
      <c r="L17" s="93">
        <f>SUM(L18:L19)</f>
        <v>196005</v>
      </c>
      <c r="M17" s="93">
        <f>SUM(M18:M19)</f>
        <v>248025</v>
      </c>
      <c r="N17" s="93">
        <f>SUM(N18:N19)</f>
        <v>255110</v>
      </c>
      <c r="O17" s="93">
        <f>O18+O19</f>
        <v>267964.76043999998</v>
      </c>
      <c r="P17" s="93">
        <f>P18+P19</f>
        <v>319262.45611999999</v>
      </c>
      <c r="Q17" s="93">
        <f>Q18+Q19</f>
        <v>450753.03768000001</v>
      </c>
      <c r="R17" s="93">
        <f>R18+R19</f>
        <v>592769.29306000017</v>
      </c>
      <c r="S17" s="93">
        <f>+S18+S19</f>
        <v>640732.51043999975</v>
      </c>
      <c r="T17" s="93">
        <f>SUM(T18:T19)</f>
        <v>759543.04339999915</v>
      </c>
      <c r="U17" s="93">
        <f>SUM(U18:U19)</f>
        <v>748082.67436999956</v>
      </c>
      <c r="V17" s="93">
        <f>+SUM(V18:V19)</f>
        <v>693620.55342999997</v>
      </c>
      <c r="W17" s="93">
        <f>+SUM(W18:W19)</f>
        <v>794882.62886999967</v>
      </c>
      <c r="X17" s="93">
        <f>+SUM(X18:X19)</f>
        <v>764909.53108000034</v>
      </c>
      <c r="Y17" s="93">
        <f>+SUM(Y18:Y19)</f>
        <v>721176.68356999964</v>
      </c>
    </row>
    <row r="18" spans="1:25" ht="18.75" thickTop="1" thickBot="1">
      <c r="A18" s="85">
        <v>1.1000000000000001</v>
      </c>
      <c r="B18" s="95" t="s">
        <v>123</v>
      </c>
      <c r="C18" s="128">
        <v>0</v>
      </c>
      <c r="D18" s="128">
        <v>0</v>
      </c>
      <c r="E18" s="128">
        <v>0</v>
      </c>
      <c r="F18" s="128">
        <v>0</v>
      </c>
      <c r="G18" s="128">
        <v>0</v>
      </c>
      <c r="H18" s="128">
        <v>0</v>
      </c>
      <c r="I18" s="128">
        <v>2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3.3424999999999998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</row>
    <row r="19" spans="1:25" ht="18.75" thickTop="1" thickBot="1">
      <c r="A19" s="85">
        <v>1.2</v>
      </c>
      <c r="B19" s="95" t="s">
        <v>124</v>
      </c>
      <c r="C19" s="128">
        <v>39388</v>
      </c>
      <c r="D19" s="128">
        <v>40853</v>
      </c>
      <c r="E19" s="128">
        <v>42982</v>
      </c>
      <c r="F19" s="128">
        <v>47523</v>
      </c>
      <c r="G19" s="128">
        <v>56534</v>
      </c>
      <c r="H19" s="128">
        <v>55735</v>
      </c>
      <c r="I19" s="128">
        <v>73633</v>
      </c>
      <c r="J19" s="128">
        <v>112511</v>
      </c>
      <c r="K19" s="128">
        <v>177363</v>
      </c>
      <c r="L19" s="128">
        <f>SUM(L20:L21)</f>
        <v>196005</v>
      </c>
      <c r="M19" s="128">
        <f>SUM(M20:M21)</f>
        <v>248025</v>
      </c>
      <c r="N19" s="128">
        <f>SUM(N20:N21)</f>
        <v>255110</v>
      </c>
      <c r="O19" s="128">
        <f>O20+O21</f>
        <v>267961.41793999996</v>
      </c>
      <c r="P19" s="128">
        <f>P20+P21</f>
        <v>319262.45611999999</v>
      </c>
      <c r="Q19" s="128">
        <f>Q20+Q21</f>
        <v>450753.03768000001</v>
      </c>
      <c r="R19" s="128">
        <f>R20+R21</f>
        <v>592769.29306000017</v>
      </c>
      <c r="S19" s="128">
        <f>SUM(S20:S21)</f>
        <v>640732.51043999975</v>
      </c>
      <c r="T19" s="128">
        <f>SUM(T20:T21)</f>
        <v>759543.04339999915</v>
      </c>
      <c r="U19" s="128">
        <f>SUM(U20:U21)</f>
        <v>748082.67436999956</v>
      </c>
      <c r="V19" s="128">
        <f>+SUM(V20:V21)</f>
        <v>693620.55342999997</v>
      </c>
      <c r="W19" s="128">
        <f>+SUM(W20:W21)</f>
        <v>794882.62886999967</v>
      </c>
      <c r="X19" s="128">
        <f>+SUM(X20:X21)</f>
        <v>764909.53108000034</v>
      </c>
      <c r="Y19" s="128">
        <f>+SUM(Y20:Y21)</f>
        <v>721176.68356999964</v>
      </c>
    </row>
    <row r="20" spans="1:25" ht="18.75" thickTop="1" thickBot="1">
      <c r="A20" s="70" t="s">
        <v>6</v>
      </c>
      <c r="B20" s="96" t="s">
        <v>125</v>
      </c>
      <c r="C20" s="129">
        <v>0</v>
      </c>
      <c r="D20" s="129">
        <v>448</v>
      </c>
      <c r="E20" s="129">
        <v>0</v>
      </c>
      <c r="F20" s="129">
        <v>260</v>
      </c>
      <c r="G20" s="129">
        <v>1149</v>
      </c>
      <c r="H20" s="129">
        <v>109</v>
      </c>
      <c r="I20" s="129"/>
      <c r="J20" s="129">
        <v>235</v>
      </c>
      <c r="K20" s="129">
        <v>364</v>
      </c>
      <c r="L20" s="129">
        <v>201</v>
      </c>
      <c r="M20" s="129">
        <v>2295</v>
      </c>
      <c r="N20" s="129">
        <v>9956</v>
      </c>
      <c r="O20" s="129">
        <v>1604.2680600000001</v>
      </c>
      <c r="P20" s="129">
        <v>3123.02358</v>
      </c>
      <c r="Q20" s="129">
        <v>5708.6479900000004</v>
      </c>
      <c r="R20" s="129">
        <v>868.10996999999986</v>
      </c>
      <c r="S20" s="129">
        <v>4640</v>
      </c>
      <c r="T20" s="129">
        <v>87234.363080000039</v>
      </c>
      <c r="U20" s="129">
        <v>147843.69423999998</v>
      </c>
      <c r="V20" s="129">
        <v>88399.009710000042</v>
      </c>
      <c r="W20" s="129">
        <v>139245.30860999998</v>
      </c>
      <c r="X20" s="129">
        <v>207125.42218000005</v>
      </c>
      <c r="Y20" s="129">
        <v>126595.96585000004</v>
      </c>
    </row>
    <row r="21" spans="1:25" ht="18.75" thickTop="1" thickBot="1">
      <c r="A21" s="70" t="s">
        <v>7</v>
      </c>
      <c r="B21" s="96" t="s">
        <v>126</v>
      </c>
      <c r="C21" s="129">
        <v>39388</v>
      </c>
      <c r="D21" s="129">
        <v>40405</v>
      </c>
      <c r="E21" s="129">
        <v>42982</v>
      </c>
      <c r="F21" s="129">
        <v>47263</v>
      </c>
      <c r="G21" s="129">
        <v>55385</v>
      </c>
      <c r="H21" s="129">
        <v>55626</v>
      </c>
      <c r="I21" s="129">
        <v>73633</v>
      </c>
      <c r="J21" s="129">
        <v>112276</v>
      </c>
      <c r="K21" s="129">
        <v>176999</v>
      </c>
      <c r="L21" s="129">
        <v>195804</v>
      </c>
      <c r="M21" s="129">
        <v>245730</v>
      </c>
      <c r="N21" s="129">
        <v>245154</v>
      </c>
      <c r="O21" s="129">
        <v>266357.14987999998</v>
      </c>
      <c r="P21" s="129">
        <v>316139.43254000001</v>
      </c>
      <c r="Q21" s="129">
        <v>445044.38968999998</v>
      </c>
      <c r="R21" s="129">
        <v>591901.18309000018</v>
      </c>
      <c r="S21" s="129">
        <v>636092.51043999975</v>
      </c>
      <c r="T21" s="129">
        <v>672308.68031999911</v>
      </c>
      <c r="U21" s="129">
        <v>600238.98012999957</v>
      </c>
      <c r="V21" s="129">
        <v>605221.54371999996</v>
      </c>
      <c r="W21" s="129">
        <v>655637.32025999972</v>
      </c>
      <c r="X21" s="129">
        <v>557784.10890000034</v>
      </c>
      <c r="Y21" s="129">
        <v>594580.71771999961</v>
      </c>
    </row>
    <row r="22" spans="1:25" ht="18.75" thickTop="1" thickBot="1">
      <c r="A22" s="80" t="s">
        <v>59</v>
      </c>
      <c r="B22" s="94" t="s">
        <v>228</v>
      </c>
      <c r="C22" s="93">
        <v>0</v>
      </c>
      <c r="D22" s="93">
        <v>0</v>
      </c>
      <c r="E22" s="93">
        <v>0</v>
      </c>
      <c r="F22" s="93">
        <v>0</v>
      </c>
      <c r="G22" s="93">
        <v>3</v>
      </c>
      <c r="H22" s="93">
        <v>7</v>
      </c>
      <c r="I22" s="93">
        <v>5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0</v>
      </c>
      <c r="W22" s="93">
        <v>0</v>
      </c>
      <c r="X22" s="93">
        <v>0</v>
      </c>
      <c r="Y22" s="93">
        <v>0</v>
      </c>
    </row>
    <row r="23" spans="1:25" ht="18.75" thickTop="1" thickBot="1">
      <c r="A23" s="80" t="s">
        <v>96</v>
      </c>
      <c r="B23" s="94" t="s">
        <v>229</v>
      </c>
      <c r="C23" s="93">
        <f t="shared" ref="C23:R23" si="0">SUM(C24:C25)</f>
        <v>426</v>
      </c>
      <c r="D23" s="93">
        <f t="shared" si="0"/>
        <v>667</v>
      </c>
      <c r="E23" s="93">
        <f t="shared" si="0"/>
        <v>667</v>
      </c>
      <c r="F23" s="93">
        <f t="shared" si="0"/>
        <v>10873</v>
      </c>
      <c r="G23" s="93">
        <f t="shared" si="0"/>
        <v>32708</v>
      </c>
      <c r="H23" s="93">
        <f t="shared" si="0"/>
        <v>62290</v>
      </c>
      <c r="I23" s="93">
        <f t="shared" si="0"/>
        <v>69275</v>
      </c>
      <c r="J23" s="93">
        <f t="shared" si="0"/>
        <v>65397</v>
      </c>
      <c r="K23" s="93">
        <f t="shared" si="0"/>
        <v>165855</v>
      </c>
      <c r="L23" s="93">
        <f t="shared" si="0"/>
        <v>79710</v>
      </c>
      <c r="M23" s="93">
        <f t="shared" si="0"/>
        <v>130379</v>
      </c>
      <c r="N23" s="93">
        <f t="shared" si="0"/>
        <v>159026</v>
      </c>
      <c r="O23" s="93">
        <f t="shared" si="0"/>
        <v>73302</v>
      </c>
      <c r="P23" s="93">
        <f t="shared" si="0"/>
        <v>82060</v>
      </c>
      <c r="Q23" s="93">
        <f t="shared" si="0"/>
        <v>69251</v>
      </c>
      <c r="R23" s="93">
        <f t="shared" si="0"/>
        <v>64596.165129999979</v>
      </c>
      <c r="S23" s="93">
        <f>SUM(S24:S25)</f>
        <v>85270.805520000024</v>
      </c>
      <c r="T23" s="93">
        <f>SUM(T24:T25)</f>
        <v>73020.814040000041</v>
      </c>
      <c r="U23" s="93">
        <f>SUM(U24:U25)</f>
        <v>105389.34122</v>
      </c>
      <c r="V23" s="93">
        <f>+SUM(V24:V25)</f>
        <v>108972.82171000003</v>
      </c>
      <c r="W23" s="93">
        <f>+SUM(W24:W25)</f>
        <v>26887.951650000003</v>
      </c>
      <c r="X23" s="93">
        <f>+SUM(X24:X25)</f>
        <v>80858.094509999995</v>
      </c>
      <c r="Y23" s="93">
        <f>+SUM(Y24:Y25)</f>
        <v>120169.68204999999</v>
      </c>
    </row>
    <row r="24" spans="1:25" ht="18.75" thickTop="1" thickBot="1">
      <c r="A24" s="85" t="s">
        <v>97</v>
      </c>
      <c r="B24" s="95" t="s">
        <v>230</v>
      </c>
      <c r="C24" s="128">
        <v>426</v>
      </c>
      <c r="D24" s="128">
        <v>667</v>
      </c>
      <c r="E24" s="128">
        <v>667</v>
      </c>
      <c r="F24" s="128">
        <v>10865</v>
      </c>
      <c r="G24" s="128">
        <v>32694</v>
      </c>
      <c r="H24" s="128">
        <v>62286</v>
      </c>
      <c r="I24" s="128">
        <v>69015</v>
      </c>
      <c r="J24" s="128">
        <v>65394</v>
      </c>
      <c r="K24" s="128">
        <v>165848</v>
      </c>
      <c r="L24" s="128">
        <v>79696</v>
      </c>
      <c r="M24" s="128">
        <v>130234</v>
      </c>
      <c r="N24" s="128">
        <v>158239</v>
      </c>
      <c r="O24" s="128">
        <v>73302</v>
      </c>
      <c r="P24" s="128">
        <v>82060</v>
      </c>
      <c r="Q24" s="128">
        <v>68707</v>
      </c>
      <c r="R24" s="128">
        <v>64376.165129999979</v>
      </c>
      <c r="S24" s="128">
        <v>85270.805520000024</v>
      </c>
      <c r="T24" s="128">
        <v>73020.814040000041</v>
      </c>
      <c r="U24" s="128">
        <v>105377.86428000001</v>
      </c>
      <c r="V24" s="128">
        <v>108958.80973000004</v>
      </c>
      <c r="W24" s="128">
        <v>26887.544680000003</v>
      </c>
      <c r="X24" s="128">
        <v>80839.981619999991</v>
      </c>
      <c r="Y24" s="128">
        <v>120169.68204999999</v>
      </c>
    </row>
    <row r="25" spans="1:25" ht="18.75" thickTop="1" thickBot="1">
      <c r="A25" s="85" t="s">
        <v>98</v>
      </c>
      <c r="B25" s="95" t="s">
        <v>265</v>
      </c>
      <c r="C25" s="128">
        <v>0</v>
      </c>
      <c r="D25" s="128">
        <v>0</v>
      </c>
      <c r="E25" s="128">
        <v>0</v>
      </c>
      <c r="F25" s="128">
        <v>8</v>
      </c>
      <c r="G25" s="128">
        <v>14</v>
      </c>
      <c r="H25" s="128">
        <v>4</v>
      </c>
      <c r="I25" s="128">
        <v>260</v>
      </c>
      <c r="J25" s="128">
        <v>3</v>
      </c>
      <c r="K25" s="128">
        <v>7</v>
      </c>
      <c r="L25" s="128">
        <v>14</v>
      </c>
      <c r="M25" s="128">
        <v>145</v>
      </c>
      <c r="N25" s="128">
        <v>787</v>
      </c>
      <c r="O25" s="128">
        <v>0</v>
      </c>
      <c r="P25" s="128">
        <v>0</v>
      </c>
      <c r="Q25" s="128">
        <v>544</v>
      </c>
      <c r="R25" s="128">
        <v>220</v>
      </c>
      <c r="S25" s="128">
        <v>0</v>
      </c>
      <c r="T25" s="128">
        <v>0</v>
      </c>
      <c r="U25" s="128">
        <v>11.476940000000001</v>
      </c>
      <c r="V25" s="128">
        <v>14.011979999999999</v>
      </c>
      <c r="W25" s="128">
        <v>0.40697000000000005</v>
      </c>
      <c r="X25" s="128">
        <v>18.11289</v>
      </c>
      <c r="Y25" s="197">
        <v>0</v>
      </c>
    </row>
    <row r="26" spans="1:25" ht="18.75" thickTop="1" thickBot="1">
      <c r="A26" s="80" t="s">
        <v>99</v>
      </c>
      <c r="B26" s="94" t="s">
        <v>264</v>
      </c>
      <c r="C26" s="93" t="s">
        <v>55</v>
      </c>
      <c r="D26" s="93" t="s">
        <v>55</v>
      </c>
      <c r="E26" s="93" t="s">
        <v>55</v>
      </c>
      <c r="F26" s="93" t="s">
        <v>55</v>
      </c>
      <c r="G26" s="93" t="s">
        <v>55</v>
      </c>
      <c r="H26" s="93" t="s">
        <v>55</v>
      </c>
      <c r="I26" s="93" t="s">
        <v>55</v>
      </c>
      <c r="J26" s="93" t="s">
        <v>55</v>
      </c>
      <c r="K26" s="93" t="s">
        <v>55</v>
      </c>
      <c r="L26" s="93" t="s">
        <v>55</v>
      </c>
      <c r="M26" s="93" t="s">
        <v>55</v>
      </c>
      <c r="N26" s="93" t="s">
        <v>55</v>
      </c>
      <c r="O26" s="93">
        <v>230.738</v>
      </c>
      <c r="P26" s="93">
        <v>575.41999999999996</v>
      </c>
      <c r="Q26" s="93">
        <v>258.59699999999998</v>
      </c>
      <c r="R26" s="93">
        <v>294.98570000000001</v>
      </c>
      <c r="S26" s="93">
        <v>65.805499999999995</v>
      </c>
      <c r="T26" s="93">
        <v>91.798919999999981</v>
      </c>
      <c r="U26" s="93">
        <v>0</v>
      </c>
      <c r="V26" s="93">
        <v>0</v>
      </c>
      <c r="W26" s="93">
        <v>0</v>
      </c>
      <c r="X26" s="93">
        <v>0</v>
      </c>
      <c r="Y26" s="93">
        <v>0</v>
      </c>
    </row>
    <row r="27" spans="1:25" ht="18.75" thickTop="1" thickBot="1">
      <c r="A27" s="80">
        <v>5</v>
      </c>
      <c r="B27" s="94" t="s">
        <v>117</v>
      </c>
      <c r="C27" s="93">
        <v>7793</v>
      </c>
      <c r="D27" s="93">
        <v>7011</v>
      </c>
      <c r="E27" s="93">
        <v>8759</v>
      </c>
      <c r="F27" s="93">
        <v>12793</v>
      </c>
      <c r="G27" s="93">
        <v>18137</v>
      </c>
      <c r="H27" s="93">
        <v>22734</v>
      </c>
      <c r="I27" s="93">
        <v>25579</v>
      </c>
      <c r="J27" s="93">
        <v>30648</v>
      </c>
      <c r="K27" s="93">
        <v>29446</v>
      </c>
      <c r="L27" s="93">
        <f>SUM(L28:L29)</f>
        <v>25450</v>
      </c>
      <c r="M27" s="93">
        <f>SUM(M28:M29)</f>
        <v>38500</v>
      </c>
      <c r="N27" s="93">
        <f>SUM(N28:N29)</f>
        <v>49912</v>
      </c>
      <c r="O27" s="93">
        <f>O28+O29</f>
        <v>49849.714240000001</v>
      </c>
      <c r="P27" s="93">
        <f>P28+P29</f>
        <v>63406.495999999999</v>
      </c>
      <c r="Q27" s="93">
        <f>SUM(Q28:Q29)</f>
        <v>76173</v>
      </c>
      <c r="R27" s="93">
        <f>R28+R29</f>
        <v>67526.119759999943</v>
      </c>
      <c r="S27" s="93">
        <v>67450.714569999953</v>
      </c>
      <c r="T27" s="93">
        <f>SUM(T28:T29)</f>
        <v>93031</v>
      </c>
      <c r="U27" s="93">
        <f>SUM(U28:U29)</f>
        <v>115454.60897000006</v>
      </c>
      <c r="V27" s="93">
        <f>+SUM(V28:V29)</f>
        <v>97337.109619999974</v>
      </c>
      <c r="W27" s="93">
        <f>+SUM(W28:W29)</f>
        <v>107266.82473999998</v>
      </c>
      <c r="X27" s="93">
        <f>+SUM(X28:X29)</f>
        <v>159748.59484000003</v>
      </c>
      <c r="Y27" s="93">
        <f>+SUM(Y28:Y29)</f>
        <v>183572.58491999999</v>
      </c>
    </row>
    <row r="28" spans="1:25" ht="18.75" thickTop="1" thickBot="1">
      <c r="A28" s="70" t="s">
        <v>56</v>
      </c>
      <c r="B28" s="96" t="s">
        <v>125</v>
      </c>
      <c r="C28" s="129">
        <v>5565</v>
      </c>
      <c r="D28" s="129">
        <v>5173</v>
      </c>
      <c r="E28" s="129">
        <v>1031</v>
      </c>
      <c r="F28" s="129">
        <v>6688</v>
      </c>
      <c r="G28" s="129">
        <v>8530</v>
      </c>
      <c r="H28" s="129">
        <v>7907</v>
      </c>
      <c r="I28" s="129">
        <v>10058</v>
      </c>
      <c r="J28" s="129">
        <v>10969</v>
      </c>
      <c r="K28" s="129">
        <v>10567</v>
      </c>
      <c r="L28" s="129">
        <v>9843</v>
      </c>
      <c r="M28" s="129">
        <v>16740</v>
      </c>
      <c r="N28" s="129">
        <v>17320</v>
      </c>
      <c r="O28" s="129">
        <v>18051.190009999998</v>
      </c>
      <c r="P28" s="129">
        <v>24570.11</v>
      </c>
      <c r="Q28" s="129">
        <v>25263</v>
      </c>
      <c r="R28" s="129">
        <v>25253.56633999999</v>
      </c>
      <c r="S28" s="129">
        <v>28989.731909999991</v>
      </c>
      <c r="T28" s="129">
        <v>46454</v>
      </c>
      <c r="U28" s="129">
        <v>62466.714560000088</v>
      </c>
      <c r="V28" s="129">
        <v>51478.051329999995</v>
      </c>
      <c r="W28" s="129">
        <v>62218.844070000006</v>
      </c>
      <c r="X28" s="129">
        <v>93552.528539999912</v>
      </c>
      <c r="Y28" s="129">
        <v>102646.27058999996</v>
      </c>
    </row>
    <row r="29" spans="1:25" ht="18.75" thickTop="1" thickBot="1">
      <c r="A29" s="70" t="s">
        <v>57</v>
      </c>
      <c r="B29" s="96" t="s">
        <v>126</v>
      </c>
      <c r="C29" s="129">
        <v>2228</v>
      </c>
      <c r="D29" s="129">
        <v>1838</v>
      </c>
      <c r="E29" s="129">
        <v>7728</v>
      </c>
      <c r="F29" s="129">
        <v>6105</v>
      </c>
      <c r="G29" s="129">
        <v>9607</v>
      </c>
      <c r="H29" s="129">
        <v>14827</v>
      </c>
      <c r="I29" s="129">
        <v>15521</v>
      </c>
      <c r="J29" s="129">
        <v>19679</v>
      </c>
      <c r="K29" s="129">
        <v>18879</v>
      </c>
      <c r="L29" s="129">
        <v>15607</v>
      </c>
      <c r="M29" s="129">
        <v>21760</v>
      </c>
      <c r="N29" s="129">
        <v>32592</v>
      </c>
      <c r="O29" s="129">
        <v>31798.524229999999</v>
      </c>
      <c r="P29" s="129">
        <v>38836.385999999999</v>
      </c>
      <c r="Q29" s="129">
        <v>50910</v>
      </c>
      <c r="R29" s="129">
        <v>42272.553419999953</v>
      </c>
      <c r="S29" s="129">
        <v>38460.982659999958</v>
      </c>
      <c r="T29" s="129">
        <v>46577</v>
      </c>
      <c r="U29" s="129">
        <v>52987.894409999979</v>
      </c>
      <c r="V29" s="129">
        <v>45859.058289999979</v>
      </c>
      <c r="W29" s="129">
        <v>45047.980669999975</v>
      </c>
      <c r="X29" s="129">
        <v>66196.066300000108</v>
      </c>
      <c r="Y29" s="129">
        <v>80926.314330000037</v>
      </c>
    </row>
    <row r="30" spans="1:25" ht="18.75" thickTop="1" thickBot="1">
      <c r="A30" s="80">
        <v>6</v>
      </c>
      <c r="B30" s="94" t="s">
        <v>263</v>
      </c>
      <c r="C30" s="93">
        <v>0</v>
      </c>
      <c r="D30" s="93">
        <v>0</v>
      </c>
      <c r="E30" s="93">
        <v>9</v>
      </c>
      <c r="F30" s="93">
        <v>4</v>
      </c>
      <c r="G30" s="93">
        <v>10</v>
      </c>
      <c r="H30" s="93">
        <v>559</v>
      </c>
      <c r="I30" s="93">
        <v>14623</v>
      </c>
      <c r="J30" s="93">
        <v>33610</v>
      </c>
      <c r="K30" s="93">
        <v>47563</v>
      </c>
      <c r="L30" s="93">
        <f>SUM(L31+L34+L35+L37)</f>
        <v>31895</v>
      </c>
      <c r="M30" s="93">
        <f>SUM(M31+M34+M35+M37)</f>
        <v>53490</v>
      </c>
      <c r="N30" s="93">
        <f>SUM(N31+N34+N35+N37)</f>
        <v>53493</v>
      </c>
      <c r="O30" s="93">
        <f>O31+O34+O35+O37</f>
        <v>72462.708769999997</v>
      </c>
      <c r="P30" s="93">
        <f>P31+P34+P35+P37</f>
        <v>84892.809439999997</v>
      </c>
      <c r="Q30" s="93">
        <f>Q31+Q34+Q35+Q37</f>
        <v>74476.200330000094</v>
      </c>
      <c r="R30" s="93">
        <f>R31+R34+R35+R37</f>
        <v>62565.051059999954</v>
      </c>
      <c r="S30" s="93">
        <f>S31+S34+S35+S37</f>
        <v>43013.765979999982</v>
      </c>
      <c r="T30" s="93">
        <f>+T31+T34+T35+T37</f>
        <v>63676.238750000019</v>
      </c>
      <c r="U30" s="93">
        <v>76312.837689999869</v>
      </c>
      <c r="V30" s="93">
        <f>+V31+V34+V35+V37</f>
        <v>55497.840189999944</v>
      </c>
      <c r="W30" s="93">
        <f>+W31+W34+W35+W37</f>
        <v>70518.901930000022</v>
      </c>
      <c r="X30" s="93">
        <f>+X31+X34+X35+X37</f>
        <v>106035.66760000002</v>
      </c>
      <c r="Y30" s="93">
        <f>+Y31+Y34+Y35+Y37</f>
        <v>104103.17702</v>
      </c>
    </row>
    <row r="31" spans="1:25" ht="18.75" thickTop="1" thickBot="1">
      <c r="A31" s="85">
        <v>6.1</v>
      </c>
      <c r="B31" s="95" t="s">
        <v>217</v>
      </c>
      <c r="C31" s="128">
        <v>0</v>
      </c>
      <c r="D31" s="128">
        <v>0</v>
      </c>
      <c r="E31" s="128">
        <v>3</v>
      </c>
      <c r="F31" s="128">
        <v>0</v>
      </c>
      <c r="G31" s="128">
        <v>0</v>
      </c>
      <c r="H31" s="128">
        <v>0</v>
      </c>
      <c r="I31" s="128">
        <v>9</v>
      </c>
      <c r="J31" s="128">
        <v>32</v>
      </c>
      <c r="K31" s="128">
        <v>16</v>
      </c>
      <c r="L31" s="128">
        <v>0</v>
      </c>
      <c r="M31" s="128">
        <f>SUM(M32:M33)</f>
        <v>18</v>
      </c>
      <c r="N31" s="128">
        <v>231</v>
      </c>
      <c r="O31" s="128">
        <f>SUM(O32:O33)</f>
        <v>0</v>
      </c>
      <c r="P31" s="128">
        <f>SUM(P32:P33)</f>
        <v>7.7830000000000004</v>
      </c>
      <c r="Q31" s="128">
        <f>SUM(Q32:Q33)</f>
        <v>16.73902</v>
      </c>
      <c r="R31" s="128">
        <f>R32+R33</f>
        <v>7.3635799999999998</v>
      </c>
      <c r="S31" s="128">
        <v>0</v>
      </c>
      <c r="T31" s="128">
        <v>0</v>
      </c>
      <c r="U31" s="128">
        <v>0</v>
      </c>
      <c r="V31" s="128">
        <v>0</v>
      </c>
      <c r="W31" s="128">
        <f>W32+W33</f>
        <v>11.24352</v>
      </c>
      <c r="X31" s="128">
        <f>X32+X33</f>
        <v>75.641459999999995</v>
      </c>
      <c r="Y31" s="128">
        <f>Y32+Y33</f>
        <v>2171.9015000000004</v>
      </c>
    </row>
    <row r="32" spans="1:25" ht="18.75" thickTop="1" thickBot="1">
      <c r="A32" s="70" t="s">
        <v>20</v>
      </c>
      <c r="B32" s="96" t="s">
        <v>125</v>
      </c>
      <c r="C32" s="129">
        <v>0</v>
      </c>
      <c r="D32" s="129">
        <v>0</v>
      </c>
      <c r="E32" s="129">
        <v>3</v>
      </c>
      <c r="F32" s="129">
        <v>0</v>
      </c>
      <c r="G32" s="129">
        <v>0</v>
      </c>
      <c r="H32" s="129">
        <v>0</v>
      </c>
      <c r="I32" s="129">
        <v>0</v>
      </c>
      <c r="J32" s="129">
        <v>18</v>
      </c>
      <c r="K32" s="129">
        <v>15</v>
      </c>
      <c r="L32" s="129">
        <v>0</v>
      </c>
      <c r="M32" s="129">
        <v>1</v>
      </c>
      <c r="N32" s="129">
        <v>1</v>
      </c>
      <c r="O32" s="129">
        <v>0</v>
      </c>
      <c r="P32" s="129">
        <v>0</v>
      </c>
      <c r="Q32" s="129">
        <v>0</v>
      </c>
      <c r="R32" s="129">
        <v>0</v>
      </c>
      <c r="S32" s="129">
        <v>0</v>
      </c>
      <c r="T32" s="129">
        <v>0</v>
      </c>
      <c r="U32" s="129">
        <v>0</v>
      </c>
      <c r="V32" s="129">
        <v>0</v>
      </c>
      <c r="W32" s="129">
        <v>0</v>
      </c>
      <c r="X32" s="129">
        <v>0</v>
      </c>
      <c r="Y32" s="129">
        <v>0</v>
      </c>
    </row>
    <row r="33" spans="1:25" ht="18.75" thickTop="1" thickBot="1">
      <c r="A33" s="70" t="s">
        <v>21</v>
      </c>
      <c r="B33" s="96" t="s">
        <v>126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9</v>
      </c>
      <c r="J33" s="129">
        <v>14</v>
      </c>
      <c r="K33" s="129">
        <v>1</v>
      </c>
      <c r="L33" s="129">
        <v>0</v>
      </c>
      <c r="M33" s="129">
        <v>17</v>
      </c>
      <c r="N33" s="129">
        <v>230</v>
      </c>
      <c r="O33" s="129">
        <v>0</v>
      </c>
      <c r="P33" s="129">
        <v>7.7830000000000004</v>
      </c>
      <c r="Q33" s="129">
        <v>16.73902</v>
      </c>
      <c r="R33" s="129">
        <v>7.3635799999999998</v>
      </c>
      <c r="S33" s="129">
        <v>0</v>
      </c>
      <c r="T33" s="129">
        <v>0</v>
      </c>
      <c r="U33" s="129">
        <v>0</v>
      </c>
      <c r="V33" s="129">
        <v>0</v>
      </c>
      <c r="W33" s="129">
        <v>11.24352</v>
      </c>
      <c r="X33" s="129">
        <v>75.641459999999995</v>
      </c>
      <c r="Y33" s="129">
        <v>2171.9015000000004</v>
      </c>
    </row>
    <row r="34" spans="1:25" ht="18.75" thickTop="1" thickBot="1">
      <c r="A34" s="85">
        <v>6.2</v>
      </c>
      <c r="B34" s="95" t="s">
        <v>128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555</v>
      </c>
      <c r="I34" s="128">
        <v>13940</v>
      </c>
      <c r="J34" s="128">
        <v>33516</v>
      </c>
      <c r="K34" s="128">
        <v>47541</v>
      </c>
      <c r="L34" s="128">
        <v>30242</v>
      </c>
      <c r="M34" s="128">
        <v>40394</v>
      </c>
      <c r="N34" s="128">
        <v>44127</v>
      </c>
      <c r="O34" s="128">
        <v>65246.344730000004</v>
      </c>
      <c r="P34" s="128">
        <v>74439.038159999996</v>
      </c>
      <c r="Q34" s="128">
        <v>67795.271480000098</v>
      </c>
      <c r="R34" s="128">
        <v>62164.486289999957</v>
      </c>
      <c r="S34" s="128">
        <v>42944.87448999998</v>
      </c>
      <c r="T34" s="128">
        <v>63669.317450000017</v>
      </c>
      <c r="U34" s="128">
        <v>76312.837689999869</v>
      </c>
      <c r="V34" s="128">
        <v>55497.840189999944</v>
      </c>
      <c r="W34" s="128">
        <v>70507.658410000018</v>
      </c>
      <c r="X34" s="128">
        <v>105948.55727000002</v>
      </c>
      <c r="Y34" s="128">
        <v>101931.27552</v>
      </c>
    </row>
    <row r="35" spans="1:25" ht="29.25" customHeight="1" thickTop="1" thickBot="1">
      <c r="A35" s="85">
        <v>6.3</v>
      </c>
      <c r="B35" s="95" t="s">
        <v>231</v>
      </c>
      <c r="C35" s="125">
        <v>0</v>
      </c>
      <c r="D35" s="128">
        <v>0</v>
      </c>
      <c r="E35" s="125">
        <v>6</v>
      </c>
      <c r="F35" s="128">
        <v>4</v>
      </c>
      <c r="G35" s="125">
        <v>10</v>
      </c>
      <c r="H35" s="128">
        <v>4</v>
      </c>
      <c r="I35" s="125">
        <v>671</v>
      </c>
      <c r="J35" s="128">
        <v>62</v>
      </c>
      <c r="K35" s="125">
        <v>4</v>
      </c>
      <c r="L35" s="128">
        <v>4</v>
      </c>
      <c r="M35" s="125">
        <v>0</v>
      </c>
      <c r="N35" s="128">
        <v>51</v>
      </c>
      <c r="O35" s="125">
        <f>O36</f>
        <v>17.931000000000001</v>
      </c>
      <c r="P35" s="128">
        <f>P36</f>
        <v>0</v>
      </c>
      <c r="Q35" s="125">
        <f>Q36</f>
        <v>0</v>
      </c>
      <c r="R35" s="128">
        <f>R36</f>
        <v>0</v>
      </c>
      <c r="S35" s="125">
        <v>0</v>
      </c>
      <c r="T35" s="125">
        <v>0</v>
      </c>
      <c r="U35" s="125">
        <v>0</v>
      </c>
      <c r="V35" s="125">
        <v>0</v>
      </c>
      <c r="W35" s="125">
        <v>0</v>
      </c>
      <c r="X35" s="125">
        <v>0</v>
      </c>
      <c r="Y35" s="125">
        <v>0</v>
      </c>
    </row>
    <row r="36" spans="1:25" ht="18.75" thickTop="1" thickBot="1">
      <c r="A36" s="70" t="s">
        <v>24</v>
      </c>
      <c r="B36" s="96" t="s">
        <v>193</v>
      </c>
      <c r="C36" s="126">
        <v>0</v>
      </c>
      <c r="D36" s="129">
        <v>0</v>
      </c>
      <c r="E36" s="126">
        <v>0</v>
      </c>
      <c r="F36" s="129">
        <v>0</v>
      </c>
      <c r="G36" s="126">
        <v>0</v>
      </c>
      <c r="H36" s="129">
        <v>0</v>
      </c>
      <c r="I36" s="126">
        <v>0</v>
      </c>
      <c r="J36" s="129">
        <v>0</v>
      </c>
      <c r="K36" s="126">
        <v>0</v>
      </c>
      <c r="L36" s="129">
        <v>0</v>
      </c>
      <c r="M36" s="126">
        <v>0</v>
      </c>
      <c r="N36" s="129">
        <v>0</v>
      </c>
      <c r="O36" s="126">
        <v>17.931000000000001</v>
      </c>
      <c r="P36" s="129">
        <v>0</v>
      </c>
      <c r="Q36" s="126">
        <v>0</v>
      </c>
      <c r="R36" s="129">
        <v>0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26">
        <v>0</v>
      </c>
    </row>
    <row r="37" spans="1:25" ht="18.75" thickTop="1" thickBot="1">
      <c r="A37" s="85">
        <v>6.4</v>
      </c>
      <c r="B37" s="95" t="s">
        <v>129</v>
      </c>
      <c r="C37" s="125">
        <v>0</v>
      </c>
      <c r="D37" s="128">
        <v>21</v>
      </c>
      <c r="E37" s="125">
        <v>0</v>
      </c>
      <c r="F37" s="128">
        <v>0</v>
      </c>
      <c r="G37" s="125">
        <v>0</v>
      </c>
      <c r="H37" s="128">
        <v>0</v>
      </c>
      <c r="I37" s="125">
        <v>3</v>
      </c>
      <c r="J37" s="128">
        <v>0</v>
      </c>
      <c r="K37" s="125">
        <v>2</v>
      </c>
      <c r="L37" s="128">
        <f>SUM(L38:L40)</f>
        <v>1649</v>
      </c>
      <c r="M37" s="125">
        <f>SUM(M38:M40)</f>
        <v>13078</v>
      </c>
      <c r="N37" s="128">
        <f>SUM(N38:N40)</f>
        <v>9084</v>
      </c>
      <c r="O37" s="125">
        <f>O38+O39+O40</f>
        <v>7198.4330399999999</v>
      </c>
      <c r="P37" s="128">
        <f>P38+P39+P40</f>
        <v>10445.98828</v>
      </c>
      <c r="Q37" s="125">
        <f>SUM(Q38:Q40)</f>
        <v>6664.1898300000021</v>
      </c>
      <c r="R37" s="128">
        <f>SUM(R38:R40)</f>
        <v>393.20118999999988</v>
      </c>
      <c r="S37" s="125">
        <v>68.891490000000005</v>
      </c>
      <c r="T37" s="125">
        <f t="shared" ref="T37:Y37" si="1">SUM(T38:T40)</f>
        <v>6.9213000000000031</v>
      </c>
      <c r="U37" s="125">
        <f t="shared" si="1"/>
        <v>1.1798700000000002</v>
      </c>
      <c r="V37" s="104">
        <f t="shared" si="1"/>
        <v>0</v>
      </c>
      <c r="W37" s="104">
        <f t="shared" si="1"/>
        <v>0</v>
      </c>
      <c r="X37" s="104">
        <f t="shared" si="1"/>
        <v>11.468870000000001</v>
      </c>
      <c r="Y37" s="104">
        <f t="shared" si="1"/>
        <v>0</v>
      </c>
    </row>
    <row r="38" spans="1:25" ht="18.75" thickTop="1" thickBot="1">
      <c r="A38" s="70" t="s">
        <v>25</v>
      </c>
      <c r="B38" s="96" t="s">
        <v>248</v>
      </c>
      <c r="C38" s="126">
        <v>0</v>
      </c>
      <c r="D38" s="129">
        <v>0</v>
      </c>
      <c r="E38" s="126">
        <v>0</v>
      </c>
      <c r="F38" s="129">
        <v>0</v>
      </c>
      <c r="G38" s="126">
        <v>0</v>
      </c>
      <c r="H38" s="129">
        <v>0</v>
      </c>
      <c r="I38" s="126">
        <v>3</v>
      </c>
      <c r="J38" s="129">
        <v>0</v>
      </c>
      <c r="K38" s="126">
        <v>0</v>
      </c>
      <c r="L38" s="129">
        <v>0</v>
      </c>
      <c r="M38" s="126">
        <v>0</v>
      </c>
      <c r="N38" s="129">
        <v>0</v>
      </c>
      <c r="O38" s="126">
        <v>0</v>
      </c>
      <c r="P38" s="129">
        <v>0</v>
      </c>
      <c r="Q38" s="126">
        <v>0</v>
      </c>
      <c r="R38" s="129">
        <v>0</v>
      </c>
      <c r="S38" s="126">
        <v>0</v>
      </c>
      <c r="T38" s="126">
        <v>0</v>
      </c>
      <c r="U38" s="126">
        <v>0</v>
      </c>
      <c r="V38" s="76">
        <v>0</v>
      </c>
      <c r="W38" s="76">
        <v>0</v>
      </c>
      <c r="X38" s="76">
        <v>0</v>
      </c>
      <c r="Y38" s="76">
        <v>0</v>
      </c>
    </row>
    <row r="39" spans="1:25" ht="18.75" thickTop="1" thickBot="1">
      <c r="A39" s="70" t="s">
        <v>26</v>
      </c>
      <c r="B39" s="96" t="s">
        <v>249</v>
      </c>
      <c r="C39" s="126">
        <v>0</v>
      </c>
      <c r="D39" s="129">
        <v>0</v>
      </c>
      <c r="E39" s="126">
        <v>0</v>
      </c>
      <c r="F39" s="129">
        <v>0</v>
      </c>
      <c r="G39" s="126">
        <v>0</v>
      </c>
      <c r="H39" s="129">
        <v>0</v>
      </c>
      <c r="I39" s="126">
        <v>0</v>
      </c>
      <c r="J39" s="129">
        <v>0</v>
      </c>
      <c r="K39" s="126">
        <v>2</v>
      </c>
      <c r="L39" s="129">
        <v>1649</v>
      </c>
      <c r="M39" s="126">
        <v>13078</v>
      </c>
      <c r="N39" s="129">
        <v>9084</v>
      </c>
      <c r="O39" s="126">
        <v>5921.9088099999999</v>
      </c>
      <c r="P39" s="129">
        <v>10445.98828</v>
      </c>
      <c r="Q39" s="126">
        <v>6664.1898300000021</v>
      </c>
      <c r="R39" s="129">
        <v>393.20118999999988</v>
      </c>
      <c r="S39" s="126">
        <v>68.891490000000005</v>
      </c>
      <c r="T39" s="126">
        <v>6.9213000000000031</v>
      </c>
      <c r="U39" s="126">
        <v>1.1798700000000002</v>
      </c>
      <c r="V39" s="76">
        <v>0</v>
      </c>
      <c r="W39" s="76">
        <v>0</v>
      </c>
      <c r="X39" s="76">
        <v>0</v>
      </c>
      <c r="Y39" s="76">
        <v>0</v>
      </c>
    </row>
    <row r="40" spans="1:25" ht="18.75" thickTop="1" thickBot="1">
      <c r="A40" s="70" t="s">
        <v>27</v>
      </c>
      <c r="B40" s="96" t="s">
        <v>250</v>
      </c>
      <c r="C40" s="126">
        <v>0</v>
      </c>
      <c r="D40" s="129">
        <v>0</v>
      </c>
      <c r="E40" s="126">
        <v>0</v>
      </c>
      <c r="F40" s="129">
        <v>0</v>
      </c>
      <c r="G40" s="126">
        <v>0</v>
      </c>
      <c r="H40" s="129">
        <v>0</v>
      </c>
      <c r="I40" s="126">
        <v>0</v>
      </c>
      <c r="J40" s="129">
        <v>0</v>
      </c>
      <c r="K40" s="126">
        <v>0</v>
      </c>
      <c r="L40" s="129">
        <v>0</v>
      </c>
      <c r="M40" s="126">
        <v>0</v>
      </c>
      <c r="N40" s="129">
        <v>0</v>
      </c>
      <c r="O40" s="126">
        <v>1276.52423</v>
      </c>
      <c r="P40" s="129">
        <v>0</v>
      </c>
      <c r="Q40" s="126">
        <v>0</v>
      </c>
      <c r="R40" s="129">
        <v>0</v>
      </c>
      <c r="S40" s="126">
        <v>0</v>
      </c>
      <c r="T40" s="126">
        <v>0</v>
      </c>
      <c r="U40" s="126">
        <v>0</v>
      </c>
      <c r="V40" s="76">
        <v>0</v>
      </c>
      <c r="W40" s="76">
        <v>0</v>
      </c>
      <c r="X40" s="76">
        <v>11.468870000000001</v>
      </c>
      <c r="Y40" s="76">
        <v>0</v>
      </c>
    </row>
    <row r="41" spans="1:25" ht="18.75" thickTop="1" thickBot="1">
      <c r="A41" s="80">
        <v>7</v>
      </c>
      <c r="B41" s="94" t="s">
        <v>118</v>
      </c>
      <c r="C41" s="93">
        <v>19</v>
      </c>
      <c r="D41" s="93">
        <v>708</v>
      </c>
      <c r="E41" s="93">
        <v>0</v>
      </c>
      <c r="F41" s="93">
        <v>34</v>
      </c>
      <c r="G41" s="93">
        <v>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f>O42+O43+O44+O49</f>
        <v>0</v>
      </c>
      <c r="P41" s="93">
        <f>P42+P43+P44+P49</f>
        <v>0</v>
      </c>
      <c r="Q41" s="93">
        <f>Q42+Q43+Q44+Q49</f>
        <v>0</v>
      </c>
      <c r="R41" s="93">
        <f>R42+R43+R44+R49</f>
        <v>0</v>
      </c>
      <c r="S41" s="93">
        <v>0</v>
      </c>
      <c r="T41" s="93">
        <v>0</v>
      </c>
      <c r="U41" s="93">
        <v>0</v>
      </c>
      <c r="V41" s="83">
        <f>SUM(V42:V44)</f>
        <v>0</v>
      </c>
      <c r="W41" s="83">
        <f>SUM(W42:W44)</f>
        <v>0</v>
      </c>
      <c r="X41" s="83">
        <f>SUM(X42:X44)</f>
        <v>0</v>
      </c>
      <c r="Y41" s="83">
        <f>SUM(Y42:Y44)</f>
        <v>0</v>
      </c>
    </row>
    <row r="42" spans="1:25" ht="18.75" thickTop="1" thickBot="1">
      <c r="A42" s="85">
        <v>7.1</v>
      </c>
      <c r="B42" s="95" t="s">
        <v>233</v>
      </c>
      <c r="C42" s="125">
        <v>0</v>
      </c>
      <c r="D42" s="128">
        <v>0</v>
      </c>
      <c r="E42" s="125">
        <v>0</v>
      </c>
      <c r="F42" s="128">
        <v>0</v>
      </c>
      <c r="G42" s="125">
        <v>0</v>
      </c>
      <c r="H42" s="128">
        <v>0</v>
      </c>
      <c r="I42" s="125">
        <v>0</v>
      </c>
      <c r="J42" s="128">
        <v>0</v>
      </c>
      <c r="K42" s="125">
        <v>0</v>
      </c>
      <c r="L42" s="128">
        <v>0</v>
      </c>
      <c r="M42" s="125">
        <v>0</v>
      </c>
      <c r="N42" s="128">
        <v>0</v>
      </c>
      <c r="O42" s="125">
        <v>0</v>
      </c>
      <c r="P42" s="128">
        <v>0</v>
      </c>
      <c r="Q42" s="125">
        <v>0</v>
      </c>
      <c r="R42" s="128">
        <v>0</v>
      </c>
      <c r="S42" s="125">
        <v>0</v>
      </c>
      <c r="T42" s="125">
        <v>0</v>
      </c>
      <c r="U42" s="125">
        <v>0</v>
      </c>
      <c r="V42" s="104">
        <v>0</v>
      </c>
      <c r="W42" s="104">
        <v>0</v>
      </c>
      <c r="X42" s="104">
        <v>0</v>
      </c>
      <c r="Y42" s="104">
        <v>0</v>
      </c>
    </row>
    <row r="43" spans="1:25" ht="18.75" thickTop="1" thickBot="1">
      <c r="A43" s="85">
        <v>7.2</v>
      </c>
      <c r="B43" s="95" t="s">
        <v>234</v>
      </c>
      <c r="C43" s="125">
        <v>0</v>
      </c>
      <c r="D43" s="128">
        <v>0</v>
      </c>
      <c r="E43" s="125">
        <v>0</v>
      </c>
      <c r="F43" s="128">
        <v>0</v>
      </c>
      <c r="G43" s="125">
        <v>0</v>
      </c>
      <c r="H43" s="128">
        <v>0</v>
      </c>
      <c r="I43" s="125">
        <v>0</v>
      </c>
      <c r="J43" s="128">
        <v>0</v>
      </c>
      <c r="K43" s="125">
        <v>0</v>
      </c>
      <c r="L43" s="128">
        <v>0</v>
      </c>
      <c r="M43" s="125">
        <v>0</v>
      </c>
      <c r="N43" s="128">
        <v>0</v>
      </c>
      <c r="O43" s="125">
        <v>0</v>
      </c>
      <c r="P43" s="128">
        <v>0</v>
      </c>
      <c r="Q43" s="125">
        <v>0</v>
      </c>
      <c r="R43" s="128">
        <v>0</v>
      </c>
      <c r="S43" s="125">
        <v>0</v>
      </c>
      <c r="T43" s="125">
        <v>0</v>
      </c>
      <c r="U43" s="125">
        <v>0</v>
      </c>
      <c r="V43" s="104">
        <v>0</v>
      </c>
      <c r="W43" s="104">
        <v>0</v>
      </c>
      <c r="X43" s="104">
        <v>0</v>
      </c>
      <c r="Y43" s="104">
        <v>0</v>
      </c>
    </row>
    <row r="44" spans="1:25" ht="18.75" thickTop="1" thickBot="1">
      <c r="A44" s="85">
        <v>7.3</v>
      </c>
      <c r="B44" s="95" t="s">
        <v>251</v>
      </c>
      <c r="C44" s="125">
        <v>0</v>
      </c>
      <c r="D44" s="128">
        <v>708</v>
      </c>
      <c r="E44" s="125">
        <v>0</v>
      </c>
      <c r="F44" s="128">
        <v>34</v>
      </c>
      <c r="G44" s="125">
        <v>2</v>
      </c>
      <c r="H44" s="128">
        <v>0</v>
      </c>
      <c r="I44" s="125">
        <v>0</v>
      </c>
      <c r="J44" s="128">
        <v>0</v>
      </c>
      <c r="K44" s="125">
        <v>0</v>
      </c>
      <c r="L44" s="128">
        <v>0</v>
      </c>
      <c r="M44" s="125">
        <v>0</v>
      </c>
      <c r="N44" s="128">
        <v>0</v>
      </c>
      <c r="O44" s="125">
        <f>SUM(O45:O48)</f>
        <v>0</v>
      </c>
      <c r="P44" s="128">
        <f>SUM(P45:P48)</f>
        <v>0</v>
      </c>
      <c r="Q44" s="125">
        <f>SUM(Q45:Q48)</f>
        <v>0</v>
      </c>
      <c r="R44" s="128">
        <f>SUM(R45:R48)</f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</row>
    <row r="45" spans="1:25" ht="18.75" thickTop="1" thickBot="1">
      <c r="A45" s="70" t="s">
        <v>28</v>
      </c>
      <c r="B45" s="96" t="s">
        <v>252</v>
      </c>
      <c r="C45" s="126">
        <v>0</v>
      </c>
      <c r="D45" s="129">
        <v>0</v>
      </c>
      <c r="E45" s="126">
        <v>0</v>
      </c>
      <c r="F45" s="129">
        <v>0</v>
      </c>
      <c r="G45" s="126">
        <v>2</v>
      </c>
      <c r="H45" s="129">
        <v>0</v>
      </c>
      <c r="I45" s="126">
        <v>0</v>
      </c>
      <c r="J45" s="129">
        <v>0</v>
      </c>
      <c r="K45" s="126">
        <v>0</v>
      </c>
      <c r="L45" s="129">
        <v>0</v>
      </c>
      <c r="M45" s="126">
        <v>0</v>
      </c>
      <c r="N45" s="129">
        <v>0</v>
      </c>
      <c r="O45" s="126">
        <v>0</v>
      </c>
      <c r="P45" s="129">
        <v>0</v>
      </c>
      <c r="Q45" s="126">
        <v>0</v>
      </c>
      <c r="R45" s="129">
        <v>0</v>
      </c>
      <c r="S45" s="126">
        <v>0</v>
      </c>
      <c r="T45" s="126">
        <v>0</v>
      </c>
      <c r="U45" s="126">
        <v>0</v>
      </c>
      <c r="V45" s="76">
        <v>0</v>
      </c>
      <c r="W45" s="76">
        <v>0</v>
      </c>
      <c r="X45" s="76">
        <v>0</v>
      </c>
      <c r="Y45" s="76">
        <v>0</v>
      </c>
    </row>
    <row r="46" spans="1:25" ht="18.75" thickTop="1" thickBot="1">
      <c r="A46" s="70" t="s">
        <v>29</v>
      </c>
      <c r="B46" s="96" t="s">
        <v>236</v>
      </c>
      <c r="C46" s="126">
        <v>0</v>
      </c>
      <c r="D46" s="129">
        <v>708</v>
      </c>
      <c r="E46" s="126">
        <v>0</v>
      </c>
      <c r="F46" s="129">
        <v>34</v>
      </c>
      <c r="G46" s="126">
        <v>0</v>
      </c>
      <c r="H46" s="129">
        <v>0</v>
      </c>
      <c r="I46" s="126">
        <v>0</v>
      </c>
      <c r="J46" s="129">
        <v>0</v>
      </c>
      <c r="K46" s="126">
        <v>0</v>
      </c>
      <c r="L46" s="129">
        <v>0</v>
      </c>
      <c r="M46" s="126">
        <v>0</v>
      </c>
      <c r="N46" s="129">
        <v>0</v>
      </c>
      <c r="O46" s="126">
        <v>0</v>
      </c>
      <c r="P46" s="129">
        <v>0</v>
      </c>
      <c r="Q46" s="126">
        <v>0</v>
      </c>
      <c r="R46" s="129">
        <v>0</v>
      </c>
      <c r="S46" s="126">
        <v>0</v>
      </c>
      <c r="T46" s="126">
        <v>0</v>
      </c>
      <c r="U46" s="126">
        <v>0</v>
      </c>
      <c r="V46" s="126">
        <v>0</v>
      </c>
      <c r="W46" s="126">
        <v>0</v>
      </c>
      <c r="X46" s="126">
        <v>0</v>
      </c>
      <c r="Y46" s="126">
        <v>0</v>
      </c>
    </row>
    <row r="47" spans="1:25" ht="18.75" thickTop="1" thickBot="1">
      <c r="A47" s="70" t="s">
        <v>30</v>
      </c>
      <c r="B47" s="96" t="s">
        <v>253</v>
      </c>
      <c r="C47" s="126">
        <v>0</v>
      </c>
      <c r="D47" s="129">
        <v>0</v>
      </c>
      <c r="E47" s="126">
        <v>0</v>
      </c>
      <c r="F47" s="129">
        <v>0</v>
      </c>
      <c r="G47" s="126">
        <v>0</v>
      </c>
      <c r="H47" s="129">
        <v>0</v>
      </c>
      <c r="I47" s="126">
        <v>0</v>
      </c>
      <c r="J47" s="129">
        <v>0</v>
      </c>
      <c r="K47" s="126">
        <v>0</v>
      </c>
      <c r="L47" s="129">
        <v>0</v>
      </c>
      <c r="M47" s="126">
        <v>0</v>
      </c>
      <c r="N47" s="129">
        <v>0</v>
      </c>
      <c r="O47" s="126">
        <v>0</v>
      </c>
      <c r="P47" s="129">
        <v>0</v>
      </c>
      <c r="Q47" s="126">
        <v>0</v>
      </c>
      <c r="R47" s="129">
        <v>0</v>
      </c>
      <c r="S47" s="126">
        <v>0</v>
      </c>
      <c r="T47" s="126">
        <v>0</v>
      </c>
      <c r="U47" s="126">
        <v>0</v>
      </c>
      <c r="V47" s="76">
        <v>0</v>
      </c>
      <c r="W47" s="76">
        <v>0</v>
      </c>
      <c r="X47" s="76">
        <v>0</v>
      </c>
      <c r="Y47" s="76">
        <v>0</v>
      </c>
    </row>
    <row r="48" spans="1:25" ht="18.75" thickTop="1" thickBot="1">
      <c r="A48" s="70" t="s">
        <v>31</v>
      </c>
      <c r="B48" s="96" t="s">
        <v>254</v>
      </c>
      <c r="C48" s="126">
        <v>0</v>
      </c>
      <c r="D48" s="129">
        <v>0</v>
      </c>
      <c r="E48" s="126">
        <v>0</v>
      </c>
      <c r="F48" s="129">
        <v>0</v>
      </c>
      <c r="G48" s="126">
        <v>0</v>
      </c>
      <c r="H48" s="129">
        <v>0</v>
      </c>
      <c r="I48" s="126">
        <v>0</v>
      </c>
      <c r="J48" s="129">
        <v>0</v>
      </c>
      <c r="K48" s="126">
        <v>0</v>
      </c>
      <c r="L48" s="129">
        <v>0</v>
      </c>
      <c r="M48" s="126">
        <v>0</v>
      </c>
      <c r="N48" s="129">
        <v>0</v>
      </c>
      <c r="O48" s="126">
        <v>0</v>
      </c>
      <c r="P48" s="129">
        <v>0</v>
      </c>
      <c r="Q48" s="126">
        <v>0</v>
      </c>
      <c r="R48" s="129">
        <v>0</v>
      </c>
      <c r="S48" s="126">
        <v>0</v>
      </c>
      <c r="T48" s="126">
        <v>0</v>
      </c>
      <c r="U48" s="126">
        <v>0</v>
      </c>
      <c r="V48" s="76">
        <v>0</v>
      </c>
      <c r="W48" s="76">
        <v>0</v>
      </c>
      <c r="X48" s="76">
        <v>0</v>
      </c>
      <c r="Y48" s="76">
        <v>0</v>
      </c>
    </row>
    <row r="49" spans="1:25" ht="18.75" thickTop="1" thickBot="1">
      <c r="A49" s="85">
        <v>7.4</v>
      </c>
      <c r="B49" s="95" t="s">
        <v>203</v>
      </c>
      <c r="C49" s="125">
        <v>0</v>
      </c>
      <c r="D49" s="128">
        <v>0</v>
      </c>
      <c r="E49" s="125">
        <v>0</v>
      </c>
      <c r="F49" s="128">
        <v>0</v>
      </c>
      <c r="G49" s="125">
        <v>0</v>
      </c>
      <c r="H49" s="128">
        <v>0</v>
      </c>
      <c r="I49" s="125">
        <v>0</v>
      </c>
      <c r="J49" s="128">
        <v>0</v>
      </c>
      <c r="K49" s="125">
        <v>0</v>
      </c>
      <c r="L49" s="128">
        <v>0</v>
      </c>
      <c r="M49" s="125">
        <v>0</v>
      </c>
      <c r="N49" s="128">
        <v>0</v>
      </c>
      <c r="O49" s="125">
        <v>0</v>
      </c>
      <c r="P49" s="128">
        <v>0</v>
      </c>
      <c r="Q49" s="125">
        <v>0</v>
      </c>
      <c r="R49" s="128">
        <v>0</v>
      </c>
      <c r="S49" s="125">
        <v>0</v>
      </c>
      <c r="T49" s="125">
        <v>0</v>
      </c>
      <c r="U49" s="125">
        <v>0</v>
      </c>
      <c r="V49" s="104">
        <v>0</v>
      </c>
      <c r="W49" s="104">
        <v>0</v>
      </c>
      <c r="X49" s="104">
        <v>0</v>
      </c>
      <c r="Y49" s="104">
        <v>0</v>
      </c>
    </row>
    <row r="50" spans="1:25" ht="18.75" thickTop="1" thickBot="1">
      <c r="A50" s="80">
        <v>8</v>
      </c>
      <c r="B50" s="94" t="s">
        <v>255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f>O51+O52</f>
        <v>0</v>
      </c>
      <c r="P50" s="93">
        <f>P51+P52</f>
        <v>0</v>
      </c>
      <c r="Q50" s="93">
        <v>0</v>
      </c>
      <c r="R50" s="93">
        <v>0</v>
      </c>
      <c r="S50" s="93">
        <v>0</v>
      </c>
      <c r="T50" s="93">
        <v>0</v>
      </c>
      <c r="U50" s="93">
        <v>0</v>
      </c>
      <c r="V50" s="83">
        <v>0</v>
      </c>
      <c r="W50" s="83">
        <v>0</v>
      </c>
      <c r="X50" s="83">
        <v>0</v>
      </c>
      <c r="Y50" s="83">
        <v>0</v>
      </c>
    </row>
    <row r="51" spans="1:25" ht="18.75" thickTop="1" thickBot="1">
      <c r="A51" s="85">
        <v>8.1</v>
      </c>
      <c r="B51" s="95" t="s">
        <v>224</v>
      </c>
      <c r="C51" s="125">
        <v>0</v>
      </c>
      <c r="D51" s="128">
        <v>0</v>
      </c>
      <c r="E51" s="125">
        <v>0</v>
      </c>
      <c r="F51" s="128">
        <v>0</v>
      </c>
      <c r="G51" s="125">
        <v>0</v>
      </c>
      <c r="H51" s="128">
        <v>0</v>
      </c>
      <c r="I51" s="125">
        <v>0</v>
      </c>
      <c r="J51" s="125">
        <v>0</v>
      </c>
      <c r="K51" s="125">
        <v>0</v>
      </c>
      <c r="L51" s="128">
        <v>0</v>
      </c>
      <c r="M51" s="125">
        <v>0</v>
      </c>
      <c r="N51" s="128">
        <v>0</v>
      </c>
      <c r="O51" s="125">
        <v>0</v>
      </c>
      <c r="P51" s="128">
        <v>0</v>
      </c>
      <c r="Q51" s="125">
        <v>0</v>
      </c>
      <c r="R51" s="128">
        <v>0</v>
      </c>
      <c r="S51" s="125">
        <v>0</v>
      </c>
      <c r="T51" s="125">
        <v>0</v>
      </c>
      <c r="U51" s="125">
        <v>0</v>
      </c>
      <c r="V51" s="104">
        <v>0</v>
      </c>
      <c r="W51" s="104">
        <v>0</v>
      </c>
      <c r="X51" s="104">
        <v>0</v>
      </c>
      <c r="Y51" s="104">
        <v>0</v>
      </c>
    </row>
    <row r="52" spans="1:25" ht="18.75" thickTop="1" thickBot="1">
      <c r="A52" s="85">
        <v>8.1999999999999993</v>
      </c>
      <c r="B52" s="95" t="s">
        <v>132</v>
      </c>
      <c r="C52" s="125">
        <v>0</v>
      </c>
      <c r="D52" s="128">
        <v>0</v>
      </c>
      <c r="E52" s="125">
        <v>0</v>
      </c>
      <c r="F52" s="128">
        <v>0</v>
      </c>
      <c r="G52" s="125">
        <v>0</v>
      </c>
      <c r="H52" s="128">
        <v>0</v>
      </c>
      <c r="I52" s="125">
        <v>0</v>
      </c>
      <c r="J52" s="128">
        <v>0</v>
      </c>
      <c r="K52" s="125">
        <v>0</v>
      </c>
      <c r="L52" s="128">
        <v>0</v>
      </c>
      <c r="M52" s="125">
        <v>0</v>
      </c>
      <c r="N52" s="128">
        <v>0</v>
      </c>
      <c r="O52" s="125">
        <v>0</v>
      </c>
      <c r="P52" s="128">
        <v>0</v>
      </c>
      <c r="Q52" s="125">
        <v>0</v>
      </c>
      <c r="R52" s="128">
        <v>0</v>
      </c>
      <c r="S52" s="125">
        <v>0</v>
      </c>
      <c r="T52" s="125">
        <v>0</v>
      </c>
      <c r="U52" s="125">
        <v>0</v>
      </c>
      <c r="V52" s="104">
        <v>0</v>
      </c>
      <c r="W52" s="104">
        <v>0</v>
      </c>
      <c r="X52" s="104">
        <v>0</v>
      </c>
      <c r="Y52" s="104">
        <v>0</v>
      </c>
    </row>
    <row r="53" spans="1:25" ht="18.75" thickTop="1" thickBot="1">
      <c r="A53" s="80">
        <v>9</v>
      </c>
      <c r="B53" s="94" t="s">
        <v>120</v>
      </c>
      <c r="C53" s="93">
        <v>1394</v>
      </c>
      <c r="D53" s="93">
        <v>1758</v>
      </c>
      <c r="E53" s="93">
        <v>1491</v>
      </c>
      <c r="F53" s="93">
        <v>1321</v>
      </c>
      <c r="G53" s="93">
        <v>977</v>
      </c>
      <c r="H53" s="93">
        <v>1622</v>
      </c>
      <c r="I53" s="93">
        <v>1423</v>
      </c>
      <c r="J53" s="93">
        <v>2761</v>
      </c>
      <c r="K53" s="93">
        <v>2043</v>
      </c>
      <c r="L53" s="93">
        <v>1744</v>
      </c>
      <c r="M53" s="93">
        <v>3459</v>
      </c>
      <c r="N53" s="93">
        <v>5130</v>
      </c>
      <c r="O53" s="93">
        <v>3035.50191</v>
      </c>
      <c r="P53" s="93">
        <v>3328.386</v>
      </c>
      <c r="Q53" s="93">
        <v>3237</v>
      </c>
      <c r="R53" s="93">
        <v>3823.9564200000009</v>
      </c>
      <c r="S53" s="93">
        <v>4433.5396499999988</v>
      </c>
      <c r="T53" s="93">
        <v>3262.0991800000002</v>
      </c>
      <c r="U53" s="93">
        <v>4695.5493800000004</v>
      </c>
      <c r="V53" s="83">
        <v>2794.0985199999991</v>
      </c>
      <c r="W53" s="83">
        <v>3843.8750299999997</v>
      </c>
      <c r="X53" s="83">
        <v>3522.5125600000006</v>
      </c>
      <c r="Y53" s="83">
        <v>4839.0574799999958</v>
      </c>
    </row>
    <row r="54" spans="1:25" ht="18.75" thickTop="1" thickBot="1">
      <c r="A54" s="80">
        <v>10</v>
      </c>
      <c r="B54" s="94" t="s">
        <v>121</v>
      </c>
      <c r="C54" s="93">
        <v>36169</v>
      </c>
      <c r="D54" s="93">
        <f>D55+D60+D61</f>
        <v>32918</v>
      </c>
      <c r="E54" s="93">
        <f>SUM(E66+E61+E60+E55)</f>
        <v>32634</v>
      </c>
      <c r="F54" s="93">
        <v>31419</v>
      </c>
      <c r="G54" s="93">
        <v>31617</v>
      </c>
      <c r="H54" s="93">
        <v>33654</v>
      </c>
      <c r="I54" s="93">
        <v>36415</v>
      </c>
      <c r="J54" s="93">
        <v>36451</v>
      </c>
      <c r="K54" s="93">
        <v>39643</v>
      </c>
      <c r="L54" s="93">
        <f>SUM(L55+L60+L61+L66)</f>
        <v>30972</v>
      </c>
      <c r="M54" s="93">
        <f>SUM(M55+M60+M61+M66)</f>
        <v>41115</v>
      </c>
      <c r="N54" s="93">
        <f>SUM(N55+N60+N61+N66)</f>
        <v>41715</v>
      </c>
      <c r="O54" s="93">
        <f>O55+O60+O61+O66</f>
        <v>46110.601649999997</v>
      </c>
      <c r="P54" s="93">
        <f>P55+P60+P61+P66</f>
        <v>42274.252780000032</v>
      </c>
      <c r="Q54" s="93">
        <f>Q55+Q60+Q61+Q66</f>
        <v>56240.305300000131</v>
      </c>
      <c r="R54" s="93">
        <f>R55+R60+R61+R66</f>
        <v>55737.234300000127</v>
      </c>
      <c r="S54" s="93">
        <v>30296.8308</v>
      </c>
      <c r="T54" s="93">
        <f t="shared" ref="T54:Y54" si="2">+T55+T60+T61+T66</f>
        <v>7160.4159099999988</v>
      </c>
      <c r="U54" s="93">
        <f t="shared" si="2"/>
        <v>2158.5975600000002</v>
      </c>
      <c r="V54" s="93">
        <f t="shared" si="2"/>
        <v>4042.7956000000008</v>
      </c>
      <c r="W54" s="93">
        <f t="shared" si="2"/>
        <v>581.32862000000011</v>
      </c>
      <c r="X54" s="93">
        <f t="shared" si="2"/>
        <v>449.32128999999998</v>
      </c>
      <c r="Y54" s="93">
        <f t="shared" si="2"/>
        <v>467.29692</v>
      </c>
    </row>
    <row r="55" spans="1:25" ht="18.75" thickTop="1" thickBot="1">
      <c r="A55" s="85">
        <v>10.1</v>
      </c>
      <c r="B55" s="95" t="s">
        <v>240</v>
      </c>
      <c r="C55" s="125">
        <v>0</v>
      </c>
      <c r="D55" s="128">
        <v>30629</v>
      </c>
      <c r="E55" s="125">
        <v>30917</v>
      </c>
      <c r="F55" s="128">
        <v>30486</v>
      </c>
      <c r="G55" s="125">
        <v>30896</v>
      </c>
      <c r="H55" s="128">
        <v>32479</v>
      </c>
      <c r="I55" s="125">
        <v>35504</v>
      </c>
      <c r="J55" s="128">
        <v>35483</v>
      </c>
      <c r="K55" s="125">
        <v>39282</v>
      </c>
      <c r="L55" s="128">
        <f t="shared" ref="L55:Q55" si="3">SUM(L56:L59)</f>
        <v>30628</v>
      </c>
      <c r="M55" s="125">
        <f t="shared" si="3"/>
        <v>39626</v>
      </c>
      <c r="N55" s="128">
        <f t="shared" si="3"/>
        <v>40215</v>
      </c>
      <c r="O55" s="125">
        <f t="shared" si="3"/>
        <v>45630.30889</v>
      </c>
      <c r="P55" s="125">
        <f t="shared" si="3"/>
        <v>40418.198780000035</v>
      </c>
      <c r="Q55" s="125">
        <f t="shared" si="3"/>
        <v>50456.264200000129</v>
      </c>
      <c r="R55" s="125">
        <f>SUM(R56:R59)</f>
        <v>49833.530910000125</v>
      </c>
      <c r="S55" s="125">
        <v>28522.317040000002</v>
      </c>
      <c r="T55" s="125">
        <f t="shared" ref="T55:Y55" si="4">SUM(T56:T59)</f>
        <v>1968.9962399999997</v>
      </c>
      <c r="U55" s="125">
        <f t="shared" si="4"/>
        <v>217.56501</v>
      </c>
      <c r="V55" s="125">
        <f t="shared" si="4"/>
        <v>34.974530000000016</v>
      </c>
      <c r="W55" s="125">
        <f t="shared" si="4"/>
        <v>38.605939999999997</v>
      </c>
      <c r="X55" s="125">
        <f t="shared" si="4"/>
        <v>64.970669999999998</v>
      </c>
      <c r="Y55" s="125">
        <f t="shared" si="4"/>
        <v>233.02120000000002</v>
      </c>
    </row>
    <row r="56" spans="1:25" ht="18.75" thickTop="1" thickBot="1">
      <c r="A56" s="70" t="s">
        <v>32</v>
      </c>
      <c r="B56" s="97" t="s">
        <v>241</v>
      </c>
      <c r="C56" s="126">
        <v>0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6">
        <v>1</v>
      </c>
      <c r="L56" s="126">
        <v>0</v>
      </c>
      <c r="M56" s="126">
        <v>11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6">
        <v>0</v>
      </c>
      <c r="W56" s="126">
        <v>2.9489399999999999</v>
      </c>
      <c r="X56" s="126">
        <v>7.0120699999999996</v>
      </c>
      <c r="Y56" s="126">
        <v>0</v>
      </c>
    </row>
    <row r="57" spans="1:25" ht="18.75" thickTop="1" thickBot="1">
      <c r="A57" s="70" t="s">
        <v>33</v>
      </c>
      <c r="B57" s="97" t="s">
        <v>256</v>
      </c>
      <c r="C57" s="126">
        <v>0</v>
      </c>
      <c r="D57" s="126">
        <v>13</v>
      </c>
      <c r="E57" s="126">
        <v>225</v>
      </c>
      <c r="F57" s="126">
        <v>33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/>
      <c r="P57" s="126">
        <v>0</v>
      </c>
      <c r="Q57" s="126">
        <v>0</v>
      </c>
      <c r="R57" s="126">
        <v>0</v>
      </c>
      <c r="S57" s="126">
        <v>0</v>
      </c>
      <c r="T57" s="126">
        <v>0</v>
      </c>
      <c r="U57" s="126">
        <v>0</v>
      </c>
      <c r="V57" s="126">
        <v>0</v>
      </c>
      <c r="W57" s="126">
        <v>0</v>
      </c>
      <c r="X57" s="126">
        <v>0</v>
      </c>
      <c r="Y57" s="126">
        <v>0</v>
      </c>
    </row>
    <row r="58" spans="1:25" ht="18.75" thickTop="1" thickBot="1">
      <c r="A58" s="70" t="s">
        <v>34</v>
      </c>
      <c r="B58" s="97" t="s">
        <v>257</v>
      </c>
      <c r="C58" s="126">
        <v>0</v>
      </c>
      <c r="D58" s="126">
        <v>7278</v>
      </c>
      <c r="E58" s="126">
        <v>7314</v>
      </c>
      <c r="F58" s="126">
        <v>5511</v>
      </c>
      <c r="G58" s="126">
        <v>5485</v>
      </c>
      <c r="H58" s="126">
        <v>5501</v>
      </c>
      <c r="I58" s="126">
        <v>7677</v>
      </c>
      <c r="J58" s="126">
        <v>4800</v>
      </c>
      <c r="K58" s="126">
        <v>3417</v>
      </c>
      <c r="L58" s="126">
        <v>7154</v>
      </c>
      <c r="M58" s="126">
        <v>7994</v>
      </c>
      <c r="N58" s="126">
        <v>9344</v>
      </c>
      <c r="O58" s="126">
        <v>8855.94722</v>
      </c>
      <c r="P58" s="126">
        <v>6348.9678299999996</v>
      </c>
      <c r="Q58" s="126">
        <v>8898</v>
      </c>
      <c r="R58" s="126">
        <v>8041.3607999999958</v>
      </c>
      <c r="S58" s="126">
        <v>5965.742229999998</v>
      </c>
      <c r="T58" s="126">
        <v>148.40295</v>
      </c>
      <c r="U58" s="126">
        <v>31.96021</v>
      </c>
      <c r="V58" s="126">
        <v>31.303730000000016</v>
      </c>
      <c r="W58" s="126">
        <v>35.656999999999996</v>
      </c>
      <c r="X58" s="126">
        <v>57.958599999999997</v>
      </c>
      <c r="Y58" s="126">
        <v>233.02120000000002</v>
      </c>
    </row>
    <row r="59" spans="1:25" ht="18.75" thickTop="1" thickBot="1">
      <c r="A59" s="70" t="s">
        <v>35</v>
      </c>
      <c r="B59" s="97" t="s">
        <v>258</v>
      </c>
      <c r="C59" s="126">
        <v>0</v>
      </c>
      <c r="D59" s="126">
        <v>23338</v>
      </c>
      <c r="E59" s="126">
        <v>23378</v>
      </c>
      <c r="F59" s="126">
        <v>24941</v>
      </c>
      <c r="G59" s="126">
        <v>25411</v>
      </c>
      <c r="H59" s="126">
        <v>26978</v>
      </c>
      <c r="I59" s="126">
        <v>27827</v>
      </c>
      <c r="J59" s="126">
        <v>30683</v>
      </c>
      <c r="K59" s="126">
        <v>35864</v>
      </c>
      <c r="L59" s="126">
        <v>23474</v>
      </c>
      <c r="M59" s="126">
        <v>31621</v>
      </c>
      <c r="N59" s="126">
        <v>30871</v>
      </c>
      <c r="O59" s="126">
        <v>36774.361669999998</v>
      </c>
      <c r="P59" s="126">
        <v>34069.230950000034</v>
      </c>
      <c r="Q59" s="126">
        <v>41558.264200000129</v>
      </c>
      <c r="R59" s="126">
        <v>41792.17011000013</v>
      </c>
      <c r="S59" s="126">
        <v>22556.574810000006</v>
      </c>
      <c r="T59" s="126">
        <v>1820.5932899999998</v>
      </c>
      <c r="U59" s="126">
        <v>185.60480000000001</v>
      </c>
      <c r="V59" s="126">
        <v>3.6708000000000003</v>
      </c>
      <c r="W59" s="126">
        <v>0</v>
      </c>
      <c r="X59" s="126">
        <v>0</v>
      </c>
      <c r="Y59" s="126">
        <v>0</v>
      </c>
    </row>
    <row r="60" spans="1:25" ht="18.75" thickTop="1" thickBot="1">
      <c r="A60" s="85">
        <v>10.199999999999999</v>
      </c>
      <c r="B60" s="95" t="s">
        <v>135</v>
      </c>
      <c r="C60" s="125">
        <v>0</v>
      </c>
      <c r="D60" s="128">
        <v>717</v>
      </c>
      <c r="E60" s="125">
        <v>1068</v>
      </c>
      <c r="F60" s="128">
        <v>728</v>
      </c>
      <c r="G60" s="125">
        <v>640</v>
      </c>
      <c r="H60" s="128">
        <v>862</v>
      </c>
      <c r="I60" s="125">
        <v>594</v>
      </c>
      <c r="J60" s="128">
        <v>680</v>
      </c>
      <c r="K60" s="125">
        <v>190</v>
      </c>
      <c r="L60" s="128">
        <v>202</v>
      </c>
      <c r="M60" s="125">
        <v>847</v>
      </c>
      <c r="N60" s="128">
        <v>1217</v>
      </c>
      <c r="O60" s="125">
        <v>226.29275999999999</v>
      </c>
      <c r="P60" s="125">
        <v>1795.778</v>
      </c>
      <c r="Q60" s="125">
        <v>5690</v>
      </c>
      <c r="R60" s="125">
        <v>5758.9101599999995</v>
      </c>
      <c r="S60" s="125">
        <v>1443.4527499999999</v>
      </c>
      <c r="T60" s="125">
        <v>4887.6720799999994</v>
      </c>
      <c r="U60" s="125">
        <v>1788.8891200000003</v>
      </c>
      <c r="V60" s="125">
        <v>3806.1305900000011</v>
      </c>
      <c r="W60" s="125">
        <v>263.99048000000005</v>
      </c>
      <c r="X60" s="125">
        <v>0</v>
      </c>
      <c r="Y60" s="125">
        <v>26.861789999999999</v>
      </c>
    </row>
    <row r="61" spans="1:25" ht="18.75" thickTop="1" thickBot="1">
      <c r="A61" s="85">
        <v>10.3</v>
      </c>
      <c r="B61" s="95" t="s">
        <v>136</v>
      </c>
      <c r="C61" s="125">
        <v>0</v>
      </c>
      <c r="D61" s="128">
        <v>1572</v>
      </c>
      <c r="E61" s="125">
        <v>467</v>
      </c>
      <c r="F61" s="128">
        <v>205</v>
      </c>
      <c r="G61" s="125">
        <v>65</v>
      </c>
      <c r="H61" s="128">
        <v>286</v>
      </c>
      <c r="I61" s="125">
        <v>316</v>
      </c>
      <c r="J61" s="128">
        <v>214</v>
      </c>
      <c r="K61" s="125">
        <v>165</v>
      </c>
      <c r="L61" s="128">
        <f>SUM(L62:L65)</f>
        <v>105</v>
      </c>
      <c r="M61" s="125">
        <f>SUM(M62:M65)</f>
        <v>637</v>
      </c>
      <c r="N61" s="128">
        <f>SUM(N62:N65)</f>
        <v>275</v>
      </c>
      <c r="O61" s="125">
        <v>144</v>
      </c>
      <c r="P61" s="125">
        <f>SUM(P62:P65)</f>
        <v>37.301000000000002</v>
      </c>
      <c r="Q61" s="125">
        <f>SUM(Q62:Q65)</f>
        <v>87.0411</v>
      </c>
      <c r="R61" s="125">
        <f>SUM(R62:R64)</f>
        <v>98.708699999999951</v>
      </c>
      <c r="S61" s="125">
        <v>320.57953999999995</v>
      </c>
      <c r="T61" s="125">
        <f>SUM(T63:T65)</f>
        <v>287.95065</v>
      </c>
      <c r="U61" s="125">
        <f>SUM(U63:U65)</f>
        <v>127.79061999999998</v>
      </c>
      <c r="V61" s="125">
        <v>104.14019999999999</v>
      </c>
      <c r="W61" s="125">
        <f>SUM(W62:W65)</f>
        <v>260.71757000000002</v>
      </c>
      <c r="X61" s="125">
        <f>SUM(X62:X65)</f>
        <v>344.14951000000002</v>
      </c>
      <c r="Y61" s="125">
        <f>SUM(Y62:Y65)</f>
        <v>150.33154999999999</v>
      </c>
    </row>
    <row r="62" spans="1:25" ht="18.75" thickTop="1" thickBot="1">
      <c r="A62" s="70" t="s">
        <v>36</v>
      </c>
      <c r="B62" s="97" t="s">
        <v>259</v>
      </c>
      <c r="C62" s="126">
        <v>0</v>
      </c>
      <c r="D62" s="126">
        <v>0</v>
      </c>
      <c r="E62" s="126">
        <v>0</v>
      </c>
      <c r="F62" s="126">
        <v>0</v>
      </c>
      <c r="G62" s="126">
        <v>0</v>
      </c>
      <c r="H62" s="126">
        <v>74</v>
      </c>
      <c r="I62" s="126">
        <v>2</v>
      </c>
      <c r="J62" s="126">
        <v>0</v>
      </c>
      <c r="K62" s="126">
        <v>4</v>
      </c>
      <c r="L62" s="126">
        <v>30</v>
      </c>
      <c r="M62" s="126">
        <v>252</v>
      </c>
      <c r="N62" s="126">
        <v>0</v>
      </c>
      <c r="O62" s="126">
        <v>0</v>
      </c>
      <c r="P62" s="126">
        <v>0</v>
      </c>
      <c r="Q62" s="126">
        <v>0</v>
      </c>
      <c r="R62" s="126">
        <v>0</v>
      </c>
      <c r="S62" s="126">
        <v>0</v>
      </c>
      <c r="T62" s="126">
        <v>237.29563999999999</v>
      </c>
      <c r="U62" s="126">
        <v>962.57388000000003</v>
      </c>
      <c r="V62" s="126">
        <v>0</v>
      </c>
      <c r="W62" s="126">
        <v>0</v>
      </c>
      <c r="X62" s="126">
        <v>0</v>
      </c>
      <c r="Y62" s="126">
        <v>0</v>
      </c>
    </row>
    <row r="63" spans="1:25" ht="18.75" thickTop="1" thickBot="1">
      <c r="A63" s="70" t="s">
        <v>37</v>
      </c>
      <c r="B63" s="97" t="s">
        <v>262</v>
      </c>
      <c r="C63" s="126">
        <v>0</v>
      </c>
      <c r="D63" s="126">
        <v>0</v>
      </c>
      <c r="E63" s="126">
        <v>0</v>
      </c>
      <c r="F63" s="126">
        <v>0</v>
      </c>
      <c r="G63" s="126">
        <v>0</v>
      </c>
      <c r="H63" s="126">
        <v>0</v>
      </c>
      <c r="I63" s="126">
        <v>8</v>
      </c>
      <c r="J63" s="126">
        <v>4</v>
      </c>
      <c r="K63" s="126">
        <v>18</v>
      </c>
      <c r="L63" s="126">
        <v>14</v>
      </c>
      <c r="M63" s="126">
        <v>40</v>
      </c>
      <c r="N63" s="126">
        <v>0</v>
      </c>
      <c r="O63" s="126">
        <v>60</v>
      </c>
      <c r="P63" s="126">
        <v>0</v>
      </c>
      <c r="Q63" s="126">
        <v>0</v>
      </c>
      <c r="R63" s="126">
        <v>0</v>
      </c>
      <c r="S63" s="126">
        <v>0</v>
      </c>
      <c r="T63" s="126">
        <v>58.460049999999995</v>
      </c>
      <c r="U63" s="126">
        <v>0</v>
      </c>
      <c r="V63" s="126">
        <v>0</v>
      </c>
      <c r="W63" s="126">
        <v>22.87988</v>
      </c>
      <c r="X63" s="126">
        <v>0</v>
      </c>
      <c r="Y63" s="126">
        <v>96.049170000000004</v>
      </c>
    </row>
    <row r="64" spans="1:25" ht="18.75" thickTop="1" thickBot="1">
      <c r="A64" s="70" t="s">
        <v>38</v>
      </c>
      <c r="B64" s="97" t="s">
        <v>245</v>
      </c>
      <c r="C64" s="126">
        <v>0</v>
      </c>
      <c r="D64" s="126">
        <v>0</v>
      </c>
      <c r="E64" s="126">
        <v>467</v>
      </c>
      <c r="F64" s="126">
        <v>205</v>
      </c>
      <c r="G64" s="126">
        <v>65</v>
      </c>
      <c r="H64" s="126">
        <v>212</v>
      </c>
      <c r="I64" s="126">
        <v>218</v>
      </c>
      <c r="J64" s="126">
        <v>79</v>
      </c>
      <c r="K64" s="126">
        <v>129</v>
      </c>
      <c r="L64" s="126">
        <v>61</v>
      </c>
      <c r="M64" s="126">
        <v>345</v>
      </c>
      <c r="N64" s="126">
        <v>275</v>
      </c>
      <c r="O64" s="126">
        <v>84</v>
      </c>
      <c r="P64" s="126">
        <v>37.301000000000002</v>
      </c>
      <c r="Q64" s="126">
        <v>87.0411</v>
      </c>
      <c r="R64" s="126">
        <v>98.708699999999951</v>
      </c>
      <c r="S64" s="126">
        <v>320.57953999999995</v>
      </c>
      <c r="T64" s="126">
        <v>229.49060000000003</v>
      </c>
      <c r="U64" s="126">
        <v>127.79061999999998</v>
      </c>
      <c r="V64" s="126">
        <v>104.14019999999999</v>
      </c>
      <c r="W64" s="126">
        <v>237.83769000000001</v>
      </c>
      <c r="X64" s="126">
        <v>344.14951000000002</v>
      </c>
      <c r="Y64" s="126">
        <v>54.282380000000003</v>
      </c>
    </row>
    <row r="65" spans="1:25" ht="33" thickTop="1" thickBot="1">
      <c r="A65" s="70" t="s">
        <v>39</v>
      </c>
      <c r="B65" s="98" t="s">
        <v>246</v>
      </c>
      <c r="C65" s="126">
        <v>0</v>
      </c>
      <c r="D65" s="130">
        <v>1572</v>
      </c>
      <c r="E65" s="126">
        <v>0</v>
      </c>
      <c r="F65" s="130">
        <v>0</v>
      </c>
      <c r="G65" s="126">
        <v>0</v>
      </c>
      <c r="H65" s="130">
        <v>0</v>
      </c>
      <c r="I65" s="126">
        <v>88</v>
      </c>
      <c r="J65" s="130">
        <v>131</v>
      </c>
      <c r="K65" s="126">
        <v>14</v>
      </c>
      <c r="L65" s="130">
        <v>0</v>
      </c>
      <c r="M65" s="126">
        <v>0</v>
      </c>
      <c r="N65" s="130">
        <v>0</v>
      </c>
      <c r="O65" s="126">
        <v>0</v>
      </c>
      <c r="P65" s="126">
        <v>0</v>
      </c>
      <c r="Q65" s="126">
        <v>0</v>
      </c>
      <c r="R65" s="126">
        <v>0</v>
      </c>
      <c r="S65" s="126">
        <v>0</v>
      </c>
      <c r="T65" s="126">
        <v>0</v>
      </c>
      <c r="U65" s="126">
        <v>0</v>
      </c>
      <c r="V65" s="126">
        <v>0</v>
      </c>
      <c r="W65" s="126">
        <v>0</v>
      </c>
      <c r="X65" s="126">
        <v>0</v>
      </c>
      <c r="Y65" s="126">
        <v>0</v>
      </c>
    </row>
    <row r="66" spans="1:25" ht="42.75" customHeight="1" thickTop="1" thickBot="1">
      <c r="A66" s="85">
        <v>10.4</v>
      </c>
      <c r="B66" s="95" t="s">
        <v>247</v>
      </c>
      <c r="C66" s="125">
        <v>0</v>
      </c>
      <c r="D66" s="128">
        <v>0</v>
      </c>
      <c r="E66" s="125">
        <v>182</v>
      </c>
      <c r="F66" s="128">
        <v>0</v>
      </c>
      <c r="G66" s="125">
        <v>16</v>
      </c>
      <c r="H66" s="128">
        <v>27</v>
      </c>
      <c r="I66" s="125">
        <v>1</v>
      </c>
      <c r="J66" s="128">
        <v>74</v>
      </c>
      <c r="K66" s="125">
        <v>6</v>
      </c>
      <c r="L66" s="128">
        <v>37</v>
      </c>
      <c r="M66" s="125">
        <v>5</v>
      </c>
      <c r="N66" s="128">
        <v>8</v>
      </c>
      <c r="O66" s="125">
        <v>110</v>
      </c>
      <c r="P66" s="125">
        <v>22.975000000000001</v>
      </c>
      <c r="Q66" s="125">
        <v>7</v>
      </c>
      <c r="R66" s="125">
        <v>46.084530000000001</v>
      </c>
      <c r="S66" s="125">
        <v>10.481470000000002</v>
      </c>
      <c r="T66" s="125">
        <v>15.796939999999999</v>
      </c>
      <c r="U66" s="125">
        <v>24.352810000000002</v>
      </c>
      <c r="V66" s="125">
        <v>97.550280000000001</v>
      </c>
      <c r="W66" s="125">
        <v>18.01463</v>
      </c>
      <c r="X66" s="125">
        <v>40.20111</v>
      </c>
      <c r="Y66" s="125">
        <v>57.082380000000001</v>
      </c>
    </row>
    <row r="67" spans="1:25" ht="20.25" thickTop="1" thickBot="1">
      <c r="A67" s="106"/>
      <c r="B67" s="107" t="s">
        <v>152</v>
      </c>
      <c r="C67" s="131">
        <f t="shared" ref="C67:M67" si="5">+C54+C53+C50+C41+C30+C27+C23+C22+C17</f>
        <v>85189</v>
      </c>
      <c r="D67" s="131">
        <f t="shared" si="5"/>
        <v>83915</v>
      </c>
      <c r="E67" s="131">
        <f t="shared" si="5"/>
        <v>86542</v>
      </c>
      <c r="F67" s="131">
        <f t="shared" si="5"/>
        <v>103967</v>
      </c>
      <c r="G67" s="131">
        <f t="shared" si="5"/>
        <v>139988</v>
      </c>
      <c r="H67" s="131">
        <f t="shared" si="5"/>
        <v>176601</v>
      </c>
      <c r="I67" s="131">
        <f t="shared" si="5"/>
        <v>220955</v>
      </c>
      <c r="J67" s="131">
        <f t="shared" si="5"/>
        <v>281378</v>
      </c>
      <c r="K67" s="131">
        <f t="shared" si="5"/>
        <v>461913</v>
      </c>
      <c r="L67" s="131">
        <f t="shared" si="5"/>
        <v>365776</v>
      </c>
      <c r="M67" s="131">
        <f t="shared" si="5"/>
        <v>514968</v>
      </c>
      <c r="N67" s="131">
        <f>+N54+N53+N50+N41+N30+N27+N23+N22+N17</f>
        <v>564386</v>
      </c>
      <c r="O67" s="131">
        <f t="shared" ref="O67:R67" si="6">+O54+O53+O50+O41+O30+O27+O26+O23+O22+O17</f>
        <v>512956.02500999998</v>
      </c>
      <c r="P67" s="131">
        <f t="shared" si="6"/>
        <v>595799.82033999998</v>
      </c>
      <c r="Q67" s="131">
        <f t="shared" si="6"/>
        <v>730389.14031000016</v>
      </c>
      <c r="R67" s="131">
        <f t="shared" si="6"/>
        <v>847312.80543000018</v>
      </c>
      <c r="S67" s="131">
        <f t="shared" ref="S67" si="7">+S54+S53+S50+S41+S30+S27+S26+S23+S22+S17</f>
        <v>871263.97245999973</v>
      </c>
      <c r="T67" s="131">
        <f t="shared" ref="T67:Y67" si="8">+T54+T53+T50+T41+T30+T27+T26+T23+T22+T17</f>
        <v>999785.41019999923</v>
      </c>
      <c r="U67" s="131">
        <f t="shared" si="8"/>
        <v>1052093.6091899995</v>
      </c>
      <c r="V67" s="131">
        <f t="shared" si="8"/>
        <v>962265.21906999988</v>
      </c>
      <c r="W67" s="131">
        <f t="shared" si="8"/>
        <v>1003981.5108399997</v>
      </c>
      <c r="X67" s="131">
        <f t="shared" si="8"/>
        <v>1115523.7218800003</v>
      </c>
      <c r="Y67" s="131">
        <f t="shared" si="8"/>
        <v>1134328.4819599995</v>
      </c>
    </row>
    <row r="68" spans="1:25" ht="16.5" thickTop="1">
      <c r="B68" s="99"/>
    </row>
    <row r="69" spans="1:25" ht="15.75">
      <c r="B69" s="99" t="s">
        <v>58</v>
      </c>
      <c r="X69" s="14"/>
      <c r="Y69" s="14"/>
    </row>
    <row r="70" spans="1:25">
      <c r="B70" s="11"/>
    </row>
    <row r="71" spans="1:25" ht="15">
      <c r="B71" s="29"/>
      <c r="C71" s="6"/>
      <c r="D71" s="6"/>
      <c r="E71" s="6"/>
      <c r="F71" s="6"/>
      <c r="J71" s="14"/>
    </row>
    <row r="73" spans="1:25" ht="17.649999999999999" customHeight="1">
      <c r="A73" s="222" t="s">
        <v>166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</row>
    <row r="74" spans="1:25" ht="15.75">
      <c r="A74" s="15" t="s">
        <v>112</v>
      </c>
      <c r="B74" s="15" t="s">
        <v>113</v>
      </c>
      <c r="C74" s="15">
        <v>2000</v>
      </c>
      <c r="D74" s="15">
        <v>2001</v>
      </c>
      <c r="E74" s="15">
        <v>2002</v>
      </c>
      <c r="F74" s="15">
        <v>2003</v>
      </c>
      <c r="G74" s="15">
        <v>2004</v>
      </c>
      <c r="H74" s="15">
        <v>2005</v>
      </c>
      <c r="I74" s="15">
        <v>2006</v>
      </c>
      <c r="J74" s="15">
        <v>2007</v>
      </c>
      <c r="K74" s="15">
        <v>2008</v>
      </c>
      <c r="L74" s="15">
        <v>2009</v>
      </c>
      <c r="M74" s="15">
        <v>2010</v>
      </c>
      <c r="N74" s="15">
        <v>2011</v>
      </c>
      <c r="O74" s="15">
        <v>2012</v>
      </c>
      <c r="P74" s="15">
        <v>2013</v>
      </c>
      <c r="Q74" s="15">
        <v>2014</v>
      </c>
      <c r="R74" s="15">
        <v>2015</v>
      </c>
      <c r="S74" s="15">
        <v>2016</v>
      </c>
      <c r="T74" s="15">
        <v>2017</v>
      </c>
      <c r="U74" s="15">
        <v>2018</v>
      </c>
      <c r="V74" s="15">
        <v>2019</v>
      </c>
      <c r="W74" s="15">
        <v>2020</v>
      </c>
      <c r="X74" s="15">
        <v>2021</v>
      </c>
      <c r="Y74" s="15">
        <v>2022</v>
      </c>
    </row>
    <row r="75" spans="1:25" ht="18" thickBot="1">
      <c r="A75" s="80">
        <v>11</v>
      </c>
      <c r="B75" s="94" t="s">
        <v>167</v>
      </c>
      <c r="C75" s="83">
        <v>0</v>
      </c>
      <c r="D75" s="83">
        <v>0</v>
      </c>
      <c r="E75" s="83">
        <f t="shared" ref="E75:Q75" si="9">+E76+E79+E80+E81+E82</f>
        <v>392</v>
      </c>
      <c r="F75" s="83">
        <f t="shared" si="9"/>
        <v>641</v>
      </c>
      <c r="G75" s="83">
        <f t="shared" si="9"/>
        <v>878</v>
      </c>
      <c r="H75" s="83">
        <f t="shared" si="9"/>
        <v>986</v>
      </c>
      <c r="I75" s="83">
        <f>+I76+I79+I80+I81+I82</f>
        <v>3400</v>
      </c>
      <c r="J75" s="83">
        <f>J76+J79+J80+J81+J82</f>
        <v>11645</v>
      </c>
      <c r="K75" s="83">
        <f t="shared" si="9"/>
        <v>1607</v>
      </c>
      <c r="L75" s="83">
        <f t="shared" si="9"/>
        <v>860</v>
      </c>
      <c r="M75" s="83">
        <f t="shared" si="9"/>
        <v>1190</v>
      </c>
      <c r="N75" s="83">
        <f t="shared" si="9"/>
        <v>2194</v>
      </c>
      <c r="O75" s="83">
        <f t="shared" si="9"/>
        <v>2514.0237399999996</v>
      </c>
      <c r="P75" s="83">
        <f t="shared" si="9"/>
        <v>1668.18859</v>
      </c>
      <c r="Q75" s="83">
        <f t="shared" si="9"/>
        <v>2466.0369499999997</v>
      </c>
      <c r="R75" s="83">
        <f>+R76+R79+R80+R81+R82</f>
        <v>2723.3665999999998</v>
      </c>
      <c r="S75" s="83">
        <v>4624.2601500000001</v>
      </c>
      <c r="T75" s="83">
        <f t="shared" ref="T75:Y75" si="10">+T76+T79+T80+T81+T82</f>
        <v>2600.6197599999996</v>
      </c>
      <c r="U75" s="83">
        <f t="shared" si="10"/>
        <v>3584.253169999999</v>
      </c>
      <c r="V75" s="83">
        <f t="shared" si="10"/>
        <v>3733.2422599999995</v>
      </c>
      <c r="W75" s="83">
        <f t="shared" si="10"/>
        <v>3185.7762399999992</v>
      </c>
      <c r="X75" s="83">
        <f t="shared" si="10"/>
        <v>4729.9330999999984</v>
      </c>
      <c r="Y75" s="83">
        <f t="shared" si="10"/>
        <v>4539.9163999999973</v>
      </c>
    </row>
    <row r="76" spans="1:25" ht="18.75" thickTop="1" thickBot="1">
      <c r="A76" s="85" t="s">
        <v>42</v>
      </c>
      <c r="B76" s="95" t="s">
        <v>260</v>
      </c>
      <c r="C76" s="83">
        <v>0</v>
      </c>
      <c r="D76" s="83">
        <v>0</v>
      </c>
      <c r="E76" s="83">
        <v>392</v>
      </c>
      <c r="F76" s="83">
        <v>6</v>
      </c>
      <c r="G76" s="83">
        <v>13</v>
      </c>
      <c r="H76" s="83">
        <v>8</v>
      </c>
      <c r="I76" s="83">
        <v>22</v>
      </c>
      <c r="J76" s="83">
        <v>37</v>
      </c>
      <c r="K76" s="83">
        <v>0</v>
      </c>
      <c r="L76" s="83">
        <v>17</v>
      </c>
      <c r="M76" s="83">
        <v>0</v>
      </c>
      <c r="N76" s="83">
        <v>6</v>
      </c>
      <c r="O76" s="83">
        <f>SUM(O77:O78)</f>
        <v>23.795919999999999</v>
      </c>
      <c r="P76" s="83">
        <f>P77+P78</f>
        <v>0.9284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3">
        <v>0</v>
      </c>
    </row>
    <row r="77" spans="1:25" ht="18.75" thickTop="1" thickBot="1">
      <c r="A77" s="70" t="s">
        <v>43</v>
      </c>
      <c r="B77" s="96" t="s">
        <v>125</v>
      </c>
      <c r="C77" s="76">
        <v>0</v>
      </c>
      <c r="D77" s="76">
        <v>0</v>
      </c>
      <c r="E77" s="76">
        <v>0</v>
      </c>
      <c r="F77" s="76">
        <v>4</v>
      </c>
      <c r="G77" s="76">
        <v>8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</row>
    <row r="78" spans="1:25" ht="18.75" thickTop="1" thickBot="1">
      <c r="A78" s="70" t="s">
        <v>44</v>
      </c>
      <c r="B78" s="96" t="s">
        <v>126</v>
      </c>
      <c r="C78" s="76">
        <v>0</v>
      </c>
      <c r="D78" s="76">
        <v>0</v>
      </c>
      <c r="E78" s="76">
        <v>392</v>
      </c>
      <c r="F78" s="76">
        <v>2</v>
      </c>
      <c r="G78" s="76">
        <v>5</v>
      </c>
      <c r="H78" s="76">
        <v>8</v>
      </c>
      <c r="I78" s="76">
        <v>22</v>
      </c>
      <c r="J78" s="76">
        <v>37</v>
      </c>
      <c r="K78" s="76">
        <v>0</v>
      </c>
      <c r="L78" s="76">
        <v>17</v>
      </c>
      <c r="M78" s="76">
        <v>0</v>
      </c>
      <c r="N78" s="76">
        <v>6</v>
      </c>
      <c r="O78" s="76">
        <v>23.795919999999999</v>
      </c>
      <c r="P78" s="76">
        <v>0.9284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</row>
    <row r="79" spans="1:25" ht="18.75" thickTop="1" thickBot="1">
      <c r="A79" s="85" t="s">
        <v>46</v>
      </c>
      <c r="B79" s="95" t="s">
        <v>261</v>
      </c>
      <c r="C79" s="104">
        <v>0</v>
      </c>
      <c r="D79" s="104">
        <v>0</v>
      </c>
      <c r="E79" s="104">
        <v>0</v>
      </c>
      <c r="F79" s="104">
        <v>624</v>
      </c>
      <c r="G79" s="104">
        <v>261</v>
      </c>
      <c r="H79" s="104">
        <v>272</v>
      </c>
      <c r="I79" s="104">
        <v>329</v>
      </c>
      <c r="J79" s="104">
        <f>+J80+J81+J82+J83+J84+J85+J86</f>
        <v>6731</v>
      </c>
      <c r="K79" s="104">
        <v>560</v>
      </c>
      <c r="L79" s="104">
        <v>428</v>
      </c>
      <c r="M79" s="104">
        <v>557</v>
      </c>
      <c r="N79" s="104">
        <v>808</v>
      </c>
      <c r="O79" s="104">
        <v>874.28300000000002</v>
      </c>
      <c r="P79" s="104">
        <v>967.66300000000001</v>
      </c>
      <c r="Q79" s="104">
        <v>871.92154999999957</v>
      </c>
      <c r="R79" s="104">
        <v>921.00115999999991</v>
      </c>
      <c r="S79" s="104">
        <v>865.36563999999964</v>
      </c>
      <c r="T79" s="104">
        <v>878.9711199999997</v>
      </c>
      <c r="U79" s="104">
        <v>1212.6007799999995</v>
      </c>
      <c r="V79" s="104">
        <v>1658.8833199999999</v>
      </c>
      <c r="W79" s="104">
        <v>1848.2098399999995</v>
      </c>
      <c r="X79" s="104">
        <v>2974.7155799999982</v>
      </c>
      <c r="Y79" s="104">
        <v>3296.2641899999981</v>
      </c>
    </row>
    <row r="80" spans="1:25" ht="33" thickTop="1" thickBot="1">
      <c r="A80" s="85" t="s">
        <v>47</v>
      </c>
      <c r="B80" s="95" t="s">
        <v>272</v>
      </c>
      <c r="C80" s="104">
        <v>0</v>
      </c>
      <c r="D80" s="104">
        <v>0</v>
      </c>
      <c r="E80" s="104">
        <v>0</v>
      </c>
      <c r="F80" s="104">
        <v>11</v>
      </c>
      <c r="G80" s="104">
        <v>167</v>
      </c>
      <c r="H80" s="104">
        <v>156</v>
      </c>
      <c r="I80" s="104">
        <v>2618</v>
      </c>
      <c r="J80" s="104">
        <v>3880</v>
      </c>
      <c r="K80" s="104">
        <v>109</v>
      </c>
      <c r="L80" s="104">
        <v>27</v>
      </c>
      <c r="M80" s="104">
        <v>37</v>
      </c>
      <c r="N80" s="104">
        <v>537</v>
      </c>
      <c r="O80" s="104">
        <v>606.25001999999995</v>
      </c>
      <c r="P80" s="104">
        <v>11.33778</v>
      </c>
      <c r="Q80" s="104">
        <v>0</v>
      </c>
      <c r="R80" s="104">
        <v>24.53858</v>
      </c>
      <c r="S80" s="104">
        <v>10.97683</v>
      </c>
      <c r="T80" s="104">
        <v>72.236029999999985</v>
      </c>
      <c r="U80" s="104">
        <v>48.655610000000003</v>
      </c>
      <c r="V80" s="104">
        <v>0</v>
      </c>
      <c r="W80" s="104">
        <v>0</v>
      </c>
      <c r="X80" s="104">
        <v>18.35079</v>
      </c>
      <c r="Y80" s="104">
        <v>472.77870999999999</v>
      </c>
    </row>
    <row r="81" spans="1:25" ht="18.75" thickTop="1" thickBot="1">
      <c r="A81" s="85" t="s">
        <v>48</v>
      </c>
      <c r="B81" s="95" t="s">
        <v>168</v>
      </c>
      <c r="C81" s="104">
        <v>0</v>
      </c>
      <c r="D81" s="104">
        <v>0</v>
      </c>
      <c r="E81" s="104">
        <v>0</v>
      </c>
      <c r="F81" s="104">
        <v>0</v>
      </c>
      <c r="G81" s="104">
        <v>425</v>
      </c>
      <c r="H81" s="104">
        <v>448</v>
      </c>
      <c r="I81" s="104">
        <v>382</v>
      </c>
      <c r="J81" s="104">
        <v>868</v>
      </c>
      <c r="K81" s="104">
        <v>873</v>
      </c>
      <c r="L81" s="104">
        <v>388</v>
      </c>
      <c r="M81" s="104">
        <v>596</v>
      </c>
      <c r="N81" s="104">
        <v>682</v>
      </c>
      <c r="O81" s="104">
        <v>981.0548</v>
      </c>
      <c r="P81" s="104">
        <v>663.75741000000005</v>
      </c>
      <c r="Q81" s="104">
        <v>1382.3954200000003</v>
      </c>
      <c r="R81" s="104">
        <v>1331.1525099999997</v>
      </c>
      <c r="S81" s="104">
        <v>3712.7871900000005</v>
      </c>
      <c r="T81" s="104">
        <v>1571.99161</v>
      </c>
      <c r="U81" s="104">
        <v>2322.9967799999995</v>
      </c>
      <c r="V81" s="104">
        <v>2074.3589399999996</v>
      </c>
      <c r="W81" s="104">
        <v>1337.5663999999999</v>
      </c>
      <c r="X81" s="104">
        <v>1736.8667299999997</v>
      </c>
      <c r="Y81" s="104">
        <v>769.67349999999976</v>
      </c>
    </row>
    <row r="82" spans="1:25" ht="18.75" thickTop="1" thickBot="1">
      <c r="A82" s="85" t="s">
        <v>49</v>
      </c>
      <c r="B82" s="95" t="s">
        <v>169</v>
      </c>
      <c r="C82" s="104">
        <v>0</v>
      </c>
      <c r="D82" s="104">
        <v>0</v>
      </c>
      <c r="E82" s="104">
        <v>0</v>
      </c>
      <c r="F82" s="104">
        <v>0</v>
      </c>
      <c r="G82" s="104">
        <v>12</v>
      </c>
      <c r="H82" s="104">
        <v>102</v>
      </c>
      <c r="I82" s="104">
        <v>49</v>
      </c>
      <c r="J82" s="104">
        <v>129</v>
      </c>
      <c r="K82" s="104">
        <v>65</v>
      </c>
      <c r="L82" s="104">
        <v>0</v>
      </c>
      <c r="M82" s="104">
        <v>0</v>
      </c>
      <c r="N82" s="104">
        <v>161</v>
      </c>
      <c r="O82" s="104">
        <v>28.64</v>
      </c>
      <c r="P82" s="104">
        <v>24.501999999999999</v>
      </c>
      <c r="Q82" s="104">
        <v>211.71997999999999</v>
      </c>
      <c r="R82" s="104">
        <v>446.67435000000006</v>
      </c>
      <c r="S82" s="104">
        <v>35.130489999999995</v>
      </c>
      <c r="T82" s="104">
        <v>77.421000000000006</v>
      </c>
      <c r="U82" s="104">
        <v>0</v>
      </c>
      <c r="V82" s="104">
        <v>0</v>
      </c>
      <c r="W82" s="104">
        <v>0</v>
      </c>
      <c r="X82" s="104">
        <v>0</v>
      </c>
      <c r="Y82" s="104">
        <v>1.2</v>
      </c>
    </row>
    <row r="83" spans="1:25" ht="18.75" thickTop="1" thickBot="1">
      <c r="A83" s="80">
        <v>12</v>
      </c>
      <c r="B83" s="94" t="s">
        <v>170</v>
      </c>
      <c r="C83" s="83">
        <v>0</v>
      </c>
      <c r="D83" s="83">
        <v>0</v>
      </c>
      <c r="E83" s="83">
        <f t="shared" ref="E83:Q83" si="11">+E84+E85+E86+E87+E88+E89+E90</f>
        <v>13596</v>
      </c>
      <c r="F83" s="83">
        <f t="shared" si="11"/>
        <v>11668</v>
      </c>
      <c r="G83" s="83">
        <f t="shared" si="11"/>
        <v>21515</v>
      </c>
      <c r="H83" s="83">
        <f t="shared" si="11"/>
        <v>29213</v>
      </c>
      <c r="I83" s="83">
        <f>+I84+I85+I86+I87+I88+I89+I90</f>
        <v>27989</v>
      </c>
      <c r="J83" s="83"/>
      <c r="K83" s="83">
        <f t="shared" si="11"/>
        <v>38870</v>
      </c>
      <c r="L83" s="83">
        <f t="shared" si="11"/>
        <v>80251</v>
      </c>
      <c r="M83" s="83">
        <f t="shared" si="11"/>
        <v>55874</v>
      </c>
      <c r="N83" s="83">
        <f t="shared" si="11"/>
        <v>71488</v>
      </c>
      <c r="O83" s="83">
        <f t="shared" si="11"/>
        <v>52366.426729999999</v>
      </c>
      <c r="P83" s="83">
        <f t="shared" si="11"/>
        <v>49422.88672000001</v>
      </c>
      <c r="Q83" s="83">
        <f t="shared" si="11"/>
        <v>38565.289419999979</v>
      </c>
      <c r="R83" s="83">
        <f>+R84+R85+R86+R87+R88+R89+R90</f>
        <v>27090.377129999983</v>
      </c>
      <c r="S83" s="83">
        <f>SUM(S84:S90)</f>
        <v>23074.076580000001</v>
      </c>
      <c r="T83" s="83">
        <f>+T84+T85+T86+T87+T88+T89+T90</f>
        <v>25836.112259999994</v>
      </c>
      <c r="U83" s="83">
        <f>+U84+U85+U86+U87+U88+U89+U90</f>
        <v>29103.027829999992</v>
      </c>
      <c r="V83" s="83">
        <f>+V84+V85+V86+V87+V88+V89+V90</f>
        <v>25638.088420000029</v>
      </c>
      <c r="W83" s="83">
        <f>+W84+W85+W86+W87+W88+W89+W90</f>
        <v>18879.095369999999</v>
      </c>
      <c r="X83" s="83">
        <f>SUM(X84:X90)</f>
        <v>19821.502899999992</v>
      </c>
      <c r="Y83" s="83">
        <f>SUM(Y84:Y90)</f>
        <v>32016.976600000013</v>
      </c>
    </row>
    <row r="84" spans="1:25" ht="18.75" thickTop="1" thickBot="1">
      <c r="A84" s="85">
        <v>12.1</v>
      </c>
      <c r="B84" s="95" t="s">
        <v>171</v>
      </c>
      <c r="C84" s="104">
        <v>0</v>
      </c>
      <c r="D84" s="104">
        <v>0</v>
      </c>
      <c r="E84" s="104">
        <v>0</v>
      </c>
      <c r="F84" s="104">
        <v>0</v>
      </c>
      <c r="G84" s="104">
        <v>0</v>
      </c>
      <c r="H84" s="104">
        <v>3</v>
      </c>
      <c r="I84" s="104">
        <v>4</v>
      </c>
      <c r="J84" s="104">
        <v>0</v>
      </c>
      <c r="K84" s="104">
        <v>0</v>
      </c>
      <c r="L84" s="104">
        <v>23</v>
      </c>
      <c r="M84" s="104">
        <v>0</v>
      </c>
      <c r="N84" s="104">
        <v>0</v>
      </c>
      <c r="O84" s="104">
        <v>0</v>
      </c>
      <c r="P84" s="104">
        <v>0</v>
      </c>
      <c r="Q84" s="104">
        <v>0</v>
      </c>
      <c r="R84" s="104">
        <v>0</v>
      </c>
      <c r="S84" s="104">
        <v>0</v>
      </c>
      <c r="T84" s="104">
        <v>0</v>
      </c>
      <c r="U84" s="104">
        <v>0</v>
      </c>
      <c r="V84" s="104">
        <v>0</v>
      </c>
      <c r="W84" s="104">
        <v>0</v>
      </c>
      <c r="X84" s="104">
        <v>0</v>
      </c>
      <c r="Y84" s="104">
        <v>0</v>
      </c>
    </row>
    <row r="85" spans="1:25" ht="33" thickTop="1" thickBot="1">
      <c r="A85" s="85">
        <v>12.2</v>
      </c>
      <c r="B85" s="95" t="s">
        <v>273</v>
      </c>
      <c r="C85" s="104">
        <v>0</v>
      </c>
      <c r="D85" s="104">
        <v>0</v>
      </c>
      <c r="E85" s="104">
        <v>2215</v>
      </c>
      <c r="F85" s="104">
        <v>1751</v>
      </c>
      <c r="G85" s="104">
        <v>2934</v>
      </c>
      <c r="H85" s="104">
        <v>4640</v>
      </c>
      <c r="I85" s="104">
        <v>4468</v>
      </c>
      <c r="J85" s="104">
        <v>1854</v>
      </c>
      <c r="K85" s="104">
        <v>293</v>
      </c>
      <c r="L85" s="104">
        <v>137</v>
      </c>
      <c r="M85" s="104">
        <v>114</v>
      </c>
      <c r="N85" s="104">
        <v>225</v>
      </c>
      <c r="O85" s="104">
        <v>177.13254000000001</v>
      </c>
      <c r="P85" s="104">
        <v>142.12970000000001</v>
      </c>
      <c r="Q85" s="104">
        <v>6.1249799999999999</v>
      </c>
      <c r="R85" s="104">
        <v>0.10646000000000001</v>
      </c>
      <c r="S85" s="104">
        <v>0.10646000000000001</v>
      </c>
      <c r="T85" s="104">
        <v>0.10646000000000001</v>
      </c>
      <c r="U85" s="104">
        <v>8.2476300000000009</v>
      </c>
      <c r="V85" s="104">
        <v>0</v>
      </c>
      <c r="W85" s="104">
        <v>0</v>
      </c>
      <c r="X85" s="104">
        <v>0</v>
      </c>
      <c r="Y85" s="104">
        <v>4.6630000000000003</v>
      </c>
    </row>
    <row r="86" spans="1:25" ht="18.75" thickTop="1" thickBot="1">
      <c r="A86" s="85">
        <v>12.3</v>
      </c>
      <c r="B86" s="95" t="s">
        <v>274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4">
        <v>2</v>
      </c>
      <c r="O86" s="104">
        <v>0</v>
      </c>
      <c r="P86" s="104">
        <v>0.21</v>
      </c>
      <c r="Q86" s="104">
        <v>0</v>
      </c>
      <c r="R86" s="104">
        <v>0</v>
      </c>
      <c r="S86" s="104">
        <v>0</v>
      </c>
      <c r="T86" s="104">
        <v>0</v>
      </c>
      <c r="U86" s="104">
        <v>0</v>
      </c>
      <c r="V86" s="104">
        <v>0</v>
      </c>
      <c r="W86" s="104">
        <v>0</v>
      </c>
      <c r="X86" s="104">
        <v>0</v>
      </c>
      <c r="Y86" s="104">
        <v>0</v>
      </c>
    </row>
    <row r="87" spans="1:25" ht="18.75" thickTop="1" thickBot="1">
      <c r="A87" s="85">
        <v>12.4</v>
      </c>
      <c r="B87" s="95" t="s">
        <v>172</v>
      </c>
      <c r="C87" s="104">
        <v>0</v>
      </c>
      <c r="D87" s="104">
        <v>0</v>
      </c>
      <c r="E87" s="104">
        <v>5619</v>
      </c>
      <c r="F87" s="104">
        <v>4322</v>
      </c>
      <c r="G87" s="104">
        <v>7439</v>
      </c>
      <c r="H87" s="104">
        <v>5543</v>
      </c>
      <c r="I87" s="104">
        <v>5634</v>
      </c>
      <c r="J87" s="104">
        <f>+J79+J71</f>
        <v>6731</v>
      </c>
      <c r="K87" s="104">
        <v>10136</v>
      </c>
      <c r="L87" s="104">
        <v>19802</v>
      </c>
      <c r="M87" s="104">
        <v>29162</v>
      </c>
      <c r="N87" s="104">
        <v>38220</v>
      </c>
      <c r="O87" s="104">
        <v>23893.083119999999</v>
      </c>
      <c r="P87" s="104">
        <v>22563.046310000002</v>
      </c>
      <c r="Q87" s="104">
        <v>12035.799199999978</v>
      </c>
      <c r="R87" s="104">
        <v>6152.8215399999972</v>
      </c>
      <c r="S87" s="104">
        <v>6029.6490799999983</v>
      </c>
      <c r="T87" s="104">
        <v>8173.7652999999937</v>
      </c>
      <c r="U87" s="104">
        <v>9126.9682999999895</v>
      </c>
      <c r="V87" s="104">
        <v>7578.7853399999913</v>
      </c>
      <c r="W87" s="104">
        <v>5503.6302700000006</v>
      </c>
      <c r="X87" s="104">
        <v>5891.9184899999937</v>
      </c>
      <c r="Y87" s="104">
        <v>12229.303050000015</v>
      </c>
    </row>
    <row r="88" spans="1:25" ht="18.75" thickTop="1" thickBot="1">
      <c r="A88" s="85">
        <v>12.5</v>
      </c>
      <c r="B88" s="95" t="s">
        <v>275</v>
      </c>
      <c r="C88" s="104">
        <v>0</v>
      </c>
      <c r="D88" s="104">
        <v>0</v>
      </c>
      <c r="E88" s="104">
        <v>2808</v>
      </c>
      <c r="F88" s="104">
        <v>2420</v>
      </c>
      <c r="G88" s="104">
        <v>4861</v>
      </c>
      <c r="H88" s="104">
        <v>5220</v>
      </c>
      <c r="I88" s="104">
        <v>4292</v>
      </c>
      <c r="J88" s="104">
        <v>4082</v>
      </c>
      <c r="K88" s="104">
        <v>8372</v>
      </c>
      <c r="L88" s="104">
        <v>9608</v>
      </c>
      <c r="M88" s="104">
        <v>13125</v>
      </c>
      <c r="N88" s="104">
        <v>17288</v>
      </c>
      <c r="O88" s="104">
        <v>15172.54435</v>
      </c>
      <c r="P88" s="104">
        <v>16573.95638</v>
      </c>
      <c r="Q88" s="104">
        <v>17057.436950000003</v>
      </c>
      <c r="R88" s="104">
        <v>15178.41065999999</v>
      </c>
      <c r="S88" s="104">
        <v>14344.87643</v>
      </c>
      <c r="T88" s="104">
        <v>14525</v>
      </c>
      <c r="U88" s="104">
        <v>16620.571770000006</v>
      </c>
      <c r="V88" s="104">
        <v>16250.488930000038</v>
      </c>
      <c r="W88" s="104">
        <v>11677.068489999996</v>
      </c>
      <c r="X88" s="104">
        <v>11619.472329999995</v>
      </c>
      <c r="Y88" s="104">
        <v>16562.044429999994</v>
      </c>
    </row>
    <row r="89" spans="1:25" ht="18.75" thickTop="1" thickBot="1">
      <c r="A89" s="85">
        <v>12.6</v>
      </c>
      <c r="B89" s="95" t="s">
        <v>276</v>
      </c>
      <c r="C89" s="104">
        <v>0</v>
      </c>
      <c r="D89" s="104">
        <v>0</v>
      </c>
      <c r="E89" s="104">
        <v>2954</v>
      </c>
      <c r="F89" s="104">
        <v>3175</v>
      </c>
      <c r="G89" s="104">
        <v>3013</v>
      </c>
      <c r="H89" s="104">
        <v>3551</v>
      </c>
      <c r="I89" s="104">
        <v>3981</v>
      </c>
      <c r="J89" s="104">
        <v>3610</v>
      </c>
      <c r="K89" s="104">
        <v>4668</v>
      </c>
      <c r="L89" s="104">
        <v>5448</v>
      </c>
      <c r="M89" s="104">
        <v>1043</v>
      </c>
      <c r="N89" s="104">
        <v>6006</v>
      </c>
      <c r="O89" s="104">
        <v>4470.76</v>
      </c>
      <c r="P89" s="104">
        <v>4214.72</v>
      </c>
      <c r="Q89" s="104">
        <v>4303.3728099999998</v>
      </c>
      <c r="R89" s="104">
        <v>2317.4636099999993</v>
      </c>
      <c r="S89" s="104">
        <v>249.89529000000005</v>
      </c>
      <c r="T89" s="104">
        <v>491.62317999999999</v>
      </c>
      <c r="U89" s="104">
        <v>456.48</v>
      </c>
      <c r="V89" s="104">
        <v>416.86647999999991</v>
      </c>
      <c r="W89" s="104">
        <v>157.40833999999998</v>
      </c>
      <c r="X89" s="104">
        <v>47.798419999999993</v>
      </c>
      <c r="Y89" s="104">
        <v>16.059719999999999</v>
      </c>
    </row>
    <row r="90" spans="1:25" ht="18.75" thickTop="1" thickBot="1">
      <c r="A90" s="85">
        <v>12.7</v>
      </c>
      <c r="B90" s="95" t="s">
        <v>174</v>
      </c>
      <c r="C90" s="104">
        <v>0</v>
      </c>
      <c r="D90" s="104">
        <v>0</v>
      </c>
      <c r="E90" s="104">
        <v>0</v>
      </c>
      <c r="F90" s="104">
        <v>0</v>
      </c>
      <c r="G90" s="104">
        <v>3268</v>
      </c>
      <c r="H90" s="104">
        <v>10256</v>
      </c>
      <c r="I90" s="104">
        <v>9610</v>
      </c>
      <c r="J90" s="104">
        <f>+J87+J64</f>
        <v>6810</v>
      </c>
      <c r="K90" s="104">
        <v>15401</v>
      </c>
      <c r="L90" s="104">
        <v>45233</v>
      </c>
      <c r="M90" s="104">
        <v>12430</v>
      </c>
      <c r="N90" s="104">
        <v>9747</v>
      </c>
      <c r="O90" s="104">
        <v>8652.9067200000009</v>
      </c>
      <c r="P90" s="104">
        <v>5928.8243300000004</v>
      </c>
      <c r="Q90" s="104">
        <v>5162.5554799999973</v>
      </c>
      <c r="R90" s="104">
        <v>3441.5748599999979</v>
      </c>
      <c r="S90" s="104">
        <v>2449.5493200000001</v>
      </c>
      <c r="T90" s="104">
        <v>2645.6173199999994</v>
      </c>
      <c r="U90" s="104">
        <v>2890.7601300000006</v>
      </c>
      <c r="V90" s="104">
        <v>1391.9476699999991</v>
      </c>
      <c r="W90" s="104">
        <v>1540.9882700000003</v>
      </c>
      <c r="X90" s="104">
        <v>2262.3136600000025</v>
      </c>
      <c r="Y90" s="104">
        <v>3204.9064000000003</v>
      </c>
    </row>
    <row r="91" spans="1:25" ht="20.25" thickTop="1" thickBot="1">
      <c r="A91" s="106"/>
      <c r="B91" s="107" t="s">
        <v>50</v>
      </c>
      <c r="C91" s="108">
        <f t="shared" ref="C91:T91" si="12">+C83+C75</f>
        <v>0</v>
      </c>
      <c r="D91" s="108">
        <f t="shared" si="12"/>
        <v>0</v>
      </c>
      <c r="E91" s="108">
        <f t="shared" si="12"/>
        <v>13988</v>
      </c>
      <c r="F91" s="108">
        <f t="shared" si="12"/>
        <v>12309</v>
      </c>
      <c r="G91" s="108">
        <f t="shared" si="12"/>
        <v>22393</v>
      </c>
      <c r="H91" s="108">
        <f t="shared" si="12"/>
        <v>30199</v>
      </c>
      <c r="I91" s="108">
        <f t="shared" si="12"/>
        <v>31389</v>
      </c>
      <c r="J91" s="108">
        <f t="shared" si="12"/>
        <v>11645</v>
      </c>
      <c r="K91" s="108">
        <f t="shared" si="12"/>
        <v>40477</v>
      </c>
      <c r="L91" s="108">
        <f t="shared" si="12"/>
        <v>81111</v>
      </c>
      <c r="M91" s="108">
        <f t="shared" si="12"/>
        <v>57064</v>
      </c>
      <c r="N91" s="108">
        <f t="shared" si="12"/>
        <v>73682</v>
      </c>
      <c r="O91" s="108">
        <f t="shared" si="12"/>
        <v>54880.450469999996</v>
      </c>
      <c r="P91" s="108">
        <f t="shared" si="12"/>
        <v>51091.075310000007</v>
      </c>
      <c r="Q91" s="108">
        <f t="shared" si="12"/>
        <v>41031.326369999981</v>
      </c>
      <c r="R91" s="108">
        <f t="shared" si="12"/>
        <v>29813.743729999984</v>
      </c>
      <c r="S91" s="108">
        <f t="shared" si="12"/>
        <v>27698.336730000003</v>
      </c>
      <c r="T91" s="108">
        <f t="shared" si="12"/>
        <v>28436.732019999996</v>
      </c>
      <c r="U91" s="108">
        <f>+U83+U75</f>
        <v>32687.280999999992</v>
      </c>
      <c r="V91" s="108">
        <f>+V83+V75</f>
        <v>29371.330680000028</v>
      </c>
      <c r="W91" s="108">
        <f>+W83+W75</f>
        <v>22064.871609999998</v>
      </c>
      <c r="X91" s="108">
        <f>+X83+X75</f>
        <v>24551.435999999991</v>
      </c>
      <c r="Y91" s="108">
        <f>+Y83+Y75</f>
        <v>36556.893000000011</v>
      </c>
    </row>
    <row r="92" spans="1:25" ht="13.5" thickTop="1"/>
    <row r="94" spans="1:25" ht="19.5" thickBot="1">
      <c r="A94" s="106"/>
      <c r="B94" s="107" t="s">
        <v>177</v>
      </c>
      <c r="C94" s="108">
        <f t="shared" ref="C94:S94" si="13">+C91+C67</f>
        <v>85189</v>
      </c>
      <c r="D94" s="108">
        <f t="shared" si="13"/>
        <v>83915</v>
      </c>
      <c r="E94" s="108">
        <f t="shared" si="13"/>
        <v>100530</v>
      </c>
      <c r="F94" s="108">
        <f t="shared" si="13"/>
        <v>116276</v>
      </c>
      <c r="G94" s="108">
        <f t="shared" si="13"/>
        <v>162381</v>
      </c>
      <c r="H94" s="108">
        <f t="shared" si="13"/>
        <v>206800</v>
      </c>
      <c r="I94" s="108">
        <f t="shared" si="13"/>
        <v>252344</v>
      </c>
      <c r="J94" s="108">
        <f t="shared" si="13"/>
        <v>293023</v>
      </c>
      <c r="K94" s="108">
        <f t="shared" si="13"/>
        <v>502390</v>
      </c>
      <c r="L94" s="108">
        <f t="shared" si="13"/>
        <v>446887</v>
      </c>
      <c r="M94" s="108">
        <f t="shared" si="13"/>
        <v>572032</v>
      </c>
      <c r="N94" s="108">
        <f t="shared" si="13"/>
        <v>638068</v>
      </c>
      <c r="O94" s="108">
        <f t="shared" si="13"/>
        <v>567836.47548000002</v>
      </c>
      <c r="P94" s="108">
        <f t="shared" si="13"/>
        <v>646890.89564999996</v>
      </c>
      <c r="Q94" s="108">
        <f t="shared" si="13"/>
        <v>771420.46668000019</v>
      </c>
      <c r="R94" s="108">
        <f t="shared" si="13"/>
        <v>877126.54916000017</v>
      </c>
      <c r="S94" s="108">
        <f t="shared" si="13"/>
        <v>898962.30918999971</v>
      </c>
      <c r="T94" s="108">
        <f t="shared" ref="T94:Y94" si="14">+T91+T67</f>
        <v>1028222.1422199992</v>
      </c>
      <c r="U94" s="108">
        <f t="shared" si="14"/>
        <v>1084780.8901899995</v>
      </c>
      <c r="V94" s="108">
        <f t="shared" si="14"/>
        <v>991636.54974999989</v>
      </c>
      <c r="W94" s="108">
        <f t="shared" si="14"/>
        <v>1026046.3824499997</v>
      </c>
      <c r="X94" s="108">
        <f t="shared" si="14"/>
        <v>1140075.1578800003</v>
      </c>
      <c r="Y94" s="108">
        <f t="shared" si="14"/>
        <v>1170885.3749599995</v>
      </c>
    </row>
    <row r="95" spans="1:25" ht="13.5" thickTop="1">
      <c r="B95" s="11"/>
      <c r="C95" s="11"/>
      <c r="D95" s="11"/>
      <c r="E95" s="11"/>
    </row>
    <row r="96" spans="1:25" ht="15.75">
      <c r="B96" s="99" t="s">
        <v>181</v>
      </c>
    </row>
    <row r="97" spans="2:20">
      <c r="B97" s="11"/>
    </row>
    <row r="99" spans="2:20">
      <c r="N99" s="13"/>
      <c r="O99" s="51"/>
      <c r="P99" s="53"/>
      <c r="Q99" s="53"/>
      <c r="R99" s="14"/>
      <c r="S99" s="14"/>
      <c r="T99" s="14"/>
    </row>
    <row r="100" spans="2:20">
      <c r="N100" s="13"/>
      <c r="O100" s="51"/>
      <c r="P100" s="53"/>
      <c r="Q100" s="53"/>
      <c r="R100" s="14"/>
      <c r="S100" s="14"/>
      <c r="T100" s="14"/>
    </row>
    <row r="101" spans="2:20">
      <c r="R101" s="14"/>
      <c r="S101" s="14"/>
      <c r="T101" s="14"/>
    </row>
    <row r="102" spans="2:20">
      <c r="N102" s="13"/>
      <c r="O102" s="11"/>
      <c r="P102" s="54"/>
      <c r="Q102" s="53"/>
    </row>
    <row r="104" spans="2:20">
      <c r="Q104" s="14"/>
    </row>
  </sheetData>
  <mergeCells count="4">
    <mergeCell ref="C10:L10"/>
    <mergeCell ref="E12:J12"/>
    <mergeCell ref="A15:Y15"/>
    <mergeCell ref="A73:Y73"/>
  </mergeCells>
  <phoneticPr fontId="6" type="noConversion"/>
  <pageMargins left="1.1811023622047245" right="0.19685039370078741" top="0.59055118110236227" bottom="0.39370078740157483" header="0" footer="0"/>
  <pageSetup paperSize="9" scale="58" orientation="portrait" horizontalDpi="4294967292" verticalDpi="300" r:id="rId1"/>
  <headerFooter alignWithMargins="0"/>
  <ignoredErrors>
    <ignoredError sqref="R31 J79 J87 J90 V37:Y37 Y55" unlockedFormula="1"/>
    <ignoredError sqref="T37:U37 L61:N61 S19:W19 O23:Y23 U27 V41:W41 X19:Y19 X41:Y41" formulaRange="1"/>
    <ignoredError sqref="T55:V55 W61 W55:X55 X61:Y61" formulaRange="1" unlockedFormula="1"/>
    <ignoredError sqref="J7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Graficas Serie</vt:lpstr>
      <vt:lpstr>Graficos 2022</vt:lpstr>
      <vt:lpstr>graficos_extra_prod</vt:lpstr>
      <vt:lpstr>CONSUMO VOL Sin Zona Franca</vt:lpstr>
      <vt:lpstr>CONSUMO VOL Con zona Franca </vt:lpstr>
      <vt:lpstr>Extrac-prod Sin Zona Franca</vt:lpstr>
      <vt:lpstr>Extrac- Prod Con Zona Franca</vt:lpstr>
      <vt:lpstr>EXPORT VOL Sin Zona Franca</vt:lpstr>
      <vt:lpstr>EXPORT VALOR Sin Zona Franca</vt:lpstr>
      <vt:lpstr>EXPORT VOL Con zona Franca</vt:lpstr>
      <vt:lpstr>EXPORT VALOR Con Zona Franca</vt:lpstr>
      <vt:lpstr>IMPORT VOLUMEN Sin Zona Franca</vt:lpstr>
      <vt:lpstr>IMPORT VALOR  Sin ZF_NUM &gt;</vt:lpstr>
      <vt:lpstr>IMPORT VOLUMEN Con Zona Franca_</vt:lpstr>
      <vt:lpstr>IMPORT VALOR CON z F_MENOR</vt:lpstr>
      <vt:lpstr>VALOS PROMEDIO</vt:lpstr>
    </vt:vector>
  </TitlesOfParts>
  <Company>DGF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Manejo y Proteccion</dc:creator>
  <cp:lastModifiedBy>Boscana Goires Mariana Renee</cp:lastModifiedBy>
  <cp:lastPrinted>2017-06-13T13:58:26Z</cp:lastPrinted>
  <dcterms:created xsi:type="dcterms:W3CDTF">2006-08-30T16:50:01Z</dcterms:created>
  <dcterms:modified xsi:type="dcterms:W3CDTF">2023-06-21T13:42:24Z</dcterms:modified>
</cp:coreProperties>
</file>