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miem.local\dfs\DNE\Sectores\Division de Demanda, Acceso y Eficiencia Energetica\DDAEE-Compartido\Premio de EE\Edición 2024\2_Categorías, bases y formularios\"/>
    </mc:Choice>
  </mc:AlternateContent>
  <xr:revisionPtr revIDLastSave="0" documentId="13_ncr:1_{059E9D34-1566-45CE-BA95-CFE538D57241}" xr6:coauthVersionLast="47" xr6:coauthVersionMax="47" xr10:uidLastSave="{00000000-0000-0000-0000-000000000000}"/>
  <workbookProtection workbookAlgorithmName="SHA-512" workbookHashValue="g0WndgxKYdmLxYkZg2IW8meVnJJ7tz9dYqnd2cMTe0sKL0eyNYV966lMeQjozV7eEcaqzsfZvyjMHrnsHGnkHw==" workbookSaltValue="LosS74a5ksLG0SG9mABD1Q==" workbookSpinCount="100000" lockStructure="1"/>
  <bookViews>
    <workbookView xWindow="-120" yWindow="-120" windowWidth="20730" windowHeight="11160" tabRatio="777" xr2:uid="{00000000-000D-0000-FFFF-FFFF00000000}"/>
  </bookViews>
  <sheets>
    <sheet name="Datos Postulación" sheetId="60" r:id="rId1"/>
    <sheet name="Datos Instalaciones" sheetId="58" r:id="rId2"/>
    <sheet name="Instrucciones para hoja MMEE" sheetId="47" r:id="rId3"/>
    <sheet name="MMEE std" sheetId="55" r:id="rId4"/>
    <sheet name="Resumen" sheetId="59" r:id="rId5"/>
    <sheet name="Calculadores" sheetId="54" state="hidden" r:id="rId6"/>
  </sheets>
  <externalReferences>
    <externalReference r:id="rId7"/>
    <externalReference r:id="rId8"/>
    <externalReference r:id="rId9"/>
  </externalReferences>
  <definedNames>
    <definedName name="_xlnm._FilterDatabase" localSheetId="3" hidden="1">'MMEE std'!$H$7:$BI$10</definedName>
    <definedName name="_xlnm.Print_Area" localSheetId="0">'Datos Postulación'!$A$1:$F$38</definedName>
    <definedName name="_xlnm.Print_Area" localSheetId="3">'MMEE std'!$A$1:$AA$29</definedName>
    <definedName name="Fuentes" localSheetId="0">[1]Hoja1!$B$3:$B$11</definedName>
    <definedName name="Seleccione" localSheetId="1">#REF!</definedName>
    <definedName name="Seleccione" localSheetId="0">#REF!</definedName>
    <definedName name="Seleccione" localSheetId="3">#REF!</definedName>
    <definedName name="Seleccione" localSheetId="4">#REF!</definedName>
    <definedName name="Seleccione">#REF!</definedName>
    <definedName name="Seleccione_la_opción_que_corresponda" localSheetId="1">#REF!</definedName>
    <definedName name="Seleccione_la_opción_que_corresponda" localSheetId="0">#REF!</definedName>
    <definedName name="Seleccione_la_opción_que_corresponda" localSheetId="3">#REF!</definedName>
    <definedName name="Seleccione_la_opción_que_corresponda" localSheetId="4">#REF!</definedName>
    <definedName name="Seleccione_la_opción_que_corresponda">#REF!</definedName>
    <definedName name="_xlnm.Print_Titles" localSheetId="3">'MMEE std'!$1:$2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7" i="55" l="1"/>
  <c r="AO38" i="55" s="1"/>
  <c r="AO39" i="55" s="1"/>
  <c r="AO40" i="55" s="1"/>
  <c r="AO41" i="55" s="1"/>
  <c r="AO42" i="55" s="1"/>
  <c r="AO43" i="55" s="1"/>
  <c r="AQ11" i="55"/>
  <c r="AQ12" i="55"/>
  <c r="AQ13" i="55"/>
  <c r="AQ14" i="55"/>
  <c r="AQ15" i="55"/>
  <c r="AQ16" i="55"/>
  <c r="AQ17" i="55"/>
  <c r="AQ18" i="55"/>
  <c r="AQ19" i="55"/>
  <c r="AQ20" i="55"/>
  <c r="AQ21" i="55"/>
  <c r="AQ22" i="55"/>
  <c r="AQ23" i="55"/>
  <c r="AQ24" i="55"/>
  <c r="AQ25" i="55"/>
  <c r="AQ26" i="55"/>
  <c r="AQ27" i="55"/>
  <c r="AQ28" i="55"/>
  <c r="AQ29" i="55"/>
  <c r="AA11" i="55"/>
  <c r="AA12" i="55"/>
  <c r="AA13" i="55"/>
  <c r="AA14" i="55"/>
  <c r="AA15" i="55"/>
  <c r="AA16" i="55"/>
  <c r="AA17" i="55"/>
  <c r="AA18" i="55"/>
  <c r="AA19" i="55"/>
  <c r="AA20" i="55"/>
  <c r="AA21" i="55"/>
  <c r="AA22" i="55"/>
  <c r="AA23" i="55"/>
  <c r="AA24" i="55"/>
  <c r="AA25" i="55"/>
  <c r="AA26" i="55"/>
  <c r="AA27" i="55"/>
  <c r="AA28" i="55"/>
  <c r="AA29" i="55"/>
  <c r="AS11" i="55" l="1"/>
  <c r="AS12" i="55"/>
  <c r="AS13" i="55"/>
  <c r="AS14" i="55"/>
  <c r="AS15" i="55"/>
  <c r="AS16" i="55"/>
  <c r="AS17" i="55"/>
  <c r="AS18" i="55"/>
  <c r="AS19" i="55"/>
  <c r="AS20" i="55"/>
  <c r="AS21" i="55"/>
  <c r="AS22" i="55"/>
  <c r="AS23" i="55"/>
  <c r="AS24" i="55"/>
  <c r="AS25" i="55"/>
  <c r="AS26" i="55"/>
  <c r="AS27" i="55"/>
  <c r="AS28" i="55"/>
  <c r="AS29" i="55"/>
  <c r="AN11" i="55"/>
  <c r="AP11" i="55" s="1"/>
  <c r="AN12" i="55"/>
  <c r="AO12" i="55" s="1"/>
  <c r="AT12" i="55" s="1"/>
  <c r="AN13" i="55"/>
  <c r="AR13" i="55" s="1"/>
  <c r="AN14" i="55"/>
  <c r="AR14" i="55" s="1"/>
  <c r="AN15" i="55"/>
  <c r="AP15" i="55" s="1"/>
  <c r="AN16" i="55"/>
  <c r="AO16" i="55" s="1"/>
  <c r="AT16" i="55" s="1"/>
  <c r="AN17" i="55"/>
  <c r="AR17" i="55" s="1"/>
  <c r="AN18" i="55"/>
  <c r="AR18" i="55" s="1"/>
  <c r="AN19" i="55"/>
  <c r="AP19" i="55" s="1"/>
  <c r="AN20" i="55"/>
  <c r="AO20" i="55" s="1"/>
  <c r="AT20" i="55" s="1"/>
  <c r="AN21" i="55"/>
  <c r="AR21" i="55" s="1"/>
  <c r="AN22" i="55"/>
  <c r="AR22" i="55" s="1"/>
  <c r="AN23" i="55"/>
  <c r="AP23" i="55" s="1"/>
  <c r="AN24" i="55"/>
  <c r="AO24" i="55" s="1"/>
  <c r="AT24" i="55" s="1"/>
  <c r="AN25" i="55"/>
  <c r="AR25" i="55" s="1"/>
  <c r="AN26" i="55"/>
  <c r="AR26" i="55" s="1"/>
  <c r="AN27" i="55"/>
  <c r="AP27" i="55" s="1"/>
  <c r="AN28" i="55"/>
  <c r="AO28" i="55" s="1"/>
  <c r="AT28" i="55" s="1"/>
  <c r="AN29" i="55"/>
  <c r="AR29" i="55" s="1"/>
  <c r="AC11" i="55"/>
  <c r="AC12" i="55"/>
  <c r="AC13" i="55"/>
  <c r="AC14" i="55"/>
  <c r="AC15" i="55"/>
  <c r="AC16" i="55"/>
  <c r="AC17" i="55"/>
  <c r="AC18" i="55"/>
  <c r="AC19" i="55"/>
  <c r="AC20" i="55"/>
  <c r="AC21" i="55"/>
  <c r="AC22" i="55"/>
  <c r="AC23" i="55"/>
  <c r="AC24" i="55"/>
  <c r="AC25" i="55"/>
  <c r="AC26" i="55"/>
  <c r="AC27" i="55"/>
  <c r="AC28" i="55"/>
  <c r="AC29" i="55"/>
  <c r="Y11" i="55"/>
  <c r="Y12" i="55"/>
  <c r="Y13" i="55"/>
  <c r="Y14" i="55"/>
  <c r="Y15" i="55"/>
  <c r="Y16" i="55"/>
  <c r="Y17" i="55"/>
  <c r="Y18" i="55"/>
  <c r="Y19" i="55"/>
  <c r="Y20" i="55"/>
  <c r="Y21" i="55"/>
  <c r="Y22" i="55"/>
  <c r="Y23" i="55"/>
  <c r="Y24" i="55"/>
  <c r="Y25" i="55"/>
  <c r="Y26" i="55"/>
  <c r="Y27" i="55"/>
  <c r="Y28" i="55"/>
  <c r="Y29" i="55"/>
  <c r="X11" i="55"/>
  <c r="AB11" i="55" s="1"/>
  <c r="X12" i="55"/>
  <c r="AB12" i="55" s="1"/>
  <c r="X13" i="55"/>
  <c r="AB13" i="55" s="1"/>
  <c r="X14" i="55"/>
  <c r="X15" i="55"/>
  <c r="AB15" i="55" s="1"/>
  <c r="X16" i="55"/>
  <c r="AB16" i="55" s="1"/>
  <c r="X17" i="55"/>
  <c r="AB17" i="55" s="1"/>
  <c r="X18" i="55"/>
  <c r="X19" i="55"/>
  <c r="AB19" i="55" s="1"/>
  <c r="X20" i="55"/>
  <c r="AB20" i="55" s="1"/>
  <c r="X21" i="55"/>
  <c r="AB21" i="55" s="1"/>
  <c r="X22" i="55"/>
  <c r="X23" i="55"/>
  <c r="AB23" i="55" s="1"/>
  <c r="X24" i="55"/>
  <c r="AB24" i="55" s="1"/>
  <c r="X25" i="55"/>
  <c r="X26" i="55"/>
  <c r="X27" i="55"/>
  <c r="AB27" i="55" s="1"/>
  <c r="X28" i="55"/>
  <c r="AB28" i="55" s="1"/>
  <c r="X29" i="55"/>
  <c r="O11" i="55"/>
  <c r="O12" i="55"/>
  <c r="O13" i="55"/>
  <c r="O14" i="55"/>
  <c r="O15" i="55"/>
  <c r="O16" i="55"/>
  <c r="O17" i="55"/>
  <c r="O18" i="55"/>
  <c r="O19" i="55"/>
  <c r="O20" i="55"/>
  <c r="O21" i="55"/>
  <c r="O22" i="55"/>
  <c r="O23" i="55"/>
  <c r="O24" i="55"/>
  <c r="O25" i="55"/>
  <c r="O26" i="55"/>
  <c r="O27" i="55"/>
  <c r="O28" i="55"/>
  <c r="O29" i="55"/>
  <c r="M11" i="55"/>
  <c r="M12" i="55"/>
  <c r="M13" i="55"/>
  <c r="M14" i="55"/>
  <c r="M15" i="55"/>
  <c r="M16" i="55"/>
  <c r="M17" i="55"/>
  <c r="M18" i="55"/>
  <c r="M19" i="55"/>
  <c r="M20" i="55"/>
  <c r="M21" i="55"/>
  <c r="M22" i="55"/>
  <c r="M23" i="55"/>
  <c r="M24" i="55"/>
  <c r="M25" i="55"/>
  <c r="M26" i="55"/>
  <c r="M27" i="55"/>
  <c r="M28" i="55"/>
  <c r="M29" i="55"/>
  <c r="M10" i="55"/>
  <c r="L11" i="55"/>
  <c r="L12" i="55"/>
  <c r="L13" i="55"/>
  <c r="L14" i="55"/>
  <c r="L15" i="55"/>
  <c r="L16" i="55"/>
  <c r="L17" i="55"/>
  <c r="L18" i="55"/>
  <c r="L19" i="55"/>
  <c r="L20" i="55"/>
  <c r="L21" i="55"/>
  <c r="L22" i="55"/>
  <c r="L23" i="55"/>
  <c r="L24" i="55"/>
  <c r="L25" i="55"/>
  <c r="L26" i="55"/>
  <c r="L27" i="55"/>
  <c r="L28" i="55"/>
  <c r="L29" i="55"/>
  <c r="L10" i="55"/>
  <c r="I11" i="55"/>
  <c r="I12" i="55"/>
  <c r="I13" i="55"/>
  <c r="I14" i="55"/>
  <c r="I15" i="55"/>
  <c r="I16" i="55"/>
  <c r="I17" i="55"/>
  <c r="I18" i="55"/>
  <c r="I19" i="55"/>
  <c r="I20" i="55"/>
  <c r="I21" i="55"/>
  <c r="I22" i="55"/>
  <c r="I23" i="55"/>
  <c r="I24" i="55"/>
  <c r="I25" i="55"/>
  <c r="I26" i="55"/>
  <c r="I27" i="55"/>
  <c r="I28" i="55"/>
  <c r="I29" i="55"/>
  <c r="I10" i="55"/>
  <c r="O10" i="55"/>
  <c r="AO13" i="55" l="1"/>
  <c r="AT13" i="55" s="1"/>
  <c r="AO29" i="55"/>
  <c r="AT29" i="55" s="1"/>
  <c r="AO21" i="55"/>
  <c r="AT21" i="55" s="1"/>
  <c r="AO25" i="55"/>
  <c r="AT25" i="55" s="1"/>
  <c r="AE28" i="55"/>
  <c r="AE24" i="55"/>
  <c r="AE20" i="55"/>
  <c r="AE16" i="55"/>
  <c r="AE12" i="55"/>
  <c r="AO17" i="55"/>
  <c r="AT17" i="55" s="1"/>
  <c r="Z27" i="55"/>
  <c r="AU28" i="55"/>
  <c r="AU24" i="55"/>
  <c r="AU20" i="55"/>
  <c r="AU16" i="55"/>
  <c r="AU12" i="55"/>
  <c r="Z26" i="55"/>
  <c r="AB26" i="55"/>
  <c r="Z22" i="55"/>
  <c r="AB22" i="55"/>
  <c r="Z18" i="55"/>
  <c r="AB18" i="55"/>
  <c r="Z14" i="55"/>
  <c r="AB14" i="55"/>
  <c r="Z23" i="55"/>
  <c r="AO23" i="55"/>
  <c r="AT23" i="55" s="1"/>
  <c r="AO15" i="55"/>
  <c r="AT15" i="55" s="1"/>
  <c r="AU27" i="55"/>
  <c r="AU23" i="55"/>
  <c r="AU19" i="55"/>
  <c r="AU15" i="55"/>
  <c r="Z29" i="55"/>
  <c r="AB29" i="55"/>
  <c r="Z25" i="55"/>
  <c r="AB25" i="55"/>
  <c r="Z19" i="55"/>
  <c r="AU26" i="55"/>
  <c r="AU22" i="55"/>
  <c r="AU18" i="55"/>
  <c r="AU14" i="55"/>
  <c r="Z15" i="55"/>
  <c r="AE26" i="55"/>
  <c r="AE22" i="55"/>
  <c r="AE18" i="55"/>
  <c r="AE14" i="55"/>
  <c r="AO27" i="55"/>
  <c r="AT27" i="55" s="1"/>
  <c r="AO19" i="55"/>
  <c r="AT19" i="55" s="1"/>
  <c r="AU29" i="55"/>
  <c r="AU25" i="55"/>
  <c r="AU21" i="55"/>
  <c r="AU17" i="55"/>
  <c r="AU13" i="55"/>
  <c r="Z11" i="55"/>
  <c r="AO11" i="55"/>
  <c r="AT11" i="55" s="1"/>
  <c r="AU11" i="55"/>
  <c r="Z17" i="55"/>
  <c r="AE29" i="55"/>
  <c r="AE25" i="55"/>
  <c r="AE21" i="55"/>
  <c r="AE17" i="55"/>
  <c r="AE13" i="55"/>
  <c r="Z21" i="55"/>
  <c r="Z13" i="55"/>
  <c r="AE27" i="55"/>
  <c r="AE23" i="55"/>
  <c r="AE19" i="55"/>
  <c r="AE15" i="55"/>
  <c r="AE11" i="55"/>
  <c r="AP26" i="55"/>
  <c r="AP22" i="55"/>
  <c r="AP18" i="55"/>
  <c r="AP14" i="55"/>
  <c r="AR28" i="55"/>
  <c r="AR24" i="55"/>
  <c r="AR20" i="55"/>
  <c r="AR16" i="55"/>
  <c r="AR12" i="55"/>
  <c r="Z28" i="55"/>
  <c r="Z24" i="55"/>
  <c r="Z20" i="55"/>
  <c r="Z16" i="55"/>
  <c r="Z12" i="55"/>
  <c r="AO26" i="55"/>
  <c r="AT26" i="55" s="1"/>
  <c r="AO22" i="55"/>
  <c r="AT22" i="55" s="1"/>
  <c r="AO18" i="55"/>
  <c r="AT18" i="55" s="1"/>
  <c r="AO14" i="55"/>
  <c r="AT14" i="55" s="1"/>
  <c r="AP29" i="55"/>
  <c r="AP25" i="55"/>
  <c r="AP21" i="55"/>
  <c r="AP17" i="55"/>
  <c r="AP13" i="55"/>
  <c r="AR27" i="55"/>
  <c r="AR23" i="55"/>
  <c r="AR19" i="55"/>
  <c r="AR15" i="55"/>
  <c r="AR11" i="55"/>
  <c r="AP28" i="55"/>
  <c r="AP24" i="55"/>
  <c r="AP20" i="55"/>
  <c r="AP16" i="55"/>
  <c r="AP12" i="55"/>
  <c r="AN10" i="55"/>
  <c r="AP10" i="55" s="1"/>
  <c r="AQ10" i="55"/>
  <c r="Y10" i="55"/>
  <c r="X10" i="55"/>
  <c r="AA10" i="55"/>
  <c r="B304" i="54"/>
  <c r="B303" i="54"/>
  <c r="B293" i="54"/>
  <c r="B289" i="54"/>
  <c r="B291" i="54" s="1"/>
  <c r="B287" i="54"/>
  <c r="B286" i="54"/>
  <c r="B277" i="54"/>
  <c r="B276" i="54"/>
  <c r="B262" i="54"/>
  <c r="B264" i="54" s="1"/>
  <c r="B260" i="54"/>
  <c r="B259" i="54"/>
  <c r="AS10" i="55" l="1"/>
  <c r="AU10" i="55" s="1"/>
  <c r="Z10" i="55"/>
  <c r="AB10" i="55"/>
  <c r="B263" i="54"/>
  <c r="B278" i="54" s="1"/>
  <c r="B279" i="54" s="1"/>
  <c r="AR10" i="55"/>
  <c r="AC10" i="55"/>
  <c r="AE10" i="55" s="1"/>
  <c r="AO10" i="55"/>
  <c r="B290" i="54"/>
  <c r="E8" i="59"/>
  <c r="E9" i="59"/>
  <c r="E10" i="59"/>
  <c r="E11" i="59"/>
  <c r="E12" i="59"/>
  <c r="E13" i="59"/>
  <c r="E14" i="59"/>
  <c r="E15" i="59"/>
  <c r="E16" i="59"/>
  <c r="E17" i="59"/>
  <c r="E18" i="59"/>
  <c r="E19" i="59"/>
  <c r="E20" i="59"/>
  <c r="E21" i="59"/>
  <c r="E22" i="59"/>
  <c r="E23" i="59"/>
  <c r="E24" i="59"/>
  <c r="E25" i="59"/>
  <c r="E26" i="59"/>
  <c r="E7" i="59"/>
  <c r="D8" i="59"/>
  <c r="D9" i="59"/>
  <c r="D10" i="59"/>
  <c r="D11" i="59"/>
  <c r="D12" i="59"/>
  <c r="D13" i="59"/>
  <c r="D14" i="59"/>
  <c r="D15" i="59"/>
  <c r="D16" i="59"/>
  <c r="D17" i="59"/>
  <c r="D18" i="59"/>
  <c r="D19" i="59"/>
  <c r="D20" i="59"/>
  <c r="D21" i="59"/>
  <c r="D22" i="59"/>
  <c r="D23" i="59"/>
  <c r="D24" i="59"/>
  <c r="D25" i="59"/>
  <c r="D26" i="59"/>
  <c r="D7" i="59"/>
  <c r="C8" i="59"/>
  <c r="C9" i="59"/>
  <c r="C10" i="59"/>
  <c r="C11" i="59"/>
  <c r="C12" i="59"/>
  <c r="C13" i="59"/>
  <c r="C14" i="59"/>
  <c r="C15" i="59"/>
  <c r="C16" i="59"/>
  <c r="C17" i="59"/>
  <c r="C18" i="59"/>
  <c r="C19" i="59"/>
  <c r="C20" i="59"/>
  <c r="C21" i="59"/>
  <c r="C22" i="59"/>
  <c r="C23" i="59"/>
  <c r="C24" i="59"/>
  <c r="C25" i="59"/>
  <c r="C26" i="59"/>
  <c r="C7" i="59"/>
  <c r="B8" i="59"/>
  <c r="B9" i="59"/>
  <c r="B10" i="59"/>
  <c r="B11" i="59"/>
  <c r="B12" i="59"/>
  <c r="B13" i="59"/>
  <c r="B14" i="59"/>
  <c r="B15" i="59"/>
  <c r="B16" i="59"/>
  <c r="B17" i="59"/>
  <c r="B18" i="59"/>
  <c r="B19" i="59"/>
  <c r="B20" i="59"/>
  <c r="B21" i="59"/>
  <c r="B22" i="59"/>
  <c r="B23" i="59"/>
  <c r="B24" i="59"/>
  <c r="B25" i="59"/>
  <c r="B26" i="59"/>
  <c r="B7" i="59"/>
  <c r="F26" i="59"/>
  <c r="F25" i="59"/>
  <c r="F24" i="59"/>
  <c r="F23" i="59"/>
  <c r="F22" i="59"/>
  <c r="F21" i="59"/>
  <c r="F20" i="59"/>
  <c r="F19" i="59"/>
  <c r="F18" i="59"/>
  <c r="F17" i="59"/>
  <c r="F16" i="59"/>
  <c r="F15" i="59"/>
  <c r="F14" i="59"/>
  <c r="F13" i="59"/>
  <c r="F12" i="59"/>
  <c r="F11" i="59"/>
  <c r="F10" i="59"/>
  <c r="F9" i="59"/>
  <c r="F8" i="59"/>
  <c r="B6" i="59"/>
  <c r="B265" i="54" l="1"/>
  <c r="B268" i="54" s="1"/>
  <c r="B273" i="54" s="1"/>
  <c r="B275" i="54" s="1"/>
  <c r="B280" i="54" s="1"/>
  <c r="B292" i="54"/>
  <c r="B295" i="54" s="1"/>
  <c r="B300" i="54" s="1"/>
  <c r="B302" i="54" s="1"/>
  <c r="B307" i="54" s="1"/>
  <c r="B305" i="54"/>
  <c r="B306" i="54" s="1"/>
  <c r="E27" i="59"/>
  <c r="E11" i="55"/>
  <c r="E12" i="55"/>
  <c r="E13" i="55"/>
  <c r="E14" i="55"/>
  <c r="E15" i="55"/>
  <c r="E16" i="55"/>
  <c r="E17" i="55"/>
  <c r="E18" i="55"/>
  <c r="E19" i="55"/>
  <c r="E20" i="55"/>
  <c r="E21" i="55"/>
  <c r="E22" i="55"/>
  <c r="E23" i="55"/>
  <c r="E24" i="55"/>
  <c r="E25" i="55"/>
  <c r="E26" i="55"/>
  <c r="E27" i="55"/>
  <c r="E28" i="55"/>
  <c r="E29" i="55"/>
  <c r="V11" i="55"/>
  <c r="V12" i="55"/>
  <c r="V13" i="55"/>
  <c r="V14" i="55"/>
  <c r="V15" i="55"/>
  <c r="V16" i="55"/>
  <c r="V17" i="55"/>
  <c r="V18" i="55"/>
  <c r="V19" i="55"/>
  <c r="V20" i="55"/>
  <c r="V21" i="55"/>
  <c r="V22" i="55"/>
  <c r="V23" i="55"/>
  <c r="V24" i="55"/>
  <c r="V25" i="55"/>
  <c r="V26" i="55"/>
  <c r="V27" i="55"/>
  <c r="V28" i="55"/>
  <c r="V29" i="55"/>
  <c r="V10" i="55"/>
  <c r="E47" i="58"/>
  <c r="AM41" i="55" l="1"/>
  <c r="AM42" i="55"/>
  <c r="AM43" i="55"/>
  <c r="AM44" i="55"/>
  <c r="AM45" i="55"/>
  <c r="AM46" i="55"/>
  <c r="AM47" i="55"/>
  <c r="AM38" i="55"/>
  <c r="AM39" i="55"/>
  <c r="AM40" i="55"/>
  <c r="AM37" i="55"/>
  <c r="B16" i="58" l="1"/>
  <c r="C16" i="58"/>
  <c r="B17" i="58" l="1"/>
  <c r="B18" i="58" s="1"/>
  <c r="B19" i="58" s="1"/>
  <c r="B20" i="58" s="1"/>
  <c r="B21" i="58" s="1"/>
  <c r="B22" i="58" s="1"/>
  <c r="B23" i="58" s="1"/>
  <c r="B24" i="58" s="1"/>
  <c r="B25" i="58" s="1"/>
  <c r="B26" i="58" s="1"/>
  <c r="B27" i="58" s="1"/>
  <c r="B28" i="58" s="1"/>
  <c r="B29" i="58" s="1"/>
  <c r="B30" i="58" s="1"/>
  <c r="B31" i="58" s="1"/>
  <c r="B32" i="58" s="1"/>
  <c r="B33" i="58" s="1"/>
  <c r="B34" i="58" s="1"/>
  <c r="B15" i="55" s="1"/>
  <c r="B11" i="55"/>
  <c r="B23" i="55"/>
  <c r="B27" i="55"/>
  <c r="B17" i="55"/>
  <c r="B25" i="55"/>
  <c r="B18" i="55"/>
  <c r="B26" i="55"/>
  <c r="B12" i="55"/>
  <c r="B16" i="55"/>
  <c r="B20" i="55"/>
  <c r="B24" i="55"/>
  <c r="B28" i="55"/>
  <c r="B13" i="55"/>
  <c r="B21" i="55"/>
  <c r="B29" i="55"/>
  <c r="B14" i="55"/>
  <c r="B22" i="55"/>
  <c r="B10" i="55"/>
  <c r="B21" i="54"/>
  <c r="Y38" i="55"/>
  <c r="Y39" i="55"/>
  <c r="Y40" i="55"/>
  <c r="Y41" i="55"/>
  <c r="Y42" i="55"/>
  <c r="Y43" i="55"/>
  <c r="Y37" i="55"/>
  <c r="B19" i="55" l="1"/>
  <c r="B132" i="54"/>
  <c r="H132" i="54" l="1"/>
  <c r="AH28" i="55" l="1"/>
  <c r="AJ28" i="55"/>
  <c r="AK28" i="55"/>
  <c r="AM28" i="55" s="1"/>
  <c r="AL28" i="55"/>
  <c r="AX28" i="55"/>
  <c r="AZ28" i="55"/>
  <c r="BA28" i="55"/>
  <c r="BC28" i="55" s="1"/>
  <c r="BB28" i="55"/>
  <c r="E44" i="58"/>
  <c r="E45" i="58"/>
  <c r="E46" i="58"/>
  <c r="E48" i="58"/>
  <c r="E49" i="58"/>
  <c r="E50" i="58"/>
  <c r="E51" i="58"/>
  <c r="E52" i="58"/>
  <c r="E53" i="58"/>
  <c r="E54" i="58"/>
  <c r="E55" i="58"/>
  <c r="E56" i="58"/>
  <c r="E57" i="58"/>
  <c r="E58" i="58"/>
  <c r="E59" i="58"/>
  <c r="E60" i="58"/>
  <c r="E61" i="58"/>
  <c r="E62" i="58"/>
  <c r="E43" i="58"/>
  <c r="C17" i="58"/>
  <c r="C18" i="58" l="1"/>
  <c r="C19" i="58" s="1"/>
  <c r="C20" i="58" s="1"/>
  <c r="C21" i="58" s="1"/>
  <c r="C22" i="58" s="1"/>
  <c r="C23" i="58" s="1"/>
  <c r="C24" i="58" s="1"/>
  <c r="C25" i="58" s="1"/>
  <c r="C26" i="58" s="1"/>
  <c r="C27" i="58" s="1"/>
  <c r="C28" i="58" s="1"/>
  <c r="C29" i="58" s="1"/>
  <c r="C30" i="58" s="1"/>
  <c r="C31" i="58" s="1"/>
  <c r="C32" i="58" s="1"/>
  <c r="C33" i="58" s="1"/>
  <c r="C34" i="58" s="1"/>
  <c r="C25" i="55" s="1"/>
  <c r="C15" i="55"/>
  <c r="C22" i="55"/>
  <c r="C20" i="55"/>
  <c r="C13" i="55"/>
  <c r="C21" i="55"/>
  <c r="C10" i="55"/>
  <c r="C24" i="55"/>
  <c r="C11" i="55"/>
  <c r="C27" i="55"/>
  <c r="C29" i="55"/>
  <c r="C12" i="55"/>
  <c r="C28" i="55"/>
  <c r="C18" i="55"/>
  <c r="AD28" i="55"/>
  <c r="C23" i="55" l="1"/>
  <c r="C17" i="55"/>
  <c r="C16" i="55"/>
  <c r="BI28" i="55"/>
  <c r="H25" i="59" s="1"/>
  <c r="BE28" i="55"/>
  <c r="BF28" i="55" s="1"/>
  <c r="C19" i="55"/>
  <c r="C26" i="55"/>
  <c r="C14" i="55"/>
  <c r="BG28" i="55"/>
  <c r="D7" i="55"/>
  <c r="C7" i="55"/>
  <c r="B7" i="55"/>
  <c r="BH28" i="55" l="1"/>
  <c r="G25" i="59"/>
  <c r="B233" i="54"/>
  <c r="B235" i="54"/>
  <c r="H234" i="54"/>
  <c r="G234" i="54"/>
  <c r="H233" i="54"/>
  <c r="B232" i="54"/>
  <c r="B231" i="54"/>
  <c r="B209" i="54"/>
  <c r="B205" i="54"/>
  <c r="B204" i="54"/>
  <c r="AD19" i="55" l="1"/>
  <c r="AD20" i="55"/>
  <c r="B236" i="54"/>
  <c r="B237" i="54"/>
  <c r="B208" i="54"/>
  <c r="B210" i="54" s="1"/>
  <c r="B238" i="54" l="1"/>
  <c r="B241" i="54" s="1"/>
  <c r="AD21" i="55"/>
  <c r="B251" i="54"/>
  <c r="B252" i="54" s="1"/>
  <c r="G236" i="54"/>
  <c r="E237" i="54"/>
  <c r="B213" i="54"/>
  <c r="B218" i="54" s="1"/>
  <c r="B220" i="54" s="1"/>
  <c r="B225" i="54" s="1"/>
  <c r="B223" i="54"/>
  <c r="B224" i="54" s="1"/>
  <c r="B246" i="54" l="1"/>
  <c r="B248" i="54" s="1"/>
  <c r="B253" i="54" s="1"/>
  <c r="E241" i="54"/>
  <c r="B34" i="54"/>
  <c r="E34" i="54" s="1"/>
  <c r="B36" i="54" l="1"/>
  <c r="B124" i="54"/>
  <c r="B75" i="54" l="1"/>
  <c r="G98" i="54"/>
  <c r="B177" i="54" l="1"/>
  <c r="B178" i="54"/>
  <c r="AD17" i="55" l="1"/>
  <c r="B181" i="54"/>
  <c r="B182" i="54"/>
  <c r="B183" i="54" l="1"/>
  <c r="B186" i="54" s="1"/>
  <c r="B196" i="54"/>
  <c r="B197" i="54" s="1"/>
  <c r="B191" i="54" l="1"/>
  <c r="B193" i="54" s="1"/>
  <c r="B198" i="54" s="1"/>
  <c r="B8" i="54"/>
  <c r="B31" i="54"/>
  <c r="V130" i="54" l="1"/>
  <c r="V131" i="54" s="1"/>
  <c r="R120" i="54"/>
  <c r="R125" i="54" s="1"/>
  <c r="R126" i="54" l="1"/>
  <c r="R127" i="54"/>
  <c r="K91" i="54"/>
  <c r="R130" i="54" l="1"/>
  <c r="R131" i="54" s="1"/>
  <c r="G91" i="54"/>
  <c r="J90" i="54" l="1"/>
  <c r="J91" i="54" l="1"/>
  <c r="J98" i="54"/>
  <c r="K98" i="54" s="1"/>
  <c r="B98" i="54" s="1"/>
  <c r="I98" i="54" s="1"/>
  <c r="J102" i="54"/>
  <c r="K102" i="54" s="1"/>
  <c r="B102" i="54" s="1"/>
  <c r="I102" i="54" s="1"/>
  <c r="J99" i="54"/>
  <c r="K99" i="54" s="1"/>
  <c r="B99" i="54" s="1"/>
  <c r="I99" i="54" s="1"/>
  <c r="J101" i="54"/>
  <c r="K101" i="54" s="1"/>
  <c r="B101" i="54" s="1"/>
  <c r="I101" i="54" s="1"/>
  <c r="G101" i="54"/>
  <c r="G102" i="54"/>
  <c r="G99" i="54"/>
  <c r="E97" i="54"/>
  <c r="I105" i="54" l="1"/>
  <c r="J105" i="54"/>
  <c r="I106" i="54"/>
  <c r="G76" i="54"/>
  <c r="B55" i="54" l="1"/>
  <c r="B56" i="54"/>
  <c r="B152" i="54" l="1"/>
  <c r="B151" i="54"/>
  <c r="B149" i="54"/>
  <c r="B150" i="54"/>
  <c r="B154" i="54" l="1"/>
  <c r="B155" i="54"/>
  <c r="H124" i="54"/>
  <c r="B122" i="54"/>
  <c r="B156" i="54" l="1"/>
  <c r="B169" i="54"/>
  <c r="B170" i="54" s="1"/>
  <c r="B79" i="54" l="1"/>
  <c r="B82" i="54" l="1"/>
  <c r="B85" i="54" s="1"/>
  <c r="B103" i="54"/>
  <c r="B89" i="54" l="1"/>
  <c r="B90" i="54" s="1"/>
  <c r="B22" i="54" l="1"/>
  <c r="B23" i="54" s="1"/>
  <c r="J33" i="58" l="1"/>
  <c r="AC34" i="58"/>
  <c r="AB34" i="58"/>
  <c r="Y34" i="58"/>
  <c r="X34" i="58"/>
  <c r="U34" i="58"/>
  <c r="T34" i="58"/>
  <c r="Q34" i="58"/>
  <c r="P34" i="58"/>
  <c r="M34" i="58"/>
  <c r="J34" i="58"/>
  <c r="AC33" i="58"/>
  <c r="AB33" i="58"/>
  <c r="Y33" i="58"/>
  <c r="X33" i="58"/>
  <c r="U33" i="58"/>
  <c r="T33" i="58"/>
  <c r="Q33" i="58"/>
  <c r="P33" i="58"/>
  <c r="AC32" i="58"/>
  <c r="AB32" i="58"/>
  <c r="Y32" i="58"/>
  <c r="X32" i="58"/>
  <c r="U32" i="58"/>
  <c r="T32" i="58"/>
  <c r="Q32" i="58"/>
  <c r="P32" i="58"/>
  <c r="M32" i="58"/>
  <c r="J32" i="58"/>
  <c r="AC31" i="58"/>
  <c r="AB31" i="58"/>
  <c r="Y31" i="58"/>
  <c r="X31" i="58"/>
  <c r="U31" i="58"/>
  <c r="T31" i="58"/>
  <c r="Q31" i="58"/>
  <c r="P31" i="58"/>
  <c r="M31" i="58"/>
  <c r="AC30" i="58"/>
  <c r="AB30" i="58"/>
  <c r="Y30" i="58"/>
  <c r="X30" i="58"/>
  <c r="U30" i="58"/>
  <c r="T30" i="58"/>
  <c r="Q30" i="58"/>
  <c r="P30" i="58"/>
  <c r="J30" i="58"/>
  <c r="AC29" i="58"/>
  <c r="AB29" i="58"/>
  <c r="Y29" i="58"/>
  <c r="X29" i="58"/>
  <c r="U29" i="58"/>
  <c r="T29" i="58"/>
  <c r="Q29" i="58"/>
  <c r="P29" i="58"/>
  <c r="J29" i="58"/>
  <c r="AC28" i="58"/>
  <c r="AB28" i="58"/>
  <c r="Y28" i="58"/>
  <c r="X28" i="58"/>
  <c r="U28" i="58"/>
  <c r="T28" i="58"/>
  <c r="Q28" i="58"/>
  <c r="P28" i="58"/>
  <c r="M28" i="58"/>
  <c r="AC27" i="58"/>
  <c r="AB27" i="58"/>
  <c r="Y27" i="58"/>
  <c r="X27" i="58"/>
  <c r="U27" i="58"/>
  <c r="T27" i="58"/>
  <c r="Q27" i="58"/>
  <c r="P27" i="58"/>
  <c r="J27" i="58"/>
  <c r="AC26" i="58"/>
  <c r="AB26" i="58"/>
  <c r="Y26" i="58"/>
  <c r="X26" i="58"/>
  <c r="U26" i="58"/>
  <c r="T26" i="58"/>
  <c r="Q26" i="58"/>
  <c r="P26" i="58"/>
  <c r="M26" i="58"/>
  <c r="J26" i="58"/>
  <c r="AC25" i="58"/>
  <c r="AB25" i="58"/>
  <c r="Y25" i="58"/>
  <c r="X25" i="58"/>
  <c r="U25" i="58"/>
  <c r="T25" i="58"/>
  <c r="Q25" i="58"/>
  <c r="P25" i="58"/>
  <c r="J25" i="58"/>
  <c r="AC24" i="58"/>
  <c r="AB24" i="58"/>
  <c r="Y24" i="58"/>
  <c r="X24" i="58"/>
  <c r="U24" i="58"/>
  <c r="T24" i="58"/>
  <c r="Q24" i="58"/>
  <c r="P24" i="58"/>
  <c r="M24" i="58"/>
  <c r="J24" i="58"/>
  <c r="AC23" i="58"/>
  <c r="AB23" i="58"/>
  <c r="Y23" i="58"/>
  <c r="X23" i="58"/>
  <c r="U23" i="58"/>
  <c r="T23" i="58"/>
  <c r="Q23" i="58"/>
  <c r="P23" i="58"/>
  <c r="J23" i="58"/>
  <c r="AC22" i="58"/>
  <c r="AB22" i="58"/>
  <c r="Y22" i="58"/>
  <c r="X22" i="58"/>
  <c r="U22" i="58"/>
  <c r="T22" i="58"/>
  <c r="Q22" i="58"/>
  <c r="P22" i="58"/>
  <c r="M22" i="58"/>
  <c r="J22" i="58"/>
  <c r="AC21" i="58"/>
  <c r="AB21" i="58"/>
  <c r="Y21" i="58"/>
  <c r="X21" i="58"/>
  <c r="U21" i="58"/>
  <c r="T21" i="58"/>
  <c r="Q21" i="58"/>
  <c r="P21" i="58"/>
  <c r="M21" i="58"/>
  <c r="J21" i="58"/>
  <c r="AC20" i="58"/>
  <c r="AB20" i="58"/>
  <c r="Y20" i="58"/>
  <c r="X20" i="58"/>
  <c r="U20" i="58"/>
  <c r="T20" i="58"/>
  <c r="Q20" i="58"/>
  <c r="P20" i="58"/>
  <c r="M20" i="58"/>
  <c r="J20" i="58"/>
  <c r="AC19" i="58"/>
  <c r="AB19" i="58"/>
  <c r="Y19" i="58"/>
  <c r="X19" i="58"/>
  <c r="U19" i="58"/>
  <c r="T19" i="58"/>
  <c r="Q19" i="58"/>
  <c r="P19" i="58"/>
  <c r="M19" i="58"/>
  <c r="J19" i="58"/>
  <c r="AC18" i="58"/>
  <c r="AB18" i="58"/>
  <c r="Y18" i="58"/>
  <c r="X18" i="58"/>
  <c r="U18" i="58"/>
  <c r="T18" i="58"/>
  <c r="Q18" i="58"/>
  <c r="P18" i="58"/>
  <c r="M18" i="58"/>
  <c r="J18" i="58"/>
  <c r="AC17" i="58"/>
  <c r="AB17" i="58"/>
  <c r="Y17" i="58"/>
  <c r="X17" i="58"/>
  <c r="U17" i="58"/>
  <c r="T17" i="58"/>
  <c r="Q17" i="58"/>
  <c r="P17" i="58"/>
  <c r="M17" i="58"/>
  <c r="J17" i="58"/>
  <c r="AC16" i="58"/>
  <c r="AB16" i="58"/>
  <c r="Y16" i="58"/>
  <c r="X16" i="58"/>
  <c r="U16" i="58"/>
  <c r="T16" i="58"/>
  <c r="Q16" i="58"/>
  <c r="P16" i="58"/>
  <c r="M16" i="58"/>
  <c r="J16" i="58"/>
  <c r="AC15" i="58"/>
  <c r="AB15" i="58"/>
  <c r="Y15" i="58"/>
  <c r="X15" i="58"/>
  <c r="U15" i="58"/>
  <c r="T15" i="58"/>
  <c r="Q15" i="58"/>
  <c r="P15" i="58"/>
  <c r="M15" i="58"/>
  <c r="J15" i="58"/>
  <c r="M23" i="58" l="1"/>
  <c r="AD23" i="58" s="1"/>
  <c r="M25" i="58"/>
  <c r="AD25" i="58" s="1"/>
  <c r="J28" i="58"/>
  <c r="AD28" i="58" s="1"/>
  <c r="M30" i="58"/>
  <c r="AD30" i="58" s="1"/>
  <c r="M33" i="58"/>
  <c r="AD33" i="58" s="1"/>
  <c r="AD22" i="58"/>
  <c r="AD34" i="58"/>
  <c r="AD18" i="58"/>
  <c r="AD19" i="58"/>
  <c r="AD21" i="58"/>
  <c r="AD26" i="58"/>
  <c r="AD32" i="58"/>
  <c r="AD20" i="58"/>
  <c r="AD16" i="58"/>
  <c r="AD15" i="58"/>
  <c r="E10" i="55" s="1"/>
  <c r="AD17" i="58"/>
  <c r="AD24" i="58"/>
  <c r="M27" i="58"/>
  <c r="AD27" i="58" s="1"/>
  <c r="M29" i="58"/>
  <c r="AD29" i="58" s="1"/>
  <c r="J31" i="58"/>
  <c r="AD31" i="58" s="1"/>
  <c r="E154" i="54" l="1"/>
  <c r="G154" i="54" l="1"/>
  <c r="E155" i="54"/>
  <c r="B159" i="54"/>
  <c r="AD24" i="55" l="1"/>
  <c r="AD22" i="55"/>
  <c r="AD27" i="55"/>
  <c r="AD29" i="55"/>
  <c r="AD25" i="55"/>
  <c r="AD23" i="55"/>
  <c r="AD26" i="55"/>
  <c r="B164" i="54"/>
  <c r="B166" i="54" s="1"/>
  <c r="H129" i="54"/>
  <c r="H128" i="54"/>
  <c r="H130" i="54" l="1"/>
  <c r="H141" i="54" s="1"/>
  <c r="H142" i="54" s="1"/>
  <c r="H131" i="54" l="1"/>
  <c r="H134" i="54" s="1"/>
  <c r="H151" i="54"/>
  <c r="H137" i="54" l="1"/>
  <c r="H139" i="54" s="1"/>
  <c r="H143" i="54" s="1"/>
  <c r="B129" i="54"/>
  <c r="B47" i="54" l="1"/>
  <c r="B48" i="54" s="1"/>
  <c r="BB29" i="55" l="1"/>
  <c r="BA29" i="55"/>
  <c r="BC29" i="55" s="1"/>
  <c r="AZ29" i="55"/>
  <c r="AX29" i="55"/>
  <c r="AL29" i="55"/>
  <c r="AK29" i="55"/>
  <c r="BE29" i="55" s="1"/>
  <c r="BF29" i="55" s="1"/>
  <c r="AJ29" i="55"/>
  <c r="AH29" i="55"/>
  <c r="BB27" i="55"/>
  <c r="BA27" i="55"/>
  <c r="BC27" i="55" s="1"/>
  <c r="AZ27" i="55"/>
  <c r="AX27" i="55"/>
  <c r="AL27" i="55"/>
  <c r="AK27" i="55"/>
  <c r="BE27" i="55" s="1"/>
  <c r="BF27" i="55" s="1"/>
  <c r="AJ27" i="55"/>
  <c r="AH27" i="55"/>
  <c r="BB26" i="55"/>
  <c r="BA26" i="55"/>
  <c r="BC26" i="55" s="1"/>
  <c r="AZ26" i="55"/>
  <c r="AX26" i="55"/>
  <c r="AL26" i="55"/>
  <c r="AK26" i="55"/>
  <c r="BE26" i="55" s="1"/>
  <c r="BF26" i="55" s="1"/>
  <c r="AJ26" i="55"/>
  <c r="AH26" i="55"/>
  <c r="BB25" i="55"/>
  <c r="BA25" i="55"/>
  <c r="BC25" i="55" s="1"/>
  <c r="AZ25" i="55"/>
  <c r="AX25" i="55"/>
  <c r="AL25" i="55"/>
  <c r="AK25" i="55"/>
  <c r="BE25" i="55" s="1"/>
  <c r="BF25" i="55" s="1"/>
  <c r="AJ25" i="55"/>
  <c r="AH25" i="55"/>
  <c r="BB24" i="55"/>
  <c r="BA24" i="55"/>
  <c r="BC24" i="55" s="1"/>
  <c r="AZ24" i="55"/>
  <c r="AX24" i="55"/>
  <c r="AL24" i="55"/>
  <c r="AK24" i="55"/>
  <c r="BE24" i="55" s="1"/>
  <c r="BF24" i="55" s="1"/>
  <c r="AJ24" i="55"/>
  <c r="AH24" i="55"/>
  <c r="BB23" i="55"/>
  <c r="BA23" i="55"/>
  <c r="BC23" i="55" s="1"/>
  <c r="AZ23" i="55"/>
  <c r="AX23" i="55"/>
  <c r="AL23" i="55"/>
  <c r="AK23" i="55"/>
  <c r="BE23" i="55" s="1"/>
  <c r="BF23" i="55" s="1"/>
  <c r="AJ23" i="55"/>
  <c r="AH23" i="55"/>
  <c r="BB22" i="55"/>
  <c r="BA22" i="55"/>
  <c r="BC22" i="55" s="1"/>
  <c r="AZ22" i="55"/>
  <c r="AX22" i="55"/>
  <c r="AL22" i="55"/>
  <c r="AK22" i="55"/>
  <c r="BE22" i="55" s="1"/>
  <c r="BF22" i="55" s="1"/>
  <c r="AJ22" i="55"/>
  <c r="AH22" i="55"/>
  <c r="BB21" i="55"/>
  <c r="BA21" i="55"/>
  <c r="BC21" i="55" s="1"/>
  <c r="AZ21" i="55"/>
  <c r="AX21" i="55"/>
  <c r="AL21" i="55"/>
  <c r="AK21" i="55"/>
  <c r="AJ21" i="55"/>
  <c r="AH21" i="55"/>
  <c r="BB20" i="55"/>
  <c r="BA20" i="55"/>
  <c r="BC20" i="55" s="1"/>
  <c r="AZ20" i="55"/>
  <c r="AX20" i="55"/>
  <c r="AL20" i="55"/>
  <c r="AK20" i="55"/>
  <c r="BE20" i="55" s="1"/>
  <c r="BF20" i="55" s="1"/>
  <c r="AJ20" i="55"/>
  <c r="AH20" i="55"/>
  <c r="BB19" i="55"/>
  <c r="BA19" i="55"/>
  <c r="BC19" i="55" s="1"/>
  <c r="AZ19" i="55"/>
  <c r="AX19" i="55"/>
  <c r="AL19" i="55"/>
  <c r="AK19" i="55"/>
  <c r="BE19" i="55" s="1"/>
  <c r="BF19" i="55" s="1"/>
  <c r="AJ19" i="55"/>
  <c r="AH19" i="55"/>
  <c r="BB18" i="55"/>
  <c r="BA18" i="55"/>
  <c r="BC18" i="55" s="1"/>
  <c r="AZ18" i="55"/>
  <c r="AX18" i="55"/>
  <c r="AL18" i="55"/>
  <c r="AK18" i="55"/>
  <c r="AJ18" i="55"/>
  <c r="AH18" i="55"/>
  <c r="BB17" i="55"/>
  <c r="BA17" i="55"/>
  <c r="BC17" i="55" s="1"/>
  <c r="AZ17" i="55"/>
  <c r="AX17" i="55"/>
  <c r="AL17" i="55"/>
  <c r="AK17" i="55"/>
  <c r="AJ17" i="55"/>
  <c r="AH17" i="55"/>
  <c r="BB16" i="55"/>
  <c r="BA16" i="55"/>
  <c r="BC16" i="55" s="1"/>
  <c r="AZ16" i="55"/>
  <c r="AX16" i="55"/>
  <c r="AL16" i="55"/>
  <c r="AK16" i="55"/>
  <c r="BE16" i="55" s="1"/>
  <c r="BF16" i="55" s="1"/>
  <c r="AJ16" i="55"/>
  <c r="AH16" i="55"/>
  <c r="AD16" i="55"/>
  <c r="BB15" i="55"/>
  <c r="BA15" i="55"/>
  <c r="BC15" i="55" s="1"/>
  <c r="AZ15" i="55"/>
  <c r="AX15" i="55"/>
  <c r="AL15" i="55"/>
  <c r="AK15" i="55"/>
  <c r="AJ15" i="55"/>
  <c r="AH15" i="55"/>
  <c r="AD15" i="55"/>
  <c r="BB14" i="55"/>
  <c r="BA14" i="55"/>
  <c r="BC14" i="55" s="1"/>
  <c r="AZ14" i="55"/>
  <c r="AX14" i="55"/>
  <c r="AL14" i="55"/>
  <c r="AK14" i="55"/>
  <c r="AM14" i="55" s="1"/>
  <c r="AJ14" i="55"/>
  <c r="AH14" i="55"/>
  <c r="BB13" i="55"/>
  <c r="BA13" i="55"/>
  <c r="BC13" i="55" s="1"/>
  <c r="AZ13" i="55"/>
  <c r="AX13" i="55"/>
  <c r="AL13" i="55"/>
  <c r="AK13" i="55"/>
  <c r="AJ13" i="55"/>
  <c r="AH13" i="55"/>
  <c r="BB12" i="55"/>
  <c r="BA12" i="55"/>
  <c r="BC12" i="55" s="1"/>
  <c r="AZ12" i="55"/>
  <c r="AX12" i="55"/>
  <c r="AL12" i="55"/>
  <c r="AK12" i="55"/>
  <c r="AJ12" i="55"/>
  <c r="AH12" i="55"/>
  <c r="BB11" i="55"/>
  <c r="BA11" i="55"/>
  <c r="BC11" i="55" s="1"/>
  <c r="AZ11" i="55"/>
  <c r="AX11" i="55"/>
  <c r="AL11" i="55"/>
  <c r="AK11" i="55"/>
  <c r="AM11" i="55" s="1"/>
  <c r="AJ11" i="55"/>
  <c r="AH11" i="55"/>
  <c r="BB10" i="55"/>
  <c r="BA10" i="55"/>
  <c r="BC10" i="55" s="1"/>
  <c r="AZ10" i="55"/>
  <c r="AX10" i="55"/>
  <c r="AT10" i="55"/>
  <c r="AL10" i="55"/>
  <c r="AK10" i="55"/>
  <c r="AM10" i="55" s="1"/>
  <c r="AJ10" i="55"/>
  <c r="AH10" i="55"/>
  <c r="BE21" i="55" l="1"/>
  <c r="BF21" i="55" s="1"/>
  <c r="AM12" i="55"/>
  <c r="BE12" i="55"/>
  <c r="BF12" i="55" s="1"/>
  <c r="AM13" i="55"/>
  <c r="BE13" i="55"/>
  <c r="BF13" i="55" s="1"/>
  <c r="AM15" i="55"/>
  <c r="BE15" i="55"/>
  <c r="BF15" i="55" s="1"/>
  <c r="BE17" i="55"/>
  <c r="BF17" i="55" s="1"/>
  <c r="AM17" i="55"/>
  <c r="AM20" i="55"/>
  <c r="AM23" i="55"/>
  <c r="AM26" i="55"/>
  <c r="AM29" i="55"/>
  <c r="AM16" i="55"/>
  <c r="AM22" i="55"/>
  <c r="AM25" i="55"/>
  <c r="AM19" i="55"/>
  <c r="AM21" i="55"/>
  <c r="AM24" i="55"/>
  <c r="AM27" i="55"/>
  <c r="AM18" i="55"/>
  <c r="BG19" i="55"/>
  <c r="BG27" i="55"/>
  <c r="BG26" i="55"/>
  <c r="BG23" i="55"/>
  <c r="BG22" i="55"/>
  <c r="BG16" i="55"/>
  <c r="BG20" i="55"/>
  <c r="BG21" i="55"/>
  <c r="BG15" i="55"/>
  <c r="BG24" i="55"/>
  <c r="BG29" i="55"/>
  <c r="BG17" i="55"/>
  <c r="BG25" i="55"/>
  <c r="BH29" i="55" l="1"/>
  <c r="G26" i="59"/>
  <c r="BH16" i="55"/>
  <c r="G13" i="59"/>
  <c r="BH20" i="55"/>
  <c r="G17" i="59"/>
  <c r="BH26" i="55"/>
  <c r="G23" i="59"/>
  <c r="BH27" i="55"/>
  <c r="G24" i="59"/>
  <c r="BH24" i="55"/>
  <c r="G21" i="59"/>
  <c r="BH25" i="55"/>
  <c r="G22" i="59"/>
  <c r="BH15" i="55"/>
  <c r="G12" i="59"/>
  <c r="BH22" i="55"/>
  <c r="G19" i="59"/>
  <c r="BH19" i="55"/>
  <c r="G16" i="59"/>
  <c r="BH17" i="55"/>
  <c r="G14" i="59"/>
  <c r="BH21" i="55"/>
  <c r="G18" i="59"/>
  <c r="BH23" i="55"/>
  <c r="G20" i="59"/>
  <c r="BI26" i="55"/>
  <c r="H23" i="59" s="1"/>
  <c r="BI25" i="55"/>
  <c r="H22" i="59" s="1"/>
  <c r="BI22" i="55"/>
  <c r="H19" i="59" s="1"/>
  <c r="BI17" i="55"/>
  <c r="H14" i="59" s="1"/>
  <c r="E159" i="54"/>
  <c r="B171" i="54" l="1"/>
  <c r="BI27" i="55"/>
  <c r="H24" i="59" s="1"/>
  <c r="BI24" i="55"/>
  <c r="H21" i="59" s="1"/>
  <c r="BI19" i="55"/>
  <c r="H16" i="59" s="1"/>
  <c r="BI15" i="55"/>
  <c r="H12" i="59" s="1"/>
  <c r="BI29" i="55"/>
  <c r="H26" i="59" s="1"/>
  <c r="BI21" i="55"/>
  <c r="H18" i="59" s="1"/>
  <c r="BI20" i="55"/>
  <c r="H17" i="59" s="1"/>
  <c r="BI23" i="55"/>
  <c r="H20" i="59" s="1"/>
  <c r="BI16" i="55"/>
  <c r="H13" i="59" s="1"/>
  <c r="B128" i="54"/>
  <c r="B24" i="54"/>
  <c r="B39" i="54" l="1"/>
  <c r="B78" i="54"/>
  <c r="AF37" i="55"/>
  <c r="B11" i="54"/>
  <c r="B14" i="54" s="1"/>
  <c r="B18" i="54" s="1"/>
  <c r="B57" i="54"/>
  <c r="B100" i="54"/>
  <c r="B104" i="54" l="1"/>
  <c r="B107" i="54" s="1"/>
  <c r="B45" i="54"/>
  <c r="B49" i="54" s="1"/>
  <c r="B43" i="54"/>
  <c r="E14" i="54"/>
  <c r="B87" i="54"/>
  <c r="B91" i="54" s="1"/>
  <c r="B58" i="54"/>
  <c r="B61" i="54" s="1"/>
  <c r="B64" i="54" s="1"/>
  <c r="B66" i="54" s="1"/>
  <c r="AD13" i="55"/>
  <c r="B130" i="54"/>
  <c r="AD12" i="55"/>
  <c r="BE10" i="55"/>
  <c r="AD10" i="55"/>
  <c r="BG10" i="55" s="1"/>
  <c r="BE14" i="55" l="1"/>
  <c r="BF14" i="55" s="1"/>
  <c r="BH10" i="55"/>
  <c r="G7" i="59"/>
  <c r="BF10" i="55"/>
  <c r="F7" i="59"/>
  <c r="F27" i="59" s="1"/>
  <c r="AD11" i="55"/>
  <c r="BG11" i="55" s="1"/>
  <c r="BE18" i="55"/>
  <c r="BF18" i="55" s="1"/>
  <c r="AD18" i="55"/>
  <c r="BG18" i="55" s="1"/>
  <c r="B131" i="54"/>
  <c r="B134" i="54" s="1"/>
  <c r="B137" i="54" s="1"/>
  <c r="B139" i="54" s="1"/>
  <c r="B141" i="54"/>
  <c r="B142" i="54" s="1"/>
  <c r="E107" i="54"/>
  <c r="B114" i="54"/>
  <c r="B115" i="54" s="1"/>
  <c r="B70" i="54"/>
  <c r="B68" i="54"/>
  <c r="B69" i="54" s="1"/>
  <c r="BG13" i="55"/>
  <c r="B20" i="54"/>
  <c r="B25" i="54" s="1"/>
  <c r="E82" i="54"/>
  <c r="BG12" i="55"/>
  <c r="AD14" i="55"/>
  <c r="BG14" i="55" s="1"/>
  <c r="BI13" i="55"/>
  <c r="H10" i="59" s="1"/>
  <c r="BI10" i="55"/>
  <c r="H7" i="59" s="1"/>
  <c r="BH14" i="55" l="1"/>
  <c r="G11" i="59"/>
  <c r="BH11" i="55"/>
  <c r="G8" i="59"/>
  <c r="BH13" i="55"/>
  <c r="G10" i="59"/>
  <c r="BH12" i="55"/>
  <c r="G9" i="59"/>
  <c r="BH18" i="55"/>
  <c r="G15" i="59"/>
  <c r="E134" i="54"/>
  <c r="BI18" i="55"/>
  <c r="H15" i="59" s="1"/>
  <c r="BI11" i="55"/>
  <c r="H8" i="59" s="1"/>
  <c r="BE11" i="55"/>
  <c r="BF11" i="55" s="1"/>
  <c r="B110" i="54"/>
  <c r="B112" i="54" s="1"/>
  <c r="B116" i="54" s="1"/>
  <c r="BI12" i="55"/>
  <c r="H9" i="59" s="1"/>
  <c r="B143" i="54"/>
  <c r="G27" i="59" l="1"/>
  <c r="BI14" i="55"/>
  <c r="H11" i="59" s="1"/>
  <c r="H27" i="59" s="1"/>
  <c r="I5" i="55" l="1"/>
  <c r="J5" i="55" s="1"/>
  <c r="P5"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Torchelo</author>
    <author>Antonella Tambasco</author>
  </authors>
  <commentList>
    <comment ref="Y37" authorId="0" shapeId="0" xr:uid="{00000000-0006-0000-0300-000001000000}">
      <text>
        <r>
          <rPr>
            <b/>
            <sz val="9"/>
            <color indexed="81"/>
            <rFont val="Tahoma"/>
            <family val="2"/>
          </rPr>
          <t>Adriana Torchelo:</t>
        </r>
        <r>
          <rPr>
            <sz val="9"/>
            <color indexed="81"/>
            <rFont val="Tahoma"/>
            <family val="2"/>
          </rPr>
          <t xml:space="preserve">
UTE EN CIFRAS 2020; 6. PRECIO MEDIO DE VENTA EN EL MERCADO INTERNO; https://portal.ute.com.uy/sites/default/files/generico/UTE_en_Cifras_2020_TRIPTICO_20210511.pdf</t>
        </r>
      </text>
    </comment>
    <comment ref="AO37" authorId="0" shapeId="0" xr:uid="{00000000-0006-0000-0300-000002000000}">
      <text>
        <r>
          <rPr>
            <b/>
            <sz val="9"/>
            <color indexed="81"/>
            <rFont val="Tahoma"/>
            <family val="2"/>
          </rPr>
          <t>Adriana Torchelo:</t>
        </r>
        <r>
          <rPr>
            <sz val="9"/>
            <color indexed="81"/>
            <rFont val="Tahoma"/>
            <family val="2"/>
          </rPr>
          <t xml:space="preserve">
UTE EN CIFRAS 2021; 6. PRECIO MEDIO DE VENTA EN EL MERCADO INTERNO; https://portal.ute.com.uy/sites/default/files/generico/UTE%20EN%20CIFRAS%202021.pdf</t>
        </r>
      </text>
    </comment>
    <comment ref="Y44" authorId="0" shapeId="0" xr:uid="{00000000-0006-0000-0300-000003000000}">
      <text>
        <r>
          <rPr>
            <sz val="9"/>
            <color indexed="81"/>
            <rFont val="Tahoma"/>
            <family val="2"/>
          </rPr>
          <t>Gasolina Super 95 30S; Precios máximos de venta al público (PVP) de combustibles ANCAP 2021 (Decreto 245/021, 30/07/2021)</t>
        </r>
      </text>
    </comment>
    <comment ref="AO44" authorId="0" shapeId="0" xr:uid="{00000000-0006-0000-0300-000004000000}">
      <text>
        <r>
          <rPr>
            <sz val="9"/>
            <color indexed="81"/>
            <rFont val="Tahoma"/>
            <family val="2"/>
          </rPr>
          <t>Tarifa residencial triple horario, valle. Similar a MC valle, Pliego UTE 2021</t>
        </r>
      </text>
    </comment>
    <comment ref="Y48" authorId="0" shapeId="0" xr:uid="{00000000-0006-0000-0300-000005000000}">
      <text>
        <r>
          <rPr>
            <b/>
            <sz val="9"/>
            <color indexed="81"/>
            <rFont val="Tahoma"/>
            <family val="2"/>
          </rPr>
          <t>Adriana Torchelo:</t>
        </r>
        <r>
          <rPr>
            <sz val="9"/>
            <color indexed="81"/>
            <rFont val="Tahoma"/>
            <family val="2"/>
          </rPr>
          <t xml:space="preserve">
Para post implementación de MMEE</t>
        </r>
      </text>
    </comment>
    <comment ref="AO48" authorId="1" shapeId="0" xr:uid="{00000000-0006-0000-0300-000006000000}">
      <text>
        <r>
          <rPr>
            <b/>
            <sz val="9"/>
            <color indexed="81"/>
            <rFont val="Tahoma"/>
            <family val="2"/>
          </rPr>
          <t>Antonella Tambasco:</t>
        </r>
        <r>
          <rPr>
            <sz val="9"/>
            <color indexed="81"/>
            <rFont val="Tahoma"/>
            <family val="2"/>
          </rPr>
          <t xml:space="preserve">
no hay consumo energético</t>
        </r>
      </text>
    </comment>
  </commentList>
</comments>
</file>

<file path=xl/sharedStrings.xml><?xml version="1.0" encoding="utf-8"?>
<sst xmlns="http://schemas.openxmlformats.org/spreadsheetml/2006/main" count="1820" uniqueCount="660">
  <si>
    <t>Carbón mineral</t>
  </si>
  <si>
    <t>MC1</t>
  </si>
  <si>
    <t>MC2</t>
  </si>
  <si>
    <t>MC3</t>
  </si>
  <si>
    <t>GC1</t>
  </si>
  <si>
    <t>GC2</t>
  </si>
  <si>
    <t>GC3</t>
  </si>
  <si>
    <t>GC4</t>
  </si>
  <si>
    <t>GC5</t>
  </si>
  <si>
    <t>Tarifa General Simple</t>
  </si>
  <si>
    <t>Valor</t>
  </si>
  <si>
    <t>kWh</t>
  </si>
  <si>
    <t>Final de esta hoja</t>
  </si>
  <si>
    <t>Tarifa Residencial Simple</t>
  </si>
  <si>
    <t>Tarifa doble horario alumbrado público</t>
  </si>
  <si>
    <t>l</t>
  </si>
  <si>
    <t>m3</t>
  </si>
  <si>
    <t>Seleccione</t>
  </si>
  <si>
    <t>Unidad física</t>
  </si>
  <si>
    <t>Departamento</t>
  </si>
  <si>
    <t>Consumo de energía</t>
  </si>
  <si>
    <t>Fuente de energía</t>
  </si>
  <si>
    <t>$/unidad física</t>
  </si>
  <si>
    <t>Valor (tep/año)</t>
  </si>
  <si>
    <t>Valor 
($/año)</t>
  </si>
  <si>
    <t>Vida útil (años)</t>
  </si>
  <si>
    <t>RESULTADOS</t>
  </si>
  <si>
    <t>Artigas</t>
  </si>
  <si>
    <t>Canelones</t>
  </si>
  <si>
    <t>Cerro Largo</t>
  </si>
  <si>
    <t>Colonia</t>
  </si>
  <si>
    <t>Durazno</t>
  </si>
  <si>
    <t>Flores</t>
  </si>
  <si>
    <t>Florida</t>
  </si>
  <si>
    <t>Lavalleja</t>
  </si>
  <si>
    <t>Maldonado</t>
  </si>
  <si>
    <t>Montevideo</t>
  </si>
  <si>
    <t>Paysandú</t>
  </si>
  <si>
    <t>Río Negro</t>
  </si>
  <si>
    <t>Rivera</t>
  </si>
  <si>
    <t>Rocha</t>
  </si>
  <si>
    <t>Salto</t>
  </si>
  <si>
    <t>San José</t>
  </si>
  <si>
    <t>Soriano</t>
  </si>
  <si>
    <t>Tacuarembó</t>
  </si>
  <si>
    <t>Treinta y Tres</t>
  </si>
  <si>
    <t>Leña</t>
  </si>
  <si>
    <t>Aserrín</t>
  </si>
  <si>
    <t>Residuos forestales</t>
  </si>
  <si>
    <t>Bagazo</t>
  </si>
  <si>
    <t>Carbón vegetal</t>
  </si>
  <si>
    <t>Cáscara de arroz</t>
  </si>
  <si>
    <t>Cáscara de girasol</t>
  </si>
  <si>
    <t>Casullo de cebada</t>
  </si>
  <si>
    <t>Licor negro</t>
  </si>
  <si>
    <t>Biodiesel</t>
  </si>
  <si>
    <t>Bioetanol</t>
  </si>
  <si>
    <t>Valor 
(unidad física/año)</t>
  </si>
  <si>
    <t>Grado de Implementación</t>
  </si>
  <si>
    <t>Escenario antes de la medida</t>
  </si>
  <si>
    <t>Escenario con medida</t>
  </si>
  <si>
    <t>Condición de Eficiencia Energética</t>
  </si>
  <si>
    <t>Transporte</t>
  </si>
  <si>
    <t>Si</t>
  </si>
  <si>
    <t>Fuente</t>
  </si>
  <si>
    <t>No</t>
  </si>
  <si>
    <t>Precio del energético</t>
  </si>
  <si>
    <t>Grado de implementación</t>
  </si>
  <si>
    <t>Diagnóstico</t>
  </si>
  <si>
    <t>En implementación</t>
  </si>
  <si>
    <t>En operación</t>
  </si>
  <si>
    <t>NO MODIFIQUE EL FORMULARIO. SI LO HACE, LA POSTULACIÓN SERÁ AUTOMÁTICAMENTE DESCALIFICADA</t>
  </si>
  <si>
    <t>Fuente de energía 2</t>
  </si>
  <si>
    <t>Electricidad de la red</t>
  </si>
  <si>
    <t>Unidades</t>
  </si>
  <si>
    <t>Queroseno</t>
  </si>
  <si>
    <t>Supergás</t>
  </si>
  <si>
    <t>tep/t</t>
  </si>
  <si>
    <t>Unidad</t>
  </si>
  <si>
    <t>¿Medida de sustitución de fuentes tradicionales por biomasa comprada?</t>
  </si>
  <si>
    <t>¿Sustitución de fuentes tradicionales por biomasa?</t>
  </si>
  <si>
    <t>Residencial</t>
  </si>
  <si>
    <t>Paneles solares térmicos</t>
  </si>
  <si>
    <t>USD</t>
  </si>
  <si>
    <t>Inversión total</t>
  </si>
  <si>
    <t>1.</t>
  </si>
  <si>
    <t>2.</t>
  </si>
  <si>
    <t>3.</t>
  </si>
  <si>
    <t>4.</t>
  </si>
  <si>
    <t>5.</t>
  </si>
  <si>
    <t>tep/l</t>
  </si>
  <si>
    <t>tep/kWh</t>
  </si>
  <si>
    <t>t</t>
  </si>
  <si>
    <t>Chips</t>
  </si>
  <si>
    <t>PCI</t>
  </si>
  <si>
    <t>Coque de carbón</t>
  </si>
  <si>
    <t>Coque de petróleo</t>
  </si>
  <si>
    <t>Coque de petróleo importado</t>
  </si>
  <si>
    <t>Gas natural</t>
  </si>
  <si>
    <t>Gasolina aviación 100/130</t>
  </si>
  <si>
    <t>Propano</t>
  </si>
  <si>
    <t>Fuente de la energía</t>
  </si>
  <si>
    <t>GLP</t>
  </si>
  <si>
    <t>Gasoil 50S</t>
  </si>
  <si>
    <t>Gasoil 10S</t>
  </si>
  <si>
    <t>Gasolina premium 97 30SP</t>
  </si>
  <si>
    <t>Gasolina super 95 30SP</t>
  </si>
  <si>
    <t>FE CO2 (tCO2/tep)</t>
  </si>
  <si>
    <t>Pellets de madera</t>
  </si>
  <si>
    <t>Emisiones CO2</t>
  </si>
  <si>
    <t>UYU</t>
  </si>
  <si>
    <t>UYU/unidad física</t>
  </si>
  <si>
    <t>Valor 
(UYU/año)</t>
  </si>
  <si>
    <t>Ahorro monetario anual (UYU/año)</t>
  </si>
  <si>
    <t>UYU/kWh</t>
  </si>
  <si>
    <t>UYU/l</t>
  </si>
  <si>
    <t>Tarifa de alumbrado público (conexiones con medidor)</t>
  </si>
  <si>
    <t>Precio CEE</t>
  </si>
  <si>
    <t xml:space="preserve">AT_Mi (tep) </t>
  </si>
  <si>
    <t>INSTRUCCIONES PARA COMPLETAR LA HOJA MMEE</t>
  </si>
  <si>
    <t>Tarifa General hora-estacional</t>
  </si>
  <si>
    <t>MMEE estandarizada</t>
  </si>
  <si>
    <t>ANÁLISIS CEE EN MEDIDAS ESTANDARIZADAS</t>
  </si>
  <si>
    <t>Campos para completar por el postulante</t>
  </si>
  <si>
    <t>Parámetro</t>
  </si>
  <si>
    <t>Fuente/Comentarios</t>
  </si>
  <si>
    <t>Cantidad de paneles solares</t>
  </si>
  <si>
    <t>Inversion ($U)</t>
  </si>
  <si>
    <t>kWh/año</t>
  </si>
  <si>
    <t xml:space="preserve">AA_Mi,j (tep/año) </t>
  </si>
  <si>
    <t>tep/año</t>
  </si>
  <si>
    <t>Vida útil</t>
  </si>
  <si>
    <t>años</t>
  </si>
  <si>
    <t>Tasa de descuento</t>
  </si>
  <si>
    <t>Ahorro en vida útil</t>
  </si>
  <si>
    <t>tep</t>
  </si>
  <si>
    <t xml:space="preserve">kWh </t>
  </si>
  <si>
    <t>Similar a valor de "white certificates" de Francia: rango de 6400 a 10000 según zona climática</t>
  </si>
  <si>
    <t>Condición de eficiencia energética</t>
  </si>
  <si>
    <t>Ponderador Solar térmica</t>
  </si>
  <si>
    <t>Ponderador descentralización</t>
  </si>
  <si>
    <t xml:space="preserve"> AT_Mi actualizada y ponderada (tep) </t>
  </si>
  <si>
    <t>Precio CEE ($U/tep)</t>
  </si>
  <si>
    <t>$U/tep</t>
  </si>
  <si>
    <t>$U/cliente</t>
  </si>
  <si>
    <t>Calculado</t>
  </si>
  <si>
    <t>Beneficio Plan solar</t>
  </si>
  <si>
    <t>700 $U/mes + IVA durante 2 años</t>
  </si>
  <si>
    <t>Cantidad de equipos (paneles FV, aerogeneradores, etc.)</t>
  </si>
  <si>
    <t>Potencia unitaria</t>
  </si>
  <si>
    <t>kWe</t>
  </si>
  <si>
    <t>Estimado</t>
  </si>
  <si>
    <t>Factor capacidad</t>
  </si>
  <si>
    <t>%</t>
  </si>
  <si>
    <t>Ahorro anual total</t>
  </si>
  <si>
    <t>Ponderador solar fotovoltaica/aerogeneradores &lt; 4 kWe</t>
  </si>
  <si>
    <t>UYU/tep</t>
  </si>
  <si>
    <t>Cantidad de luminarias</t>
  </si>
  <si>
    <t>Potencia unitaria de la medida</t>
  </si>
  <si>
    <t>watt</t>
  </si>
  <si>
    <t>Potencia unitaria línea de base</t>
  </si>
  <si>
    <t>Se asume LB = LFC equivalente a lámpara incandescente de 60 watts</t>
  </si>
  <si>
    <t>Horas de uso/día</t>
  </si>
  <si>
    <t>Cantidad</t>
  </si>
  <si>
    <t>Ahorro consumo calefón clase A</t>
  </si>
  <si>
    <t>Recambio de refrigerador</t>
  </si>
  <si>
    <t>Ahorro refrigerador clase A</t>
  </si>
  <si>
    <t xml:space="preserve">Un poco por debajo de valor de "white certificates" de Francia = </t>
  </si>
  <si>
    <t>Recambio aire acondicionado</t>
  </si>
  <si>
    <t>kwh/mes-hora</t>
  </si>
  <si>
    <t>Tipo de consumidor de UTE</t>
  </si>
  <si>
    <t>Consumo total anual de energía (tep/año)</t>
  </si>
  <si>
    <t>LISTAS DESPLEGABLES</t>
  </si>
  <si>
    <t>Tarifa Residencial doble horario</t>
  </si>
  <si>
    <t>Consumo de energía (unidad física/año)</t>
  </si>
  <si>
    <t>Micro generación con EERR para autoconsumo conectada a la red</t>
  </si>
  <si>
    <t>LB - Consumo medio 1 calefón clase B</t>
  </si>
  <si>
    <t>LB - Consumo medio refrigeración+calefacción 1 AA</t>
  </si>
  <si>
    <t>P - Consumo de energía de 1 AA clase A</t>
  </si>
  <si>
    <t>P - Consumo medio 1 calefón clase A</t>
  </si>
  <si>
    <t>P - Consumo = 0</t>
  </si>
  <si>
    <t>LB - Consumo = generación renovable</t>
  </si>
  <si>
    <t>LB - Consumo línea de base por unidad</t>
  </si>
  <si>
    <t>P - Consumo del proyecto por unidad</t>
  </si>
  <si>
    <t>Días de uso/semana</t>
  </si>
  <si>
    <t>horas/día</t>
  </si>
  <si>
    <t>días/semana</t>
  </si>
  <si>
    <t>Semanas de uso/año</t>
  </si>
  <si>
    <t>LB - Consumo por unidad</t>
  </si>
  <si>
    <t>P - Consumo por unidad</t>
  </si>
  <si>
    <t>semanas/año</t>
  </si>
  <si>
    <t>LB - Consumo específico vehículo a combustión</t>
  </si>
  <si>
    <t>l/km</t>
  </si>
  <si>
    <t>kWh/km</t>
  </si>
  <si>
    <t>P - Consumo específico vehículo eléctrico</t>
  </si>
  <si>
    <t>LB - Consumo vehículo a combustión</t>
  </si>
  <si>
    <t>P - Consumo vehículo eléctrico</t>
  </si>
  <si>
    <t>l/año</t>
  </si>
  <si>
    <t>El taxi eléctrico en Montevideo, Evaluación de la experiencia, Dic15-Mar16; UTE</t>
  </si>
  <si>
    <t>km/día</t>
  </si>
  <si>
    <t>km/l</t>
  </si>
  <si>
    <t>Información particular de cada MMEE</t>
  </si>
  <si>
    <t>Potencia de cada panel fotovoltaico instalado (kW)</t>
  </si>
  <si>
    <t>Kms recorridos por día</t>
  </si>
  <si>
    <t>Capacidad de refrigeración</t>
  </si>
  <si>
    <t>BTU/h</t>
  </si>
  <si>
    <t>Capacidad de refrigeración por equipo (BTU/h)</t>
  </si>
  <si>
    <t>días/año</t>
  </si>
  <si>
    <t>Días recorridos por año</t>
  </si>
  <si>
    <t>2 m2/panel</t>
  </si>
  <si>
    <t>MEDIDAS DE EFICIENCIA ENERGÉTICA (MMEE) ESTANDARIZADAS</t>
  </si>
  <si>
    <t>-</t>
  </si>
  <si>
    <t>NO MODIFIQUE EL FORMULARIO. SI LO HACE, LA POSTULACIÓN SERÁ AUTOMÁTICAMENTE DESCALIFICADA.</t>
  </si>
  <si>
    <r>
      <t xml:space="preserve">Consumo de energía eléctrica de la red </t>
    </r>
    <r>
      <rPr>
        <b/>
        <sz val="11"/>
        <color theme="1"/>
        <rFont val="Calibri"/>
        <family val="2"/>
      </rPr>
      <t>(kWh/año)</t>
    </r>
  </si>
  <si>
    <t>Energía eléctrica autoconsumida (si aplica)</t>
  </si>
  <si>
    <t>Consumo de otras fuentes de energía (1)</t>
  </si>
  <si>
    <t>Consumo de otras fuentes de energía (2)</t>
  </si>
  <si>
    <t>Consumo de otras fuentes de energía (3)</t>
  </si>
  <si>
    <t>Consumo de otras fuentes de energía (4)</t>
  </si>
  <si>
    <t>Valor (kWh/año)</t>
  </si>
  <si>
    <t>Fuente de energía 1</t>
  </si>
  <si>
    <t xml:space="preserve">Unidad </t>
  </si>
  <si>
    <t>Fuente de energía 3</t>
  </si>
  <si>
    <t>Fuente de energía 4</t>
  </si>
  <si>
    <t>Energía eléctrica autogenerada</t>
  </si>
  <si>
    <t>Biomasa</t>
  </si>
  <si>
    <t>Eólica</t>
  </si>
  <si>
    <t>Otro</t>
  </si>
  <si>
    <t>Tarifa Residencial de consumo básico (TCB)</t>
  </si>
  <si>
    <t>Hidráulica</t>
  </si>
  <si>
    <t>Fotovoltaica</t>
  </si>
  <si>
    <t>Fuente primaria</t>
  </si>
  <si>
    <t>Tarifa Residencial triple horario</t>
  </si>
  <si>
    <t>TZ1</t>
  </si>
  <si>
    <t>TZ2</t>
  </si>
  <si>
    <t>TZ3</t>
  </si>
  <si>
    <t>Tarifa de alumbrado público (conexiones sin medidor)</t>
  </si>
  <si>
    <t>Tarifa de movilidad eléctrica</t>
  </si>
  <si>
    <t>Micro empresa</t>
  </si>
  <si>
    <t>Pequeña empresa</t>
  </si>
  <si>
    <t>CEE por Residencial</t>
  </si>
  <si>
    <t>Se asume 1 pero aplica ponderador de descentralización</t>
  </si>
  <si>
    <t>CEE/INV Residencial</t>
  </si>
  <si>
    <t>Ponderador Residencial</t>
  </si>
  <si>
    <t>Se hace ejemplo para residencial pero en MMEE se aplica ponderador mipes tbm</t>
  </si>
  <si>
    <t>1,800 USD/kW</t>
  </si>
  <si>
    <t>1.500 USD/panel</t>
  </si>
  <si>
    <t>Ahorro anual  ($U/año)</t>
  </si>
  <si>
    <t>$U/kWh</t>
  </si>
  <si>
    <t>Costo electricidad</t>
  </si>
  <si>
    <t>UYU/año</t>
  </si>
  <si>
    <t>Vida útil máxima MIEM</t>
  </si>
  <si>
    <t>Vida útil media de equipos en mercado (Parque/Ventas)</t>
  </si>
  <si>
    <t>CEE por Residencial ($U)</t>
  </si>
  <si>
    <t>Lámparas LED</t>
  </si>
  <si>
    <t>Tubos LED</t>
  </si>
  <si>
    <t>Recambio de termotanque eléctrico</t>
  </si>
  <si>
    <t>Mejora en eficiencia termotanque B a A en función de promedio ponderado de resultados de ensayos de URSEA de todos los termotanques en plaza y % ventas en función de capacidad nominal</t>
  </si>
  <si>
    <t>Según datos seguimiento 2012-2018, en 2018 80% ventas fueron refrigeradores entre 100 y 300 litros. Se toma promedio de 200 litros como referencia</t>
  </si>
  <si>
    <t>LB - Consumo promedio 1 refrigerador clase B</t>
  </si>
  <si>
    <t>P - Consumo promedio 1 refrigerador clase A</t>
  </si>
  <si>
    <t>Promedio ponderado de ensayos URSEA para refrigeradores de todas las capacidades (l) clase A, y la distribución de ventas por tamaño según seguimiento 2018</t>
  </si>
  <si>
    <t xml:space="preserve">Cross-check: Si se hace cálculo en función de promedio ponderado de ensayos URSEA y ventas para Clase A da 841 kWh/año. </t>
  </si>
  <si>
    <t xml:space="preserve">Cálculo en función de consumo medio hogar uruguayo y % consumo termotanque. Cross check: Si se hace cálculo en función de promedio ponderado de ensayos URSEA y ventas para Clase A da 912 kWh/año. </t>
  </si>
  <si>
    <t>Promedio ponderado de ensayos URSEA para refrigeradores de todas las capacidades (l) clase B, y la distribución de ventas por tamaño según seguimiento 2018</t>
  </si>
  <si>
    <t>Consumo medio refrigeración 1 AA clase A</t>
  </si>
  <si>
    <t>Consumo medio calefacción 1 AA clase A</t>
  </si>
  <si>
    <t>Consumo medio refrigeración 1 AA en LB (clase C)</t>
  </si>
  <si>
    <t>Consumo medio calefacción 1 AA en LB (clase C)</t>
  </si>
  <si>
    <t>11% mejora eficiencia</t>
  </si>
  <si>
    <t>47% de las ventas</t>
  </si>
  <si>
    <t>Volumen neto o capacidad nominal de refrigeración (litros)</t>
  </si>
  <si>
    <t>Capacidad nominal (litros)</t>
  </si>
  <si>
    <t>Cantidad de unidades</t>
  </si>
  <si>
    <t>Superficie por panel (m2)
Aclaración: se asume 2 m2 por unidad informada en columna "L".</t>
  </si>
  <si>
    <t>Potencia de cada lámpara  LED (watts)</t>
  </si>
  <si>
    <t>Potencia de cada tubo LED (watts)</t>
  </si>
  <si>
    <t>$U</t>
  </si>
  <si>
    <t>Inversión</t>
  </si>
  <si>
    <t>Inversión eléctrico</t>
  </si>
  <si>
    <t>Inversión combustión interna</t>
  </si>
  <si>
    <t>Chevrolet Onix; https://www.autoblog.com.uy/2020/03/lanzamiento-chevrolet-onix-y-onix-plus.html</t>
  </si>
  <si>
    <t>JAC S2; https://www.autoblog.com.uy/2018/06/lanzamiento-jac-s2-electrico.html</t>
  </si>
  <si>
    <t>km/kWh</t>
  </si>
  <si>
    <t>Referencia: ensayo Chile Chevrolet Onix; http://www.consumovehicular.cl/#/</t>
  </si>
  <si>
    <t>Referencia: ensayos Chile JAC S2; http://www.consumovehicular.cl/#/</t>
  </si>
  <si>
    <t>Costo gasolina</t>
  </si>
  <si>
    <t>$U/litro</t>
  </si>
  <si>
    <t>Ponderador vehículo eléctrico</t>
  </si>
  <si>
    <t>Ponderador máximo</t>
  </si>
  <si>
    <t>% consumo hogar sin termotanque</t>
  </si>
  <si>
    <t>Costo electricidad con IVA</t>
  </si>
  <si>
    <t>kwh/mes</t>
  </si>
  <si>
    <t>kWh/h</t>
  </si>
  <si>
    <t xml:space="preserve">Costo electricidad con IVA </t>
  </si>
  <si>
    <t>FusoRefrig.</t>
  </si>
  <si>
    <t>FusoCalef</t>
  </si>
  <si>
    <t>Hip2</t>
  </si>
  <si>
    <t>Uso(hs/dia)</t>
  </si>
  <si>
    <t>MesesEqUso</t>
  </si>
  <si>
    <t>conFuso</t>
  </si>
  <si>
    <t>Hip1</t>
  </si>
  <si>
    <t>HsUsoEq anio</t>
  </si>
  <si>
    <t>mas logico (da igual)</t>
  </si>
  <si>
    <t>H2+Huso (anio)</t>
  </si>
  <si>
    <t>Suma (anual)</t>
  </si>
  <si>
    <t>Porcentaje (hogar medio UTE)</t>
  </si>
  <si>
    <t>Con hogares</t>
  </si>
  <si>
    <t>horas</t>
  </si>
  <si>
    <t>Promedio ponderado ensayos URSEA clase C (BAU por ventas 2018) y % ventas por capacidad. Se asume uso de 720 horas/año y factor de uso para refrigeración de 0,912</t>
  </si>
  <si>
    <t>Promedio ponderado ensayos URSEA clase C y % ventas por capacidad. Se asume uso de 720 horas/año y factor de uso para calefacción de 0,649</t>
  </si>
  <si>
    <t>Promedio ponderado ensayos URSEA clase A y % ventas por capacidad. Se asume uso de 720 horas/año y factor de uso para refrigeración de 0,912</t>
  </si>
  <si>
    <t>Promedio ponderado ensayos URSEA clase A y % ventas por capacidad. Se asume uso de 720 horas/año y factor de uso para calefacción de 0,649</t>
  </si>
  <si>
    <t>No considerar</t>
  </si>
  <si>
    <t>Pinc_eq</t>
  </si>
  <si>
    <t>W</t>
  </si>
  <si>
    <t>Flujo medio</t>
  </si>
  <si>
    <t>lm</t>
  </si>
  <si>
    <t>Lamp</t>
  </si>
  <si>
    <t>Tubos</t>
  </si>
  <si>
    <t>Vida</t>
  </si>
  <si>
    <t>Eficacia</t>
  </si>
  <si>
    <t>Peq</t>
  </si>
  <si>
    <t>INC</t>
  </si>
  <si>
    <t>LFC</t>
  </si>
  <si>
    <t>LED</t>
  </si>
  <si>
    <t>Vutil rec(kh)</t>
  </si>
  <si>
    <t>DP</t>
  </si>
  <si>
    <t>Esimple(kWh)</t>
  </si>
  <si>
    <t>UsoDiario</t>
  </si>
  <si>
    <t>Uso</t>
  </si>
  <si>
    <t>10hs</t>
  </si>
  <si>
    <t>Consumo promedio hogar uruguayo</t>
  </si>
  <si>
    <t>Cálculo en función de consumo medio mensual de 1 calefón de 60 litros clase A, URSEA</t>
  </si>
  <si>
    <t>Triciclo “cititrix” de Mobility (pruebas de Movés); https://mobility.uy/citytrix/#%20</t>
  </si>
  <si>
    <t>Moto 4 tiempos, cilindrada menor a 250 cm3: consumo 32 g/km de combustible, 23,70 km/lt. El valor 32 g/km se toma de: 
https://www.eea.europa.eu/publications/emep-eea-guidebook-2016/part-b-sectoral-guidance-chapters/1-energy/1-a-combustion/1-a-3-b-i/view</t>
  </si>
  <si>
    <t>Modelo Cititrix, Mobility USD 3.999; https://mobility.uy/precios-y-financiacion/ ; 20/08/2020</t>
  </si>
  <si>
    <t xml:space="preserve"> AT_Mi actualizada y ponderada (tep), CEE</t>
  </si>
  <si>
    <t>Otros vehículos livianos eléctricos puros, con batería de litio o superior densidad de energía gravimétrica, de 4 y 3 ruedas de pasajeros y comerciales de recorrido urbano</t>
  </si>
  <si>
    <t>Vehículos eléctricios categorías M1, N1 y N2</t>
  </si>
  <si>
    <t>Vehículos livianos eléctricos puros categorías M1, N1 y N2 con batería de litio o superior densidad de energía gravimétrica</t>
  </si>
  <si>
    <t>Otros vehículos livianos eléctricos puros de 4 o 3 ruedas con batería de litio o superior densidad de energía gravimétrica</t>
  </si>
  <si>
    <t>6.</t>
  </si>
  <si>
    <t>M1: Vehículos automotores utilizados para el transporte de pasajeros, con no más de ocho asientos además del asiento del conductor.</t>
  </si>
  <si>
    <t xml:space="preserve">N1: Vehículos automotores utilizados para el transporte de carga con un peso máximo de 3,5 toneladas. </t>
  </si>
  <si>
    <t>N2: Vehículos automotores utilizados para el transporte de carga con un peso máximo de 3,5 toneladas que no exceda las 12 toneladas.</t>
  </si>
  <si>
    <t xml:space="preserve">Aclaración: </t>
  </si>
  <si>
    <t xml:space="preserve">Las categorías M1, N1 y N2 refieren a las definiciones establecidas en GMC Nº 60/19: </t>
  </si>
  <si>
    <t>Moto eléctrica</t>
  </si>
  <si>
    <t>Máxima autonomía</t>
  </si>
  <si>
    <t>MOTO ELÉCTRICA SUPER SOCO CU-VEEMS c/IVA-https://www.veems.com.uy/moto-electrica-super-soco-cu-scooter/;28/05/2021</t>
  </si>
  <si>
    <t>Ficha técnica modelo 1920 W 75km</t>
  </si>
  <si>
    <t>Split Panavox 12.000 BTU; https://www.carlosgutierrez.com.uy/products/6653</t>
  </si>
  <si>
    <t>James, 40 litros, TK acero, Clase A, Carlos Gutierrez, https://www.carlosgutierrez.com.uy/products/205</t>
  </si>
  <si>
    <t>veces consumo</t>
  </si>
  <si>
    <t>James 205 litros, https://articulo.mercadolibre.com.uy/MLU-464451238-refrigerador-james-rjn-20k-frio-humedo-laser-tv-_JM?matt_tool=87138326&amp;matt_word=&amp;matt_source=google&amp;matt_campaign_id=11544405263&amp;matt_ad_group_id=115484842274&amp;matt_match_type=&amp;matt_network=g&amp;matt_device=c&amp;matt_creative=477924255598&amp;matt_keyword=&amp;matt_ad_position=&amp;matt_ad_type=pla&amp;matt_merchant_id=141512102&amp;matt_product_id=MLU464451238&amp;matt_product_partition_id=1041055687809&amp;matt_target_id=pla-1041055687809&amp;gclid=CjwKCAjwlrqHBhByEiwAnLmYUGllH1fIIef1emc-griUgv5t8Nv8D9oXYmdeRjw-HtgY_IiOtBLv-RoCJ2cQAvD_BwE</t>
  </si>
  <si>
    <t>Potencia lámpara LED vs LB</t>
  </si>
  <si>
    <t>Potencia tubo LED vs LB</t>
  </si>
  <si>
    <t>Distancia promedio recorrida por vehículo por día (km/día)</t>
  </si>
  <si>
    <t>Mediana empresa</t>
  </si>
  <si>
    <t>Taxis/remises/transporte de pasajeros por aplicaciones eléctricos puros con batería de litio o superior densidad de energía gravimétrica</t>
  </si>
  <si>
    <t>BYD E5</t>
  </si>
  <si>
    <t>E5 ficha técnica variabilidad 0,2-0,26</t>
  </si>
  <si>
    <t>Cambié a todo el año</t>
  </si>
  <si>
    <t>Vehículos eléctricos (todos los tipos comprendidos en las MMEE estandarizadas):</t>
  </si>
  <si>
    <t>Autoconsumo</t>
  </si>
  <si>
    <t>1 / 0,7</t>
  </si>
  <si>
    <t>Se asume 100% autoconsumo para Residencial y 70% para los otros sectores</t>
  </si>
  <si>
    <t>Tipo de MMEE</t>
  </si>
  <si>
    <t>Estandarizada</t>
  </si>
  <si>
    <t>Nº instalación</t>
  </si>
  <si>
    <t>Nombre de instalación (fija o móvil)</t>
  </si>
  <si>
    <t>Nº 
MMEE 
o 
instalación (medida distribuida)</t>
  </si>
  <si>
    <t>Acondicionadores de aire - Clase A</t>
  </si>
  <si>
    <t>Termotanques eléctricos - Clase A</t>
  </si>
  <si>
    <t>Refrigeradores - Clase A</t>
  </si>
  <si>
    <t xml:space="preserve">Motcicleta eléctrica pura con batería de litio o superior densidad de energía gravimétrica, empadronadas </t>
  </si>
  <si>
    <t>Paneles fotovoltaicos para autoconsumo</t>
  </si>
  <si>
    <t>Taxis, remises o transporte de pasajeros por aplicaciones eléctricos puros con batería de litio o superior densidad de energía gravimétrica</t>
  </si>
  <si>
    <t>¿Es una medida distribuida?</t>
  </si>
  <si>
    <t>Es una medida distribuida?</t>
  </si>
  <si>
    <r>
      <t>- La</t>
    </r>
    <r>
      <rPr>
        <b/>
        <sz val="12"/>
        <rFont val="Calibri"/>
        <family val="2"/>
        <scheme val="minor"/>
      </rPr>
      <t xml:space="preserve"> "Distancia promedio recorrida por día (km/día)" en la columna "I" </t>
    </r>
    <r>
      <rPr>
        <sz val="12"/>
        <rFont val="Calibri"/>
        <family val="2"/>
        <scheme val="minor"/>
      </rPr>
      <t>debe calcularse como el cociente entre los kilómetros totales recorridos acorde al registro fotográfico del odómetro, y los días desde que comenzó a circular el vehículo (calculados como los días desde la fecha de la libreta de empadronamiento y la fecha de la foto del odómetro).</t>
    </r>
  </si>
  <si>
    <t>7.</t>
  </si>
  <si>
    <t>Fueloil calefacción</t>
  </si>
  <si>
    <t>Fueloil intermedio</t>
  </si>
  <si>
    <t>Fueloil pesado</t>
  </si>
  <si>
    <t>tep/m3</t>
  </si>
  <si>
    <t>¿La MMEE se presentó a COMAP o el Fondo Industrial o a ambos?</t>
  </si>
  <si>
    <t>COMAP</t>
  </si>
  <si>
    <t>Ahorro energético anual (tep/año)</t>
  </si>
  <si>
    <t>Uso Principal</t>
  </si>
  <si>
    <t>Equipo o tecnología (principal) de la medida</t>
  </si>
  <si>
    <t>Uso principal</t>
  </si>
  <si>
    <t xml:space="preserve">Calentamiento de Agua </t>
  </si>
  <si>
    <t>Conservación de alimentos</t>
  </si>
  <si>
    <t>Generación de electricidad</t>
  </si>
  <si>
    <t>Iluminación</t>
  </si>
  <si>
    <t>Motocicleta eléctrica</t>
  </si>
  <si>
    <t>Paneles solares fotovoltaicos</t>
  </si>
  <si>
    <t>Refrigeradores tipo residencial - Clase A</t>
  </si>
  <si>
    <t>Taxis, remises o transporte de pasajeros eléctricos</t>
  </si>
  <si>
    <t>Vehículos livianos eléctricos</t>
  </si>
  <si>
    <t xml:space="preserve">¿Es una medida operativa? </t>
  </si>
  <si>
    <t>Acondicionamiento térmico</t>
  </si>
  <si>
    <t>Luminarias LED</t>
  </si>
  <si>
    <t xml:space="preserve">Si el monto de la factura se encuentra en USD (dólares americanos) u otra moneda diferente a UYU (pesos uruguayos) utilice la tasa de cambio que aparece en la factura o en caso contrario la del Banco Central del Uruguay para el día hábil anterior (https://www.bcu.gub.uy/Estadisticas-e-Indicadores/Paginas/Cotizaciones.aspx). </t>
  </si>
  <si>
    <t>VER SIMPLIFICAR FÓRMULA</t>
  </si>
  <si>
    <r>
      <t>Emisiones CO</t>
    </r>
    <r>
      <rPr>
        <b/>
        <vertAlign val="subscript"/>
        <sz val="11"/>
        <color theme="0" tint="-0.499984740745262"/>
        <rFont val="Calibri"/>
        <family val="2"/>
        <scheme val="minor"/>
      </rPr>
      <t>2</t>
    </r>
  </si>
  <si>
    <r>
      <t>tCO</t>
    </r>
    <r>
      <rPr>
        <b/>
        <vertAlign val="subscript"/>
        <sz val="11"/>
        <color theme="0" tint="-0.499984740745262"/>
        <rFont val="Calibri"/>
        <family val="2"/>
        <scheme val="minor"/>
      </rPr>
      <t>2</t>
    </r>
    <r>
      <rPr>
        <b/>
        <sz val="11"/>
        <color theme="0" tint="-0.499984740745262"/>
        <rFont val="Calibri"/>
        <family val="2"/>
        <scheme val="minor"/>
      </rPr>
      <t>/año</t>
    </r>
  </si>
  <si>
    <t>Vida útil máx MIEM</t>
  </si>
  <si>
    <t>VU máx MIEM</t>
  </si>
  <si>
    <t xml:space="preserve">VU máx MIEM </t>
  </si>
  <si>
    <t>20 mil horas (LED interiores), VU máx MIEM</t>
  </si>
  <si>
    <t>Vidas útiles</t>
  </si>
  <si>
    <t>Ver hoja calculadores</t>
  </si>
  <si>
    <t>Precio (UYU/unidad física)</t>
  </si>
  <si>
    <t>UTE EN CIFRAS 2020; 6. PRECIO MEDIO DE VENTA EN EL MERCADO INTERNO; https://portal.ute.com.uy/sites/default/files/generico/UTE_en_Cifras_2020_TRIPTICO_20210511.pdf</t>
  </si>
  <si>
    <t>Gasolina Super 95 30S; Precios máximos de venta al público (PVP) de combustibles ANCAP 2021 (Decreto 245/021, 30/07/2021)</t>
  </si>
  <si>
    <t>Electricidad de la red (VE)</t>
  </si>
  <si>
    <t>Residencial/mipymes</t>
  </si>
  <si>
    <t>CEE (UYU):</t>
  </si>
  <si>
    <t>Nombre de la MMEE</t>
  </si>
  <si>
    <t>N° de cuenta de UTE (principal)</t>
  </si>
  <si>
    <t>Nombre de instalación 
(fija o móvil)</t>
  </si>
  <si>
    <t xml:space="preserve">Motocicleta eléctrica pura con batería de litio o superior densidad de energía gravimétrica, empadronadas </t>
  </si>
  <si>
    <t>- Si postula más de un vehículo, debe presentar uno por fila, aún cuando sean varios vehículos del mismo modelo. En este último caso la MMEE es considerada "MMEE distribuida" y debe seleccionar "Si" en la columna "P".</t>
  </si>
  <si>
    <t>Información a indicar en la columna "J" según tipo de MMEE</t>
  </si>
  <si>
    <t>Valor del parámetro solicitado en la columna "I"</t>
  </si>
  <si>
    <t>Productor agropecuario familiar</t>
  </si>
  <si>
    <t>Instrucciones:</t>
  </si>
  <si>
    <t xml:space="preserve">- Complete todas las celdas en blanco y seleccione la información que corresponda en las celdas en gris. Las celdas de otros colores corresponden a cálculos automáticos. </t>
  </si>
  <si>
    <r>
      <t xml:space="preserve">- El </t>
    </r>
    <r>
      <rPr>
        <b/>
        <sz val="12"/>
        <color theme="1"/>
        <rFont val="Calibri"/>
        <family val="2"/>
      </rPr>
      <t>Nombre (persona física) o la Razón social (otros)</t>
    </r>
    <r>
      <rPr>
        <sz val="12"/>
        <color theme="1"/>
        <rFont val="Calibri"/>
        <family val="2"/>
      </rPr>
      <t xml:space="preserve"> </t>
    </r>
    <r>
      <rPr>
        <b/>
        <sz val="12"/>
        <color theme="1"/>
        <rFont val="Calibri"/>
        <family val="2"/>
      </rPr>
      <t xml:space="preserve">del postulante (columna B) </t>
    </r>
    <r>
      <rPr>
        <sz val="12"/>
        <color theme="1"/>
        <rFont val="Calibri"/>
        <family val="2"/>
      </rPr>
      <t>que indique</t>
    </r>
    <r>
      <rPr>
        <b/>
        <sz val="12"/>
        <color theme="1"/>
        <rFont val="Calibri"/>
        <family val="2"/>
      </rPr>
      <t xml:space="preserve"> </t>
    </r>
    <r>
      <rPr>
        <sz val="12"/>
        <color theme="1"/>
        <rFont val="Calibri"/>
        <family val="2"/>
      </rPr>
      <t>debe coincidir (incluyendo mayúsculas y minúsculas) con los datos que ingrese en Trámites en línea</t>
    </r>
  </si>
  <si>
    <t>Nombre (persona física) o 
Razón social (otros) 
del postulante</t>
  </si>
  <si>
    <t>C.I. (persona física) o RUT (otros) del postulante</t>
  </si>
  <si>
    <r>
      <t xml:space="preserve">- En </t>
    </r>
    <r>
      <rPr>
        <b/>
        <sz val="12"/>
        <rFont val="Calibri"/>
        <family val="2"/>
      </rPr>
      <t xml:space="preserve">"Nombre de instalación (fija o móvil)" (columna E) </t>
    </r>
    <r>
      <rPr>
        <sz val="12"/>
        <rFont val="Calibri"/>
        <family val="2"/>
      </rPr>
      <t xml:space="preserve">indique la o las instalaciones (fijas y/o móviles) donde se implementaron las MMEE. En el caso de </t>
    </r>
    <r>
      <rPr>
        <b/>
        <sz val="12"/>
        <rFont val="Calibri"/>
        <family val="2"/>
      </rPr>
      <t>instalaciónes móviles</t>
    </r>
    <r>
      <rPr>
        <sz val="12"/>
        <rFont val="Calibri"/>
        <family val="2"/>
      </rPr>
      <t xml:space="preserve"> </t>
    </r>
    <r>
      <rPr>
        <b/>
        <sz val="12"/>
        <rFont val="Calibri"/>
        <family val="2"/>
      </rPr>
      <t>(vehículos), indique: marca, modelo y nro. de matrícula de cada vehículo</t>
    </r>
    <r>
      <rPr>
        <sz val="12"/>
        <rFont val="Calibri"/>
        <family val="2"/>
      </rPr>
      <t xml:space="preserve"> que se presente.</t>
    </r>
    <r>
      <rPr>
        <u/>
        <sz val="12"/>
        <color theme="1"/>
        <rFont val="Calibri"/>
        <family val="2"/>
      </rPr>
      <t xml:space="preserve"> Si son varios vehículos debe indicar uno por fila</t>
    </r>
    <r>
      <rPr>
        <sz val="12"/>
        <color theme="1"/>
        <rFont val="Calibri"/>
        <family val="2"/>
      </rPr>
      <t>.</t>
    </r>
  </si>
  <si>
    <r>
      <t xml:space="preserve">- </t>
    </r>
    <r>
      <rPr>
        <sz val="12"/>
        <color theme="1"/>
        <rFont val="Calibri"/>
        <family val="2"/>
      </rPr>
      <t>E</t>
    </r>
    <r>
      <rPr>
        <sz val="12"/>
        <rFont val="Calibri"/>
        <family val="2"/>
      </rPr>
      <t xml:space="preserve">n </t>
    </r>
    <r>
      <rPr>
        <b/>
        <sz val="12"/>
        <rFont val="Calibri"/>
        <family val="2"/>
      </rPr>
      <t>"Departamento"</t>
    </r>
    <r>
      <rPr>
        <sz val="12"/>
        <rFont val="Calibri"/>
        <family val="2"/>
      </rPr>
      <t xml:space="preserve"> (columa F), para un </t>
    </r>
    <r>
      <rPr>
        <u/>
        <sz val="12"/>
        <rFont val="Calibri"/>
        <family val="2"/>
      </rPr>
      <t>vehículo</t>
    </r>
    <r>
      <rPr>
        <sz val="12"/>
        <rFont val="Calibri"/>
        <family val="2"/>
      </rPr>
      <t xml:space="preserve"> debe seleccionar el correspondiente a la libreta de empadronamiento.</t>
    </r>
  </si>
  <si>
    <t>Seleccione si es: Residencial, o mipyme o productor agropecuario familiar</t>
  </si>
  <si>
    <t>Las mipymes y los productores agropecuarios familiares, deben tener certificados - vigentes al momento de la postulación - de Dinapyme y de MGAP, respectivamente.</t>
  </si>
  <si>
    <r>
      <rPr>
        <sz val="12"/>
        <color theme="1"/>
        <rFont val="Calibri"/>
        <family val="2"/>
      </rPr>
      <t xml:space="preserve">- </t>
    </r>
    <r>
      <rPr>
        <b/>
        <sz val="12"/>
        <color theme="1"/>
        <rFont val="Calibri"/>
        <family val="2"/>
      </rPr>
      <t>Consumo de energía eléctrica de la red:</t>
    </r>
    <r>
      <rPr>
        <sz val="12"/>
        <color theme="1"/>
        <rFont val="Calibri"/>
        <family val="2"/>
      </rPr>
      <t xml:space="preserve"> En</t>
    </r>
    <r>
      <rPr>
        <b/>
        <sz val="12"/>
        <color theme="1"/>
        <rFont val="Calibri"/>
        <family val="2"/>
      </rPr>
      <t xml:space="preserve"> </t>
    </r>
    <r>
      <rPr>
        <u/>
        <sz val="12"/>
        <color theme="1"/>
        <rFont val="Calibri"/>
        <family val="2"/>
      </rPr>
      <t xml:space="preserve">"N° de cuenta de UTE (principal)" </t>
    </r>
    <r>
      <rPr>
        <sz val="12"/>
        <color theme="1"/>
        <rFont val="Calibri"/>
        <family val="2"/>
      </rPr>
      <t>indique el N° de la cuenta principal de la instalación que figura en la factura de UTE. Si son vehículos eléctricos, indique la cuenta del punto de carga si es propio o conoce el nro. Sino, puede dejarlo sin completar. En "tipo de consumidor de UTE" selecciones el dato de la factura. En "Valor "kWh/año) indique el consumo total de electricidad de UTE, sumando las facturas mensuales.</t>
    </r>
  </si>
  <si>
    <t xml:space="preserve">Seleccione la información que corresponda en las celdas de color gris y complete todas las celdas en blanco con los datos, acorde a la indicación en cada columna. </t>
  </si>
  <si>
    <t>8.</t>
  </si>
  <si>
    <t>9.</t>
  </si>
  <si>
    <t>Fondo Industrial</t>
  </si>
  <si>
    <t>Localidades Eficientes (cualquiera de ellas)</t>
  </si>
  <si>
    <t>Subite</t>
  </si>
  <si>
    <t>Concurso UTU y Secundaria</t>
  </si>
  <si>
    <t>Si la MMEE fue beneficiaria de COMAP o de fondos otorgados por el MIEM, seleccione.</t>
  </si>
  <si>
    <t>Fondos otorgados por el MIEM</t>
  </si>
  <si>
    <t>11.</t>
  </si>
  <si>
    <t>10.</t>
  </si>
  <si>
    <t>12.</t>
  </si>
  <si>
    <t>Inversión total - Fondos otorgados por el MIEM</t>
  </si>
  <si>
    <t>13.</t>
  </si>
  <si>
    <r>
      <rPr>
        <sz val="12"/>
        <color theme="1"/>
        <rFont val="Calibri"/>
        <family val="2"/>
        <scheme val="minor"/>
      </rPr>
      <t xml:space="preserve">En la </t>
    </r>
    <r>
      <rPr>
        <b/>
        <u/>
        <sz val="12"/>
        <color theme="1"/>
        <rFont val="Calibri"/>
        <family val="2"/>
        <scheme val="minor"/>
      </rPr>
      <t xml:space="preserve">columna D </t>
    </r>
    <r>
      <rPr>
        <sz val="12"/>
        <color theme="1"/>
        <rFont val="Calibri"/>
        <family val="2"/>
        <scheme val="minor"/>
      </rPr>
      <t>(</t>
    </r>
    <r>
      <rPr>
        <b/>
        <sz val="12"/>
        <color theme="1"/>
        <rFont val="Calibri"/>
        <family val="2"/>
        <scheme val="minor"/>
      </rPr>
      <t>Nombre de instalación (fija o móvil))</t>
    </r>
    <r>
      <rPr>
        <sz val="12"/>
        <color theme="1"/>
        <rFont val="Calibri"/>
        <family val="2"/>
        <scheme val="minor"/>
      </rPr>
      <t xml:space="preserve"> seleccione la o las instalaciones donde implementó las medidas.</t>
    </r>
  </si>
  <si>
    <r>
      <t xml:space="preserve">En la </t>
    </r>
    <r>
      <rPr>
        <b/>
        <u/>
        <sz val="12"/>
        <color theme="1"/>
        <rFont val="Calibri"/>
        <family val="2"/>
        <scheme val="minor"/>
      </rPr>
      <t>columna H</t>
    </r>
    <r>
      <rPr>
        <sz val="12"/>
        <color theme="1"/>
        <rFont val="Calibri"/>
        <family val="2"/>
        <scheme val="minor"/>
      </rPr>
      <t xml:space="preserve"> (</t>
    </r>
    <r>
      <rPr>
        <b/>
        <sz val="12"/>
        <color theme="1"/>
        <rFont val="Calibri"/>
        <family val="2"/>
        <scheme val="minor"/>
      </rPr>
      <t>Nombre de la MMEE</t>
    </r>
    <r>
      <rPr>
        <sz val="12"/>
        <color theme="1"/>
        <rFont val="Calibri"/>
        <family val="2"/>
        <scheme val="minor"/>
      </rPr>
      <t>) seleccione de la lista desplegable el nombre de la medida que se corresponda con la medida que presenta. En el caso de vehículos eléctricos preste especial cuidado a las características de su vehículo, para seleccionar correctamente: i) Vehículos livianos eléctricos puros categorías M1, N1 y N2 con batería de litio o superior densidad de energía gravimétrica o ii) Otros vehículos livianos eléctricos puros de 4 o 3 ruedas con batería de litio o superior densidad de energía gravimétrica. Por más información sobre las clasificaciones M1, N1 y N2, refiérase debajo.</t>
    </r>
  </si>
  <si>
    <r>
      <t xml:space="preserve">En la </t>
    </r>
    <r>
      <rPr>
        <b/>
        <u/>
        <sz val="12"/>
        <color theme="1"/>
        <rFont val="Calibri"/>
        <family val="2"/>
        <scheme val="minor"/>
      </rPr>
      <t>columna J</t>
    </r>
    <r>
      <rPr>
        <sz val="12"/>
        <color theme="1"/>
        <rFont val="Calibri"/>
        <family val="2"/>
        <scheme val="minor"/>
      </rPr>
      <t xml:space="preserve"> debe ingresar el valor del parámetro solicitado en la columna "I", acorde a la medida que postula. Por ejemplo: si la medida es "paneles solares térmicos", en la columa J debe indicar la superficie por panel (m</t>
    </r>
    <r>
      <rPr>
        <vertAlign val="superscript"/>
        <sz val="12"/>
        <color theme="1"/>
        <rFont val="Calibri"/>
        <family val="2"/>
        <scheme val="minor"/>
      </rPr>
      <t>2</t>
    </r>
    <r>
      <rPr>
        <sz val="12"/>
        <color theme="1"/>
        <rFont val="Calibri"/>
        <family val="2"/>
        <scheme val="minor"/>
      </rPr>
      <t xml:space="preserve">). </t>
    </r>
  </si>
  <si>
    <r>
      <t xml:space="preserve">En la </t>
    </r>
    <r>
      <rPr>
        <b/>
        <u/>
        <sz val="12"/>
        <rFont val="Calibri"/>
        <family val="2"/>
        <scheme val="minor"/>
      </rPr>
      <t>columna K</t>
    </r>
    <r>
      <rPr>
        <sz val="12"/>
        <rFont val="Calibri"/>
        <family val="2"/>
        <scheme val="minor"/>
      </rPr>
      <t xml:space="preserve"> la c</t>
    </r>
    <r>
      <rPr>
        <b/>
        <sz val="12"/>
        <rFont val="Calibri"/>
        <family val="2"/>
        <scheme val="minor"/>
      </rPr>
      <t>antidad de unidades</t>
    </r>
    <r>
      <rPr>
        <sz val="12"/>
        <rFont val="Calibri"/>
        <family val="2"/>
        <scheme val="minor"/>
      </rPr>
      <t xml:space="preserve"> refiere a un mismo tipo de MMEE. Por ejemplo: 10 lámparas de 9 watts. En el caso de paneles solares térmicos, se considera como 1 unidad, 1 panel solar de 2 m</t>
    </r>
    <r>
      <rPr>
        <vertAlign val="superscript"/>
        <sz val="12"/>
        <rFont val="Calibri"/>
        <family val="2"/>
        <scheme val="minor"/>
      </rPr>
      <t>2</t>
    </r>
    <r>
      <rPr>
        <sz val="12"/>
        <rFont val="Calibri"/>
        <family val="2"/>
        <scheme val="minor"/>
      </rPr>
      <t>.</t>
    </r>
  </si>
  <si>
    <r>
      <t xml:space="preserve">En la </t>
    </r>
    <r>
      <rPr>
        <b/>
        <u/>
        <sz val="12"/>
        <rFont val="Calibri"/>
        <family val="2"/>
        <scheme val="minor"/>
      </rPr>
      <t>columna P</t>
    </r>
    <r>
      <rPr>
        <sz val="12"/>
        <rFont val="Calibri"/>
        <family val="2"/>
        <scheme val="minor"/>
      </rPr>
      <t xml:space="preserve"> a la pregunta </t>
    </r>
    <r>
      <rPr>
        <b/>
        <sz val="12"/>
        <rFont val="Calibri"/>
        <family val="2"/>
        <scheme val="minor"/>
      </rPr>
      <t>"¿Es una medida distribuida?"</t>
    </r>
    <r>
      <rPr>
        <sz val="12"/>
        <rFont val="Calibri"/>
        <family val="2"/>
        <scheme val="minor"/>
      </rPr>
      <t xml:space="preserve"> debe responder "Si" en los casos que presente una misma medida (misma tecnología) implementada en diferentes instalaciones. Por ejemplo: instalación de paneles solares térmicos en diversas casas de una cooperativa de viviendas, diversos vehículos adquiridos por el postulante de manera conjunta, etc. </t>
    </r>
  </si>
  <si>
    <r>
      <t>En la</t>
    </r>
    <r>
      <rPr>
        <b/>
        <u/>
        <sz val="12"/>
        <rFont val="Calibri"/>
        <family val="2"/>
        <scheme val="minor"/>
      </rPr>
      <t xml:space="preserve"> columna S</t>
    </r>
    <r>
      <rPr>
        <sz val="12"/>
        <rFont val="Calibri"/>
        <family val="2"/>
        <scheme val="minor"/>
      </rPr>
      <t xml:space="preserve">, si la MMEE fue beneficiaria de fondos otorgados por el MIEM,  debe indicar el </t>
    </r>
    <r>
      <rPr>
        <b/>
        <sz val="12"/>
        <rFont val="Calibri"/>
        <family val="2"/>
        <scheme val="minor"/>
      </rPr>
      <t>monto en UYU de los</t>
    </r>
    <r>
      <rPr>
        <sz val="12"/>
        <rFont val="Calibri"/>
        <family val="2"/>
        <scheme val="minor"/>
      </rPr>
      <t xml:space="preserve"> f</t>
    </r>
    <r>
      <rPr>
        <b/>
        <sz val="12"/>
        <rFont val="Calibri"/>
        <family val="2"/>
      </rPr>
      <t>ondos otorgados por el MIEM</t>
    </r>
    <r>
      <rPr>
        <sz val="12"/>
        <rFont val="Calibri"/>
        <family val="2"/>
        <scheme val="minor"/>
      </rPr>
      <t>.</t>
    </r>
  </si>
  <si>
    <r>
      <t>En la</t>
    </r>
    <r>
      <rPr>
        <b/>
        <u/>
        <sz val="12"/>
        <rFont val="Calibri"/>
        <family val="2"/>
        <scheme val="minor"/>
      </rPr>
      <t xml:space="preserve"> columna T</t>
    </r>
    <r>
      <rPr>
        <sz val="12"/>
        <rFont val="Calibri"/>
        <family val="2"/>
        <scheme val="minor"/>
      </rPr>
      <t>, la</t>
    </r>
    <r>
      <rPr>
        <b/>
        <sz val="12"/>
        <rFont val="Calibri"/>
        <family val="2"/>
        <scheme val="minor"/>
      </rPr>
      <t xml:space="preserve"> inversión total (UYU) </t>
    </r>
    <r>
      <rPr>
        <sz val="12"/>
        <rFont val="Calibri"/>
        <family val="2"/>
        <scheme val="minor"/>
      </rPr>
      <t xml:space="preserve"> debe corresponder al monto de la o las facturas de compra del o los equipos y facturas de instalación de estos (si aplica), todas las cuales debe presentar en la postulación.</t>
    </r>
  </si>
  <si>
    <r>
      <t xml:space="preserve">En la </t>
    </r>
    <r>
      <rPr>
        <b/>
        <u/>
        <sz val="12"/>
        <rFont val="Calibri"/>
        <family val="2"/>
        <scheme val="minor"/>
      </rPr>
      <t>columna BL</t>
    </r>
    <r>
      <rPr>
        <sz val="12"/>
        <rFont val="Calibri"/>
        <family val="2"/>
        <scheme val="minor"/>
      </rPr>
      <t>, si la medida es de f</t>
    </r>
    <r>
      <rPr>
        <b/>
        <sz val="12"/>
        <rFont val="Calibri"/>
        <family val="2"/>
        <scheme val="minor"/>
      </rPr>
      <t>uentes renovables no convencionales</t>
    </r>
    <r>
      <rPr>
        <sz val="12"/>
        <rFont val="Calibri"/>
        <family val="2"/>
        <scheme val="minor"/>
      </rPr>
      <t xml:space="preserve"> (paneles solares térmicos o paneles fotovoltaicos) debe seleccionar de la lista desplegable la opción que corresponda.</t>
    </r>
  </si>
  <si>
    <r>
      <t xml:space="preserve">En la </t>
    </r>
    <r>
      <rPr>
        <b/>
        <u/>
        <sz val="12"/>
        <rFont val="Calibri"/>
        <family val="2"/>
        <scheme val="minor"/>
      </rPr>
      <t>columna BT</t>
    </r>
    <r>
      <rPr>
        <sz val="12"/>
        <rFont val="Calibri"/>
        <family val="2"/>
        <scheme val="minor"/>
      </rPr>
      <t xml:space="preserve">, si el postulante se presentó al </t>
    </r>
    <r>
      <rPr>
        <b/>
        <sz val="12"/>
        <rFont val="Calibri"/>
        <family val="2"/>
        <scheme val="minor"/>
      </rPr>
      <t>Premio Nacional de EE 2019, 2020 o 2021</t>
    </r>
    <r>
      <rPr>
        <sz val="12"/>
        <rFont val="Calibri"/>
        <family val="2"/>
        <scheme val="minor"/>
      </rPr>
      <t>, debe seleccionar de la lista desplegable la opción que corresponda. Si se presentará al Premio Nacional de EE 2022, el MIEM completará oportunamente dicha información.</t>
    </r>
  </si>
  <si>
    <t>14.</t>
  </si>
  <si>
    <r>
      <t xml:space="preserve">En la </t>
    </r>
    <r>
      <rPr>
        <b/>
        <u/>
        <sz val="12"/>
        <rFont val="Calibri"/>
        <family val="2"/>
        <scheme val="minor"/>
      </rPr>
      <t>columna BV</t>
    </r>
    <r>
      <rPr>
        <sz val="12"/>
        <rFont val="Calibri"/>
        <family val="2"/>
        <scheme val="minor"/>
      </rPr>
      <t xml:space="preserve">, si el postulante fue </t>
    </r>
    <r>
      <rPr>
        <b/>
        <sz val="12"/>
        <rFont val="Calibri"/>
        <family val="2"/>
        <scheme val="minor"/>
      </rPr>
      <t>Beneficiario de las convocatorias 2019, 2022 y/o 2021 de los CEE</t>
    </r>
    <r>
      <rPr>
        <sz val="12"/>
        <rFont val="Calibri"/>
        <family val="2"/>
        <scheme val="minor"/>
      </rPr>
      <t>, debe seleccionar de la lista desplegable la opción que corresponda.</t>
    </r>
  </si>
  <si>
    <t>15.</t>
  </si>
  <si>
    <r>
      <t xml:space="preserve">Si el postulante es una empresa o institución, y desea aplicar a los </t>
    </r>
    <r>
      <rPr>
        <b/>
        <sz val="12"/>
        <rFont val="Calibri"/>
        <family val="2"/>
        <scheme val="minor"/>
      </rPr>
      <t>ponderadores "Componente de género" y/o "Sistema de Gestión de la Energía"</t>
    </r>
    <r>
      <rPr>
        <sz val="12"/>
        <rFont val="Calibri"/>
        <family val="2"/>
        <scheme val="minor"/>
      </rPr>
      <t xml:space="preserve">, deberá </t>
    </r>
    <r>
      <rPr>
        <b/>
        <sz val="12"/>
        <rFont val="Calibri"/>
        <family val="2"/>
        <scheme val="minor"/>
      </rPr>
      <t xml:space="preserve">completar las hojas "Género" y "SGE" </t>
    </r>
    <r>
      <rPr>
        <sz val="12"/>
        <rFont val="Calibri"/>
        <family val="2"/>
        <scheme val="minor"/>
      </rPr>
      <t xml:space="preserve">y adjuntar la documentación de referencia requerida para acreditar dichos ponderadores. </t>
    </r>
  </si>
  <si>
    <r>
      <rPr>
        <b/>
        <sz val="12"/>
        <color theme="1"/>
        <rFont val="Calibri"/>
        <family val="2"/>
        <scheme val="minor"/>
      </rPr>
      <t xml:space="preserve">Para todas las medidas </t>
    </r>
    <r>
      <rPr>
        <b/>
        <u/>
        <sz val="12"/>
        <color theme="1"/>
        <rFont val="Calibri"/>
        <family val="2"/>
        <scheme val="minor"/>
      </rPr>
      <t xml:space="preserve">(excepto vehículos eléctricos. </t>
    </r>
    <r>
      <rPr>
        <b/>
        <u/>
        <sz val="12"/>
        <rFont val="Calibri"/>
        <family val="2"/>
        <scheme val="minor"/>
      </rPr>
      <t>Ver punto 16</t>
    </r>
    <r>
      <rPr>
        <b/>
        <u/>
        <sz val="12"/>
        <color theme="1"/>
        <rFont val="Calibri"/>
        <family val="2"/>
        <scheme val="minor"/>
      </rPr>
      <t>)</t>
    </r>
    <r>
      <rPr>
        <b/>
        <sz val="12"/>
        <color theme="1"/>
        <rFont val="Calibri"/>
        <family val="2"/>
        <scheme val="minor"/>
      </rPr>
      <t xml:space="preserve">: </t>
    </r>
    <r>
      <rPr>
        <sz val="12"/>
        <color theme="1"/>
        <rFont val="Calibri"/>
        <family val="2"/>
        <scheme val="minor"/>
      </rPr>
      <t>Si implementó más de una MMEE de un mismo tipo en una misma instalación pero con diferentes características, debe separar la medida en diferentes filas. Cada fila debe corresponder al grupo de equipos con las mismas características. Por ejemplo: si instaló 10 lámparas LED de 9 watts y 8 tubos LED de 18 watts, debe separar la medida en 2 filas diferentes, indicando las cantidad y potencias de cada grupo en la fila correspondiente.</t>
    </r>
  </si>
  <si>
    <t>Ahorros totales de energía de MMEE std previas (tep)</t>
  </si>
  <si>
    <t>Ahorros totales de energía de MMEE std previas y actuales (tep)</t>
  </si>
  <si>
    <t>Lea las instrucciones de la hoja "Instrucciones para hoja MMEE" para completar correctamente todos los datos requeridos esta hoja.</t>
  </si>
  <si>
    <r>
      <t xml:space="preserve">Si ya presentó a esta convocatoria otras MMEE std en en el mismo año calendario, y resultó beneficiario, en la </t>
    </r>
    <r>
      <rPr>
        <i/>
        <u/>
        <sz val="12"/>
        <rFont val="Calibri"/>
        <family val="2"/>
        <scheme val="minor"/>
      </rPr>
      <t>celda I4</t>
    </r>
    <r>
      <rPr>
        <i/>
        <sz val="12"/>
        <rFont val="Calibri"/>
        <family val="2"/>
        <scheme val="minor"/>
      </rPr>
      <t xml:space="preserve"> indique el valor de los ahorros totales de energía de las MMEE std previas, para verificar si supera o no los 100 tep acumulados de ahorros totales en 1 año. El valor de los ahorros totales lo encuentra en la celda I5 de la hoja "MMEE" de los formularios previamente presentados. </t>
    </r>
  </si>
  <si>
    <t>Importante: los resultados son preliminares e indicativos y están sujetos a la revisión del MIEM.</t>
  </si>
  <si>
    <t>05/05/2022;AÚN NO DISPONIBLE Informe UTE en cifras 2021</t>
  </si>
  <si>
    <t>Gasolina Super 95 30S; Precios máximos de venta al público (PVP) de combustibles ANCAP 2022 (Decreto 245/022, 29/04/2022)</t>
  </si>
  <si>
    <t>Tarifa residencial triple horario, valle. Similar a MC valle. Pliego enero 2022</t>
  </si>
  <si>
    <t>Otro. Especifique aquí.</t>
  </si>
  <si>
    <r>
      <t xml:space="preserve">En la </t>
    </r>
    <r>
      <rPr>
        <b/>
        <u/>
        <sz val="12"/>
        <rFont val="Calibri"/>
        <family val="2"/>
        <scheme val="minor"/>
      </rPr>
      <t xml:space="preserve">columna R </t>
    </r>
    <r>
      <rPr>
        <sz val="12"/>
        <rFont val="Calibri"/>
        <family val="2"/>
        <scheme val="minor"/>
      </rPr>
      <t xml:space="preserve">debe seleccionar si fue </t>
    </r>
    <r>
      <rPr>
        <b/>
        <sz val="12"/>
        <rFont val="Calibri"/>
        <family val="2"/>
        <scheme val="minor"/>
      </rPr>
      <t>beneficiario de COMAP o de Fondos otorgados por el MIEM</t>
    </r>
    <r>
      <rPr>
        <sz val="12"/>
        <rFont val="Calibri"/>
        <family val="2"/>
        <scheme val="minor"/>
      </rPr>
      <t xml:space="preserve">, debe seleccionar el nombre del instrumento que corresponda. En caso que el instrumento no se encuentre en la lista, debe seleccionar "Otros. Especifique aqui" y escribir el nombre del instrumento. </t>
    </r>
  </si>
  <si>
    <t xml:space="preserve">Importante: para poder postularse a esta convocatorai, la fecha de inicio de operación debe estar comprendida entre máximo 2 años y mínimo 1 año de antigüedad al momento de su postulación. 
Es decir, si su postulación por trámites en línea finaliza el 25/06/2022, la fecha de inicio de operación debe estar comprendida entre el 25/06/2020 y el 25/06/2021. </t>
  </si>
  <si>
    <t>DATOS DE LA O LAS INSTALACIONES DONDE SE IMPLEMENTARON LAS MMEE</t>
  </si>
  <si>
    <r>
      <t xml:space="preserve">En la </t>
    </r>
    <r>
      <rPr>
        <b/>
        <u/>
        <sz val="12"/>
        <rFont val="Calibri"/>
        <family val="2"/>
        <scheme val="minor"/>
      </rPr>
      <t>columna N</t>
    </r>
    <r>
      <rPr>
        <sz val="12"/>
        <rFont val="Calibri"/>
        <family val="2"/>
        <scheme val="minor"/>
      </rPr>
      <t xml:space="preserve"> la f</t>
    </r>
    <r>
      <rPr>
        <b/>
        <sz val="12"/>
        <rFont val="Calibri"/>
        <family val="2"/>
        <scheme val="minor"/>
      </rPr>
      <t xml:space="preserve">echa de inicio de operación (dd/mm/aaaa) </t>
    </r>
    <r>
      <rPr>
        <sz val="12"/>
        <rFont val="Calibri"/>
        <family val="2"/>
        <scheme val="minor"/>
      </rPr>
      <t xml:space="preserve">que debe ingresar es la de la factura del o los equipos que instaló, excepto para </t>
    </r>
    <r>
      <rPr>
        <b/>
        <u/>
        <sz val="12"/>
        <rFont val="Calibri"/>
        <family val="2"/>
        <scheme val="minor"/>
      </rPr>
      <t>vehículos eléctrico</t>
    </r>
    <r>
      <rPr>
        <u/>
        <sz val="12"/>
        <rFont val="Calibri"/>
        <family val="2"/>
        <scheme val="minor"/>
      </rPr>
      <t>s</t>
    </r>
    <r>
      <rPr>
        <sz val="12"/>
        <rFont val="Calibri"/>
        <family val="2"/>
        <scheme val="minor"/>
      </rPr>
      <t xml:space="preserve">, en cuyo caso debe ser la fecha de la libreta de empadronamiento. Si la medida aún no comenzó a operar debe indicar la fecha planificada. </t>
    </r>
  </si>
  <si>
    <t>Fecha de inicio de operación 
(dd/mm/aaaa)</t>
  </si>
  <si>
    <t>RESUMEN DE MEDIDAS DE EFICIENCIA ENERGÉTICA (MMEE)</t>
  </si>
  <si>
    <t>Medida</t>
  </si>
  <si>
    <t>Fecha de inicio de operación</t>
  </si>
  <si>
    <t>Inversión ($U)</t>
  </si>
  <si>
    <t>Ahorros (tep/año)</t>
  </si>
  <si>
    <t>Ahorros ($U/año)</t>
  </si>
  <si>
    <r>
      <t>Reducción de emisiones de CO2 (tCO</t>
    </r>
    <r>
      <rPr>
        <b/>
        <vertAlign val="subscript"/>
        <sz val="8"/>
        <color theme="0"/>
        <rFont val="Calibri"/>
        <family val="2"/>
        <scheme val="minor"/>
      </rPr>
      <t>2</t>
    </r>
    <r>
      <rPr>
        <b/>
        <sz val="8"/>
        <color theme="0"/>
        <rFont val="Calibri"/>
        <family val="2"/>
        <scheme val="minor"/>
      </rPr>
      <t>/año)</t>
    </r>
  </si>
  <si>
    <t>TOTAL</t>
  </si>
  <si>
    <r>
      <t>Reducciones de emisiones de CO</t>
    </r>
    <r>
      <rPr>
        <b/>
        <vertAlign val="subscript"/>
        <sz val="11"/>
        <rFont val="Calibri"/>
        <family val="2"/>
        <scheme val="minor"/>
      </rPr>
      <t>2</t>
    </r>
    <r>
      <rPr>
        <b/>
        <sz val="11"/>
        <rFont val="Calibri"/>
        <family val="2"/>
        <scheme val="minor"/>
      </rPr>
      <t xml:space="preserve"> (tCO</t>
    </r>
    <r>
      <rPr>
        <b/>
        <vertAlign val="subscript"/>
        <sz val="11"/>
        <rFont val="Calibri"/>
        <family val="2"/>
        <scheme val="minor"/>
      </rPr>
      <t>2</t>
    </r>
    <r>
      <rPr>
        <b/>
        <sz val="11"/>
        <rFont val="Calibri"/>
        <family val="2"/>
        <scheme val="minor"/>
      </rPr>
      <t>/año)</t>
    </r>
  </si>
  <si>
    <t>Bicicleta</t>
  </si>
  <si>
    <t>http://www.universidad.edu.uy/prensa/renderItem/itemId/36665/refererPageId/12#:~:text=Los%20recorridos%20seleccionados%2C%20de%20una,Rivera%20y%20Avda.</t>
  </si>
  <si>
    <t xml:space="preserve"> GT Palomar - Deceleste (mayor importador) https://www.deceleste.com.uy/listado/mtb/b_gt/b_gt_category/bicicletas/; 28/05/2021 </t>
  </si>
  <si>
    <t>https://www.rodadas.net/guia-cicloturismo/material-guia-cicloturismo-blog/bicicleta-material-guia-cicloturismo-blog/cuanto-dura-una-bicicleta/</t>
  </si>
  <si>
    <t>Tarifa residencial triple horario, valle. Similar a MC valle</t>
  </si>
  <si>
    <t>Bicicleta de pedaleo asistido</t>
  </si>
  <si>
    <t>Basado en autonomía mínima</t>
  </si>
  <si>
    <t xml:space="preserve">Bicicleta eléctrica cargo - Prueba Movés - https://wheele.com.uy/index.php/productos/bicicletas-el%C3%A9ctricas/bicicleta-el%C3%A9ctrica-cargo-24-34-detail; 28/05/2021 </t>
  </si>
  <si>
    <t>Modelo Movés 480 W 40 km</t>
  </si>
  <si>
    <t xml:space="preserve">Distancia promedio recorrida por día por vehículo (km/día) </t>
  </si>
  <si>
    <t>BEN 2022</t>
  </si>
  <si>
    <t>BEN 2021</t>
  </si>
  <si>
    <t>Esta tabla resumen se autocompleta con los datos de la hoja MMEE. Utilice esta tabla para completar el Resumen Ejecutivo y la sección de Resultados del Informe de Acciones y Resultados.</t>
  </si>
  <si>
    <t>PREMIO NACIONAL DE EFICIENCIA ENERGÉTICA 2024</t>
  </si>
  <si>
    <r>
      <rPr>
        <b/>
        <i/>
        <sz val="12"/>
        <rFont val="Calibri"/>
        <family val="2"/>
        <scheme val="minor"/>
      </rPr>
      <t xml:space="preserve">Instrucciones: </t>
    </r>
    <r>
      <rPr>
        <i/>
        <sz val="12"/>
        <rFont val="Calibri"/>
        <family val="2"/>
        <scheme val="minor"/>
      </rPr>
      <t>Completar todas las celdas en blanco y seleccionar la información que corresponda en las celdas en gris.</t>
    </r>
  </si>
  <si>
    <t>Dato de la empresa o institución postulante</t>
  </si>
  <si>
    <t>Nombre de la entidad postulante</t>
  </si>
  <si>
    <t>Página web (si posee)</t>
  </si>
  <si>
    <t>Razón social (si aplica)</t>
  </si>
  <si>
    <t>Facebook (si posee)</t>
  </si>
  <si>
    <t>RUT (si aplica)</t>
  </si>
  <si>
    <t>Linkedin (si posee)</t>
  </si>
  <si>
    <t>Categoría del Premio</t>
  </si>
  <si>
    <t>Instagram (si posee)</t>
  </si>
  <si>
    <t>Sub-categoría del Premio (si aplica)</t>
  </si>
  <si>
    <t>Youtube (si posee)</t>
  </si>
  <si>
    <t>División de actividad (CIIU)</t>
  </si>
  <si>
    <t>Seleccione la división</t>
  </si>
  <si>
    <t>X (si posee)</t>
  </si>
  <si>
    <t xml:space="preserve">    Dirección</t>
  </si>
  <si>
    <t>Calle y Nro. de puerta</t>
  </si>
  <si>
    <t>Barrio/Localidad</t>
  </si>
  <si>
    <t>Ciudad</t>
  </si>
  <si>
    <t>Seleccione el Departamento</t>
  </si>
  <si>
    <t>Para empresas e instituciones</t>
  </si>
  <si>
    <t>Personal empleado (cantidad total)</t>
  </si>
  <si>
    <t>Personal empleado (cantidad de mujeres)</t>
  </si>
  <si>
    <t>Para empresas: Ventas Anuales en UI (s/IVA)</t>
  </si>
  <si>
    <t>Seleccione la opción que corresponda</t>
  </si>
  <si>
    <t xml:space="preserve">Cotización de la UI en: https://www.bcu.gub.uy/Estadisticas-e-Indicadores/Paginas/Cotizaciones.aspx </t>
  </si>
  <si>
    <t>Para empresas, Clasificación por tamaño</t>
  </si>
  <si>
    <t>Decreto 504/007; https://www.impo.com.uy/bases/decretos-originales/504-2007</t>
  </si>
  <si>
    <t>Si es empresa mipyme, ¿tiene Certificado Pyme vigente?</t>
  </si>
  <si>
    <t>Datos de contacto</t>
  </si>
  <si>
    <r>
      <rPr>
        <b/>
        <i/>
        <sz val="12"/>
        <color theme="1"/>
        <rFont val="Calibri"/>
        <family val="2"/>
        <scheme val="minor"/>
      </rPr>
      <t xml:space="preserve">Importante: </t>
    </r>
    <r>
      <rPr>
        <sz val="12"/>
        <color theme="1"/>
        <rFont val="Calibri"/>
        <family val="2"/>
        <scheme val="minor"/>
      </rPr>
      <t xml:space="preserve">debe completar todos los campos. </t>
    </r>
    <r>
      <rPr>
        <b/>
        <u/>
        <sz val="12"/>
        <color theme="1"/>
        <rFont val="Calibri"/>
        <family val="2"/>
        <scheme val="minor"/>
      </rPr>
      <t>Los teléfonos y correos electrónicos deben ser los de contacto directo con la correspondiente persona.</t>
    </r>
  </si>
  <si>
    <t>Nombre</t>
  </si>
  <si>
    <t>Cargo</t>
  </si>
  <si>
    <t>Teléfono</t>
  </si>
  <si>
    <t>Correo electrónico</t>
  </si>
  <si>
    <t xml:space="preserve">Directivo o representante de la empresa/institución </t>
  </si>
  <si>
    <t>Responsable Técnico de la empresa/institución (si corresponde)</t>
  </si>
  <si>
    <t>Responsable de marketing, comunicación o afín (si corresponde)</t>
  </si>
  <si>
    <t>ESCO que trabaja en la empresa/institución postulante y/o preparó la postulación (si corresponde)</t>
  </si>
  <si>
    <t>Referente de la ESCO en la empresa/institución postulante (si corresponde)</t>
  </si>
  <si>
    <t>Agente Certificador de Ahorros</t>
  </si>
  <si>
    <t>Tamaño de empresa</t>
  </si>
  <si>
    <t>Categoría</t>
  </si>
  <si>
    <t>DIVISIÓN DE ACTIVIDAD (CIIU)</t>
  </si>
  <si>
    <t>Micro</t>
  </si>
  <si>
    <t>Comercial y Servicios</t>
  </si>
  <si>
    <t>01. Producción agropecuaria, caza y actividades de servicios conexas</t>
  </si>
  <si>
    <t>Pequeña</t>
  </si>
  <si>
    <t>Edificaciones</t>
  </si>
  <si>
    <t>02. Forestación y extracción de madera</t>
  </si>
  <si>
    <t>Mediana</t>
  </si>
  <si>
    <t>Educación</t>
  </si>
  <si>
    <t>03. Pesca y Acuicultura</t>
  </si>
  <si>
    <t>Grande</t>
  </si>
  <si>
    <t>ESCO</t>
  </si>
  <si>
    <t>05. Extracción de carbón y lignito, extracción de turba</t>
  </si>
  <si>
    <t>Ventas Anuales (s/IVA)</t>
  </si>
  <si>
    <t>Industria</t>
  </si>
  <si>
    <t>06. Extracción de petróleo crudo y gas natural</t>
  </si>
  <si>
    <t>Movilidad</t>
  </si>
  <si>
    <t>07. Extracción de minerales metalíferos</t>
  </si>
  <si>
    <t>Hasta 2.000.000 UI</t>
  </si>
  <si>
    <t>Público</t>
  </si>
  <si>
    <t>08. Explotación de otras minas y canteras</t>
  </si>
  <si>
    <t>Hasta 10.000.000 UI</t>
  </si>
  <si>
    <t>09. Actividades de apoyo a la explotación de minas</t>
  </si>
  <si>
    <t>Hasta 75.000.000 UI</t>
  </si>
  <si>
    <t>Subcategoría</t>
  </si>
  <si>
    <t>10. Elaboración de productos alimenticios</t>
  </si>
  <si>
    <t>Más de 75.000.000 UI</t>
  </si>
  <si>
    <t>11. Elaboración de bebidas</t>
  </si>
  <si>
    <t>Certificado Pyme</t>
  </si>
  <si>
    <t>Empresa grande</t>
  </si>
  <si>
    <t>12. Elaboración de productos de tabaco</t>
  </si>
  <si>
    <t>Empresa mediana</t>
  </si>
  <si>
    <t>13. Fabricación de productos textiles</t>
  </si>
  <si>
    <t>Empresa micro y pequeña</t>
  </si>
  <si>
    <t>14. Fabricación de prendas de vestir</t>
  </si>
  <si>
    <t>Cursos formales</t>
  </si>
  <si>
    <t>15. Fabricación de cueros y productos conexos</t>
  </si>
  <si>
    <t>Sensibilización y capacitación</t>
  </si>
  <si>
    <t>16. Producción de madera y fabricación de productos de madera y corcho, excepto muebles; fabricación de artículos de paja y de materiales trenzables.</t>
  </si>
  <si>
    <t>17. Fabricación de papel y de los productos de papel</t>
  </si>
  <si>
    <t>18. Actividades de impresión y reproducción de grabaciones</t>
  </si>
  <si>
    <t>19. Fabricación de coque y de productos de la refinación del petróleo</t>
  </si>
  <si>
    <t>20. Fabricación de sustancias y productos químicos</t>
  </si>
  <si>
    <t>21. Fabricación de productos farmacéuticos, sustancias químicas medicinales y de productos botánicos.</t>
  </si>
  <si>
    <t>22. Fabricación de productos de caucho y plástico</t>
  </si>
  <si>
    <t>23. Fabricación de otros productos minerales no metálicos</t>
  </si>
  <si>
    <t>24. Fabricación de metales comunes</t>
  </si>
  <si>
    <t>25. Fabricación de productos derivados del metal, excepto maquinaria y equipo</t>
  </si>
  <si>
    <t>26. Fabricación de los productos informáticos, electrónicos y ópticos</t>
  </si>
  <si>
    <t>27. Fabricación de equipo eléctrico</t>
  </si>
  <si>
    <t>28. Fabricación de la maquinaria y equipo n.c.p.</t>
  </si>
  <si>
    <t>29.Fabricación de vehículos automotores, remolques y semiremolques</t>
  </si>
  <si>
    <t>30. Fabricación de otros tipos de equipo de transporte</t>
  </si>
  <si>
    <t>31. Fabricación de muebles</t>
  </si>
  <si>
    <t>32. Otras industrias manufactureras</t>
  </si>
  <si>
    <t>33. Reparación e instalación de la maquinaria y equipo</t>
  </si>
  <si>
    <t>35. Suministro de electricidad, gas, vapor y aire acondicionado</t>
  </si>
  <si>
    <t>36. Captación, tratamiento y suministro de agua</t>
  </si>
  <si>
    <t>37. Alcantarillado</t>
  </si>
  <si>
    <t>38. Recolección, tratamiento y eliminación de desechos, recuperación de materiales</t>
  </si>
  <si>
    <t>39. Actividades de saneamiento y otros servicios de gestión de desechos</t>
  </si>
  <si>
    <t>41. Construcción de obras de arquitectura</t>
  </si>
  <si>
    <t>42. Ingeniería Civil</t>
  </si>
  <si>
    <t>43. Actividades especializadas de la construcción</t>
  </si>
  <si>
    <t>45. Comercio al por mayor y al por menor; reparación de vehículos automotores y motocicletas</t>
  </si>
  <si>
    <t>46. Comercio al por mayor, excepto de los vehículos de motor y de las motocicletas</t>
  </si>
  <si>
    <t>47. Comercio al por menor, excepto el comercio de vehículos automotores y motocicletas.</t>
  </si>
  <si>
    <t>49. Transporte por vía terrestre; transporte por tuberías</t>
  </si>
  <si>
    <t>50. Transporte por vía acuática</t>
  </si>
  <si>
    <t>51. Transporte por vía aérea</t>
  </si>
  <si>
    <t>52. Depósito y actividades de transporte complementarias</t>
  </si>
  <si>
    <t>53. Correo y servicios de mensajería</t>
  </si>
  <si>
    <t>55. Alojamiento</t>
  </si>
  <si>
    <t>56. Servicio de alimento y bebida</t>
  </si>
  <si>
    <t>58. Actividades de publicación</t>
  </si>
  <si>
    <t>59. Actividades de producción de películas, de video de programas de televisión, grabación y publicación de música y sonido.</t>
  </si>
  <si>
    <t>60. Actividades de Programación y distribución</t>
  </si>
  <si>
    <t>61. Telecomunicaciones.</t>
  </si>
  <si>
    <t>62. Actividades de la tecnología de información y del servicio informativo.</t>
  </si>
  <si>
    <t>63. Actividades del servicio informativo.</t>
  </si>
  <si>
    <t>64. Servicios financieros, excepto seguros y fondos de pensiones.</t>
  </si>
  <si>
    <t>65. Seguros, reaseguros y fondos de pensiones, excepto los planes de seguridad social de afiliación obligatoria.</t>
  </si>
  <si>
    <t>66. Actividades auxiliares a los servicios financieros y actividades de seguros.</t>
  </si>
  <si>
    <t>68. Actividades inmobiliarias</t>
  </si>
  <si>
    <t>69. Actividades jurídicas y de contabilidad</t>
  </si>
  <si>
    <t>70. Actividades de oficinas centrales, actividades de administración de empresas y de consultoría sobre administración de empresas.</t>
  </si>
  <si>
    <t>71. Actividades de arquitectura e ingeniería; ensayos y análisis técnicos.</t>
  </si>
  <si>
    <t>72. Investigación y desarrollo científicos.</t>
  </si>
  <si>
    <t>73. Publicidad e investigación de mercados</t>
  </si>
  <si>
    <t>74. Otras actividades profesionales, científicas y técnicas</t>
  </si>
  <si>
    <t>75. Actividades veterinarias</t>
  </si>
  <si>
    <t>77. Actividades del alquiler y arrendamiento</t>
  </si>
  <si>
    <t>78. Actividades de las agencias de empleo</t>
  </si>
  <si>
    <t>79. Actividades de las agencias de viajes, operadores turísticos y servicios de reserva relacionados</t>
  </si>
  <si>
    <t>80. Actividades de seguridad e investigación</t>
  </si>
  <si>
    <t>81. Actividades de servicio a edificios y paisajes (jardines, áreas verdes, etc.)</t>
  </si>
  <si>
    <t>82. Actividades de oficinas administrativas, soporte de oficinas y otras actividades de soportes de negocios.</t>
  </si>
  <si>
    <t>84. Administración pública y la defensa; planes de seguridad social de afiliación obligatoria.</t>
  </si>
  <si>
    <t>85. Enseñanza</t>
  </si>
  <si>
    <t>86. Actividades relacionadas con la salud humana</t>
  </si>
  <si>
    <t>87. Instituciones residenciales de cuidado</t>
  </si>
  <si>
    <t>88. Servicios sociales sin alojamiento</t>
  </si>
  <si>
    <t>90. Actividades de arte, entretenimiento y creatividad</t>
  </si>
  <si>
    <t>91. Bibliotecas, archivos, museos y otras actividades culturales</t>
  </si>
  <si>
    <t>92. Actividades de juego y apuestas</t>
  </si>
  <si>
    <t>93. Actividades deportivas, de diversión y esparcimiento</t>
  </si>
  <si>
    <t>94. Actividades de asociaciones u organizaciones</t>
  </si>
  <si>
    <t>95. Reparación de computadoras y artículos de uso personal y doméstico.</t>
  </si>
  <si>
    <t>96. Otras actividades de servicios</t>
  </si>
  <si>
    <t>97. Actividades de los hogares en calidad de empleadores de personal doméstico.</t>
  </si>
  <si>
    <t>98. Actividades indiferenciadas de producción de bienes y servicios de los hogares privados para uso propio.</t>
  </si>
  <si>
    <t>99. Actividades de organizaciones y órganos extraterritoriales</t>
  </si>
  <si>
    <t>Consumo de energía en 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</si>
</sst>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_);_(* \(#,##0.00\);_(* &quot;-&quot;??_);_(@_)"/>
    <numFmt numFmtId="165" formatCode="_-* #,##0.00\ _€_-;\-* #,##0.00\ _€_-;_-* &quot;-&quot;??\ _€_-;_-@_-"/>
    <numFmt numFmtId="166" formatCode="General_)"/>
    <numFmt numFmtId="167" formatCode="0.0_)"/>
    <numFmt numFmtId="168" formatCode="_ * #,##0.00_ ;_ * \-#,##0.00_ ;_ * &quot;-&quot;??_ ;_ @_ "/>
    <numFmt numFmtId="169" formatCode="\$#,##0\ ;\(\$#,##0\)"/>
    <numFmt numFmtId="170" formatCode="_ [$€]\ * #,##0.00_ ;_ [$€]\ * \-#,##0.00_ ;_ [$€]\ * &quot;-&quot;??_ ;_ @_ "/>
    <numFmt numFmtId="171" formatCode="0.0"/>
    <numFmt numFmtId="172" formatCode="0.000"/>
    <numFmt numFmtId="173" formatCode="_(* #,##0_);_(* \(#,##0\);_(* &quot;-&quot;??_);_(@_)"/>
    <numFmt numFmtId="174" formatCode="_(* #,##0.0000_);_(* \(#,##0.0000\);_(* &quot;-&quot;??_);_(@_)"/>
    <numFmt numFmtId="175" formatCode="0.0000"/>
    <numFmt numFmtId="176" formatCode="_(* #,##0.0_);_(* \(#,##0.0\);_(* &quot;-&quot;??_);_(@_)"/>
    <numFmt numFmtId="177" formatCode="0.0%"/>
    <numFmt numFmtId="178" formatCode="_(* #,##0.000_);_(* \(#,##0.000\);_(* &quot;-&quot;??_);_(@_)"/>
    <numFmt numFmtId="179" formatCode="0.00_)"/>
  </numFmts>
  <fonts count="132" x14ac:knownFonts="1">
    <font>
      <sz val="11"/>
      <color theme="1"/>
      <name val="Calibri"/>
      <family val="2"/>
      <scheme val="minor"/>
    </font>
    <font>
      <sz val="11"/>
      <color rgb="FFFF0000"/>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2"/>
      <name val="Courier"/>
      <family val="3"/>
    </font>
    <font>
      <sz val="8"/>
      <color theme="1"/>
      <name val="Calibri"/>
      <family val="2"/>
      <scheme val="minor"/>
    </font>
    <font>
      <b/>
      <sz val="8"/>
      <color theme="1"/>
      <name val="Calibri"/>
      <family val="2"/>
      <scheme val="minor"/>
    </font>
    <font>
      <sz val="10"/>
      <name val="Arial"/>
      <family val="2"/>
    </font>
    <font>
      <b/>
      <sz val="18"/>
      <name val="Arial"/>
      <family val="2"/>
    </font>
    <font>
      <b/>
      <sz val="12"/>
      <name val="Arial"/>
      <family val="2"/>
    </font>
    <font>
      <sz val="11"/>
      <color theme="1"/>
      <name val="Calibri"/>
      <family val="2"/>
    </font>
    <font>
      <b/>
      <sz val="12"/>
      <color theme="0"/>
      <name val="Calibri"/>
      <family val="2"/>
      <scheme val="minor"/>
    </font>
    <font>
      <b/>
      <sz val="12"/>
      <name val="Calibri"/>
      <family val="2"/>
      <scheme val="minor"/>
    </font>
    <font>
      <sz val="11"/>
      <name val="Calibri"/>
      <family val="2"/>
      <scheme val="minor"/>
    </font>
    <font>
      <sz val="12"/>
      <color rgb="FFFF0000"/>
      <name val="Calibri"/>
      <family val="2"/>
      <scheme val="minor"/>
    </font>
    <font>
      <b/>
      <sz val="11"/>
      <color rgb="FFFF0000"/>
      <name val="Calibri"/>
      <family val="2"/>
      <scheme val="minor"/>
    </font>
    <font>
      <sz val="8"/>
      <name val="Calibri"/>
      <family val="2"/>
      <scheme val="minor"/>
    </font>
    <font>
      <b/>
      <sz val="16"/>
      <color theme="0"/>
      <name val="Calibri"/>
      <family val="2"/>
      <scheme val="minor"/>
    </font>
    <font>
      <b/>
      <sz val="12"/>
      <color theme="1"/>
      <name val="Calibri"/>
      <family val="2"/>
      <scheme val="minor"/>
    </font>
    <font>
      <sz val="16"/>
      <color theme="0"/>
      <name val="Calibri"/>
      <family val="2"/>
      <scheme val="minor"/>
    </font>
    <font>
      <sz val="14"/>
      <color theme="1"/>
      <name val="Calibri"/>
      <family val="2"/>
      <scheme val="minor"/>
    </font>
    <font>
      <sz val="12"/>
      <name val="Calibri"/>
      <family val="2"/>
      <scheme val="minor"/>
    </font>
    <font>
      <b/>
      <sz val="12"/>
      <color rgb="FFFF0000"/>
      <name val="Calibri"/>
      <family val="2"/>
      <scheme val="minor"/>
    </font>
    <font>
      <sz val="10"/>
      <color rgb="FFFF0000"/>
      <name val="Calibri"/>
      <family val="2"/>
      <scheme val="minor"/>
    </font>
    <font>
      <sz val="10"/>
      <name val="Calibri"/>
      <family val="2"/>
      <scheme val="minor"/>
    </font>
    <font>
      <b/>
      <sz val="10"/>
      <name val="Calibri"/>
      <family val="2"/>
      <scheme val="minor"/>
    </font>
    <font>
      <b/>
      <i/>
      <sz val="11"/>
      <color rgb="FF00B050"/>
      <name val="Calibri"/>
      <family val="2"/>
      <scheme val="minor"/>
    </font>
    <font>
      <sz val="11"/>
      <color rgb="FF00B050"/>
      <name val="Calibri"/>
      <family val="2"/>
      <scheme val="minor"/>
    </font>
    <font>
      <b/>
      <sz val="8"/>
      <color rgb="FFFF0000"/>
      <name val="Calibri"/>
      <family val="2"/>
      <scheme val="minor"/>
    </font>
    <font>
      <sz val="8"/>
      <name val="Calibri"/>
      <family val="2"/>
    </font>
    <font>
      <sz val="8"/>
      <color rgb="FFFF0000"/>
      <name val="Calibri"/>
      <family val="2"/>
      <scheme val="minor"/>
    </font>
    <font>
      <b/>
      <sz val="14"/>
      <color rgb="FF00B050"/>
      <name val="Calibri"/>
      <family val="2"/>
      <scheme val="minor"/>
    </font>
    <font>
      <b/>
      <sz val="12"/>
      <name val="Verdana"/>
      <family val="2"/>
    </font>
    <font>
      <sz val="15"/>
      <color theme="1"/>
      <name val="Calibri"/>
      <family val="2"/>
      <scheme val="minor"/>
    </font>
    <font>
      <b/>
      <i/>
      <sz val="15"/>
      <color rgb="FFFF0000"/>
      <name val="Calibri"/>
      <family val="2"/>
      <scheme val="minor"/>
    </font>
    <font>
      <b/>
      <sz val="13"/>
      <color theme="1"/>
      <name val="Calibri"/>
      <family val="2"/>
      <scheme val="minor"/>
    </font>
    <font>
      <b/>
      <sz val="13"/>
      <name val="Calibri"/>
      <family val="2"/>
      <scheme val="minor"/>
    </font>
    <font>
      <sz val="13"/>
      <color theme="1"/>
      <name val="Calibri"/>
      <family val="2"/>
      <scheme val="minor"/>
    </font>
    <font>
      <sz val="13"/>
      <name val="Calibri"/>
      <family val="2"/>
      <scheme val="minor"/>
    </font>
    <font>
      <sz val="13"/>
      <color rgb="FFFF0000"/>
      <name val="Calibri"/>
      <family val="2"/>
      <scheme val="minor"/>
    </font>
    <font>
      <sz val="11"/>
      <color theme="1"/>
      <name val="Arial"/>
      <family val="2"/>
    </font>
    <font>
      <sz val="12"/>
      <color theme="1"/>
      <name val="Calibri"/>
      <family val="2"/>
    </font>
    <font>
      <b/>
      <sz val="16"/>
      <color theme="0"/>
      <name val="Calibri"/>
      <family val="2"/>
    </font>
    <font>
      <b/>
      <sz val="11"/>
      <color theme="1"/>
      <name val="Calibri"/>
      <family val="2"/>
    </font>
    <font>
      <sz val="11"/>
      <name val="Arial"/>
      <family val="2"/>
    </font>
    <font>
      <sz val="8"/>
      <color theme="1"/>
      <name val="Calibri"/>
      <family val="2"/>
    </font>
    <font>
      <sz val="11"/>
      <color rgb="FF00B050"/>
      <name val="Calibri"/>
      <family val="2"/>
    </font>
    <font>
      <b/>
      <i/>
      <sz val="11"/>
      <color rgb="FF00B050"/>
      <name val="Calibri"/>
      <family val="2"/>
    </font>
    <font>
      <sz val="9"/>
      <color theme="1"/>
      <name val="Calibri"/>
      <family val="2"/>
    </font>
    <font>
      <sz val="16"/>
      <color theme="0"/>
      <name val="Calibri"/>
      <family val="2"/>
    </font>
    <font>
      <b/>
      <sz val="12"/>
      <color theme="0"/>
      <name val="Calibri"/>
      <family val="2"/>
    </font>
    <font>
      <sz val="14"/>
      <color theme="1"/>
      <name val="Calibri"/>
      <family val="2"/>
    </font>
    <font>
      <b/>
      <i/>
      <sz val="14"/>
      <color rgb="FFFF0000"/>
      <name val="Calibri"/>
      <family val="2"/>
    </font>
    <font>
      <b/>
      <sz val="12"/>
      <name val="Calibri"/>
      <family val="2"/>
    </font>
    <font>
      <sz val="12"/>
      <name val="Calibri"/>
      <family val="2"/>
    </font>
    <font>
      <b/>
      <sz val="12"/>
      <color theme="1"/>
      <name val="Calibri"/>
      <family val="2"/>
    </font>
    <font>
      <b/>
      <sz val="13"/>
      <name val="Calibri"/>
      <family val="2"/>
    </font>
    <font>
      <b/>
      <sz val="13"/>
      <color theme="1"/>
      <name val="Calibri"/>
      <family val="2"/>
    </font>
    <font>
      <sz val="10"/>
      <color theme="1"/>
      <name val="Calibri"/>
      <family val="2"/>
    </font>
    <font>
      <b/>
      <sz val="10"/>
      <color theme="1"/>
      <name val="Calibri"/>
      <family val="2"/>
    </font>
    <font>
      <i/>
      <sz val="10"/>
      <color theme="1"/>
      <name val="Calibri"/>
      <family val="2"/>
    </font>
    <font>
      <i/>
      <sz val="8"/>
      <color theme="1"/>
      <name val="Calibri"/>
      <family val="2"/>
    </font>
    <font>
      <sz val="10"/>
      <name val="Calibri"/>
      <family val="2"/>
    </font>
    <font>
      <u/>
      <sz val="11"/>
      <color theme="10"/>
      <name val="Arial"/>
      <family val="2"/>
    </font>
    <font>
      <sz val="11"/>
      <color rgb="FF000000"/>
      <name val="Calibri"/>
      <family val="2"/>
      <scheme val="minor"/>
    </font>
    <font>
      <b/>
      <sz val="16"/>
      <name val="Calibri"/>
      <family val="2"/>
      <scheme val="minor"/>
    </font>
    <font>
      <b/>
      <sz val="15"/>
      <color theme="1"/>
      <name val="Calibri"/>
      <family val="2"/>
      <scheme val="minor"/>
    </font>
    <font>
      <b/>
      <sz val="11"/>
      <color rgb="FF00B050"/>
      <name val="Calibri"/>
      <family val="2"/>
      <scheme val="minor"/>
    </font>
    <font>
      <i/>
      <sz val="10"/>
      <name val="Calibri"/>
      <family val="2"/>
      <scheme val="minor"/>
    </font>
    <font>
      <u/>
      <sz val="12"/>
      <name val="Calibri"/>
      <family val="2"/>
      <scheme val="minor"/>
    </font>
    <font>
      <b/>
      <u/>
      <sz val="12"/>
      <name val="Calibri"/>
      <family val="2"/>
      <scheme val="minor"/>
    </font>
    <font>
      <b/>
      <sz val="11"/>
      <name val="Calibri"/>
      <family val="2"/>
    </font>
    <font>
      <sz val="11"/>
      <color theme="4" tint="-0.249977111117893"/>
      <name val="Calibri"/>
      <family val="2"/>
    </font>
    <font>
      <b/>
      <sz val="8"/>
      <name val="Calibri"/>
      <family val="2"/>
    </font>
    <font>
      <b/>
      <i/>
      <sz val="12"/>
      <color rgb="FF000000"/>
      <name val="Calibri"/>
      <family val="2"/>
      <scheme val="minor"/>
    </font>
    <font>
      <sz val="12"/>
      <color rgb="FF000000"/>
      <name val="Calibri"/>
      <family val="2"/>
      <scheme val="minor"/>
    </font>
    <font>
      <sz val="12"/>
      <color rgb="FF00B050"/>
      <name val="Calibri"/>
      <family val="2"/>
      <scheme val="minor"/>
    </font>
    <font>
      <b/>
      <sz val="11"/>
      <name val="Arial"/>
      <family val="2"/>
    </font>
    <font>
      <b/>
      <sz val="8"/>
      <color theme="1"/>
      <name val="Calibri"/>
      <family val="2"/>
    </font>
    <font>
      <b/>
      <sz val="14"/>
      <color theme="0"/>
      <name val="Calibri"/>
      <family val="2"/>
    </font>
    <font>
      <b/>
      <sz val="11"/>
      <color theme="0" tint="-0.499984740745262"/>
      <name val="Calibri"/>
      <family val="2"/>
    </font>
    <font>
      <sz val="11"/>
      <color theme="0" tint="-0.499984740745262"/>
      <name val="Calibri"/>
      <family val="2"/>
    </font>
    <font>
      <b/>
      <sz val="11"/>
      <color theme="0" tint="-0.499984740745262"/>
      <name val="Calibri"/>
      <family val="2"/>
      <scheme val="minor"/>
    </font>
    <font>
      <sz val="12"/>
      <color theme="0" tint="-0.499984740745262"/>
      <name val="Calibri"/>
      <family val="2"/>
      <scheme val="minor"/>
    </font>
    <font>
      <b/>
      <sz val="16"/>
      <color theme="0" tint="-0.499984740745262"/>
      <name val="Calibri"/>
      <family val="2"/>
      <scheme val="minor"/>
    </font>
    <font>
      <b/>
      <i/>
      <sz val="15"/>
      <color theme="0" tint="-0.499984740745262"/>
      <name val="Calibri"/>
      <family val="2"/>
      <scheme val="minor"/>
    </font>
    <font>
      <sz val="13"/>
      <color theme="0" tint="-0.499984740745262"/>
      <name val="Calibri"/>
      <family val="2"/>
      <scheme val="minor"/>
    </font>
    <font>
      <sz val="11"/>
      <color theme="0" tint="-0.499984740745262"/>
      <name val="Calibri"/>
      <family val="2"/>
      <scheme val="minor"/>
    </font>
    <font>
      <b/>
      <sz val="8"/>
      <color theme="0" tint="-0.499984740745262"/>
      <name val="Calibri"/>
      <family val="2"/>
      <scheme val="minor"/>
    </font>
    <font>
      <sz val="8"/>
      <color theme="0" tint="-0.499984740745262"/>
      <name val="Calibri"/>
      <family val="2"/>
      <scheme val="minor"/>
    </font>
    <font>
      <sz val="10"/>
      <color theme="0" tint="-0.499984740745262"/>
      <name val="Calibri"/>
      <family val="2"/>
      <scheme val="minor"/>
    </font>
    <font>
      <i/>
      <sz val="9"/>
      <color theme="1"/>
      <name val="Calibri"/>
      <family val="2"/>
    </font>
    <font>
      <sz val="9"/>
      <name val="Calibri"/>
      <family val="2"/>
    </font>
    <font>
      <b/>
      <sz val="12"/>
      <color rgb="FFFF0000"/>
      <name val="Calibri"/>
      <family val="2"/>
    </font>
    <font>
      <b/>
      <vertAlign val="subscript"/>
      <sz val="11"/>
      <color theme="0" tint="-0.499984740745262"/>
      <name val="Calibri"/>
      <family val="2"/>
      <scheme val="minor"/>
    </font>
    <font>
      <sz val="16"/>
      <color theme="0" tint="-0.499984740745262"/>
      <name val="Calibri"/>
      <family val="2"/>
      <scheme val="minor"/>
    </font>
    <font>
      <sz val="15"/>
      <color theme="0" tint="-0.499984740745262"/>
      <name val="Calibri"/>
      <family val="2"/>
      <scheme val="minor"/>
    </font>
    <font>
      <b/>
      <sz val="10"/>
      <color theme="0" tint="-0.499984740745262"/>
      <name val="Calibri"/>
      <family val="2"/>
      <scheme val="minor"/>
    </font>
    <font>
      <sz val="9"/>
      <color theme="0" tint="-0.499984740745262"/>
      <name val="Calibri"/>
      <family val="2"/>
    </font>
    <font>
      <sz val="9"/>
      <color indexed="81"/>
      <name val="Tahoma"/>
      <family val="2"/>
    </font>
    <font>
      <b/>
      <sz val="9"/>
      <color indexed="81"/>
      <name val="Tahoma"/>
      <family val="2"/>
    </font>
    <font>
      <sz val="11"/>
      <color theme="0"/>
      <name val="Calibri"/>
      <family val="2"/>
    </font>
    <font>
      <u/>
      <sz val="12"/>
      <color theme="1"/>
      <name val="Calibri"/>
      <family val="2"/>
    </font>
    <font>
      <u/>
      <sz val="12"/>
      <name val="Calibri"/>
      <family val="2"/>
    </font>
    <font>
      <vertAlign val="superscript"/>
      <sz val="12"/>
      <color theme="1"/>
      <name val="Calibri"/>
      <family val="2"/>
      <scheme val="minor"/>
    </font>
    <font>
      <b/>
      <u/>
      <sz val="12"/>
      <color theme="1"/>
      <name val="Calibri"/>
      <family val="2"/>
      <scheme val="minor"/>
    </font>
    <font>
      <vertAlign val="superscript"/>
      <sz val="12"/>
      <name val="Calibri"/>
      <family val="2"/>
      <scheme val="minor"/>
    </font>
    <font>
      <i/>
      <sz val="12"/>
      <name val="Calibri"/>
      <family val="2"/>
      <scheme val="minor"/>
    </font>
    <font>
      <i/>
      <u/>
      <sz val="12"/>
      <name val="Calibri"/>
      <family val="2"/>
      <scheme val="minor"/>
    </font>
    <font>
      <b/>
      <sz val="18"/>
      <color rgb="FF00B050"/>
      <name val="Calibri"/>
      <family val="2"/>
      <scheme val="minor"/>
    </font>
    <font>
      <b/>
      <sz val="14"/>
      <color theme="1"/>
      <name val="Calibri"/>
      <family val="2"/>
      <scheme val="minor"/>
    </font>
    <font>
      <b/>
      <sz val="14"/>
      <name val="Calibri"/>
      <family val="2"/>
      <scheme val="minor"/>
    </font>
    <font>
      <b/>
      <sz val="8"/>
      <color theme="0"/>
      <name val="Calibri"/>
      <family val="2"/>
      <scheme val="minor"/>
    </font>
    <font>
      <b/>
      <vertAlign val="subscript"/>
      <sz val="8"/>
      <color theme="0"/>
      <name val="Calibri"/>
      <family val="2"/>
      <scheme val="minor"/>
    </font>
    <font>
      <b/>
      <sz val="8"/>
      <name val="Calibri"/>
      <family val="2"/>
      <scheme val="minor"/>
    </font>
    <font>
      <b/>
      <i/>
      <sz val="11"/>
      <color theme="1"/>
      <name val="Calibri"/>
      <family val="2"/>
      <scheme val="minor"/>
    </font>
    <font>
      <b/>
      <vertAlign val="subscript"/>
      <sz val="11"/>
      <name val="Calibri"/>
      <family val="2"/>
      <scheme val="minor"/>
    </font>
    <font>
      <sz val="10"/>
      <color theme="1"/>
      <name val="Calibri"/>
      <family val="2"/>
      <scheme val="minor"/>
    </font>
    <font>
      <b/>
      <sz val="11"/>
      <color theme="0"/>
      <name val="Calibri"/>
      <family val="2"/>
    </font>
    <font>
      <i/>
      <sz val="9"/>
      <color theme="0"/>
      <name val="Calibri"/>
      <family val="2"/>
    </font>
    <font>
      <b/>
      <sz val="11"/>
      <color theme="0"/>
      <name val="Calibri"/>
      <family val="2"/>
      <scheme val="minor"/>
    </font>
    <font>
      <sz val="11"/>
      <color theme="0"/>
      <name val="Calibri"/>
      <family val="2"/>
      <scheme val="minor"/>
    </font>
    <font>
      <u/>
      <sz val="11"/>
      <color theme="10"/>
      <name val="Calibri"/>
      <family val="2"/>
      <scheme val="minor"/>
    </font>
    <font>
      <b/>
      <sz val="18"/>
      <color theme="1"/>
      <name val="Calibri"/>
      <family val="2"/>
      <scheme val="minor"/>
    </font>
    <font>
      <b/>
      <sz val="24"/>
      <color rgb="FF00B050"/>
      <name val="Calibri"/>
      <family val="2"/>
      <scheme val="minor"/>
    </font>
    <font>
      <b/>
      <i/>
      <sz val="12"/>
      <name val="Calibri"/>
      <family val="2"/>
      <scheme val="minor"/>
    </font>
    <font>
      <b/>
      <i/>
      <sz val="12"/>
      <color theme="0"/>
      <name val="Calibri"/>
      <family val="2"/>
      <scheme val="minor"/>
    </font>
    <font>
      <i/>
      <sz val="11"/>
      <color theme="1"/>
      <name val="Calibri"/>
      <family val="2"/>
      <scheme val="minor"/>
    </font>
    <font>
      <b/>
      <i/>
      <sz val="12"/>
      <color theme="1"/>
      <name val="Calibri"/>
      <family val="2"/>
      <scheme val="minor"/>
    </font>
    <font>
      <i/>
      <sz val="11"/>
      <color rgb="FFFF0000"/>
      <name val="Calibri"/>
      <family val="2"/>
      <scheme val="minor"/>
    </font>
  </fonts>
  <fills count="3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lightUp">
        <bgColor theme="0"/>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theme="0"/>
      </patternFill>
    </fill>
    <fill>
      <patternFill patternType="solid">
        <fgColor rgb="FF00B050"/>
        <bgColor rgb="FF00B050"/>
      </patternFill>
    </fill>
    <fill>
      <patternFill patternType="solid">
        <fgColor rgb="FFF2F2F2"/>
        <bgColor rgb="FFF2F2F2"/>
      </patternFill>
    </fill>
    <fill>
      <patternFill patternType="solid">
        <fgColor rgb="FFA5A5A5"/>
        <bgColor rgb="FFA5A5A5"/>
      </patternFill>
    </fill>
    <fill>
      <patternFill patternType="solid">
        <fgColor theme="0" tint="-0.34998626667073579"/>
        <bgColor rgb="FFA5A5A5"/>
      </patternFill>
    </fill>
    <fill>
      <patternFill patternType="solid">
        <fgColor rgb="FFD8D8D8"/>
        <bgColor rgb="FFD8D8D8"/>
      </patternFill>
    </fill>
    <fill>
      <patternFill patternType="solid">
        <fgColor rgb="FF00B050"/>
        <bgColor theme="0"/>
      </patternFill>
    </fill>
    <fill>
      <patternFill patternType="solid">
        <fgColor rgb="FFE5DFEC"/>
        <bgColor rgb="FFE5DFEC"/>
      </patternFill>
    </fill>
    <fill>
      <patternFill patternType="solid">
        <fgColor theme="8" tint="0.59999389629810485"/>
        <bgColor theme="0"/>
      </patternFill>
    </fill>
    <fill>
      <patternFill patternType="solid">
        <fgColor theme="8" tint="0.59999389629810485"/>
        <bgColor rgb="FFDAEEF3"/>
      </patternFill>
    </fill>
    <fill>
      <patternFill patternType="solid">
        <fgColor theme="8" tint="0.59999389629810485"/>
        <bgColor indexed="64"/>
      </patternFill>
    </fill>
    <fill>
      <patternFill patternType="solid">
        <fgColor theme="8" tint="0.59999389629810485"/>
        <bgColor rgb="FFBFBFBF"/>
      </patternFill>
    </fill>
    <fill>
      <patternFill patternType="lightUp">
        <bgColor theme="8" tint="0.59999389629810485"/>
      </patternFill>
    </fill>
    <fill>
      <patternFill patternType="solid">
        <fgColor theme="0" tint="-0.14999847407452621"/>
        <bgColor rgb="FFF2F2F2"/>
      </patternFill>
    </fill>
    <fill>
      <patternFill patternType="solid">
        <fgColor theme="0"/>
        <bgColor rgb="FFA5A5A5"/>
      </patternFill>
    </fill>
    <fill>
      <patternFill patternType="solid">
        <fgColor theme="0"/>
        <bgColor rgb="FFD8D8D8"/>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diagonal/>
    </border>
    <border>
      <left/>
      <right style="thin">
        <color rgb="FF000000"/>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indexed="64"/>
      </right>
      <top/>
      <bottom style="thin">
        <color indexed="64"/>
      </bottom>
      <diagonal/>
    </border>
    <border>
      <left/>
      <right style="thin">
        <color indexed="64"/>
      </right>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indexed="64"/>
      </left>
      <right/>
      <top/>
      <bottom/>
      <diagonal/>
    </border>
  </borders>
  <cellStyleXfs count="52">
    <xf numFmtId="0" fontId="0" fillId="0" borderId="0"/>
    <xf numFmtId="166" fontId="6" fillId="0" borderId="0"/>
    <xf numFmtId="0" fontId="9" fillId="0" borderId="0"/>
    <xf numFmtId="168"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5" fontId="3" fillId="0" borderId="0" applyFont="0" applyFill="0" applyBorder="0" applyAlignment="0" applyProtection="0"/>
    <xf numFmtId="0" fontId="9" fillId="0" borderId="0"/>
    <xf numFmtId="0" fontId="9" fillId="0" borderId="0"/>
    <xf numFmtId="0" fontId="9" fillId="0" borderId="0"/>
    <xf numFmtId="0" fontId="3" fillId="0" borderId="0"/>
    <xf numFmtId="0" fontId="9" fillId="0" borderId="0"/>
    <xf numFmtId="167" fontId="6" fillId="0" borderId="0"/>
    <xf numFmtId="0" fontId="9" fillId="0" borderId="0"/>
    <xf numFmtId="0" fontId="3" fillId="0" borderId="0"/>
    <xf numFmtId="0" fontId="9" fillId="0" borderId="0"/>
    <xf numFmtId="0" fontId="12" fillId="0" borderId="0"/>
    <xf numFmtId="166" fontId="6"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ill="0" applyBorder="0" applyAlignment="0" applyProtection="0"/>
    <xf numFmtId="9" fontId="12" fillId="0" borderId="0" applyFont="0" applyFill="0" applyBorder="0" applyAlignment="0" applyProtection="0"/>
    <xf numFmtId="0" fontId="9" fillId="0" borderId="7" applyNumberFormat="0" applyFont="0" applyFill="0" applyAlignment="0" applyProtection="0"/>
    <xf numFmtId="0" fontId="9" fillId="0" borderId="7" applyNumberFormat="0" applyFont="0" applyFill="0" applyAlignment="0" applyProtection="0"/>
    <xf numFmtId="0" fontId="9" fillId="0" borderId="7" applyNumberFormat="0" applyFont="0" applyFill="0" applyAlignment="0" applyProtection="0"/>
    <xf numFmtId="166" fontId="6" fillId="0" borderId="0"/>
    <xf numFmtId="164" fontId="3" fillId="0" borderId="0" applyFont="0" applyFill="0" applyBorder="0" applyAlignment="0" applyProtection="0"/>
    <xf numFmtId="9" fontId="3" fillId="0" borderId="0" applyFont="0" applyFill="0" applyBorder="0" applyAlignment="0" applyProtection="0"/>
    <xf numFmtId="0" fontId="42" fillId="0" borderId="0"/>
    <xf numFmtId="0" fontId="65" fillId="0" borderId="0" applyNumberFormat="0" applyFill="0" applyBorder="0" applyAlignment="0" applyProtection="0"/>
    <xf numFmtId="0" fontId="3" fillId="0" borderId="0"/>
    <xf numFmtId="0" fontId="3" fillId="0" borderId="0"/>
    <xf numFmtId="0" fontId="124" fillId="0" borderId="0" applyNumberFormat="0" applyFill="0" applyBorder="0" applyAlignment="0" applyProtection="0"/>
  </cellStyleXfs>
  <cellXfs count="722">
    <xf numFmtId="0" fontId="0" fillId="0" borderId="0" xfId="0"/>
    <xf numFmtId="0" fontId="0" fillId="3" borderId="0" xfId="0" applyFill="1"/>
    <xf numFmtId="0" fontId="0" fillId="3" borderId="0" xfId="0" applyFill="1" applyProtection="1">
      <protection locked="0"/>
    </xf>
    <xf numFmtId="0" fontId="19" fillId="5" borderId="0" xfId="0" applyFont="1" applyFill="1"/>
    <xf numFmtId="0" fontId="0" fillId="0" borderId="0" xfId="0" applyProtection="1">
      <protection locked="0"/>
    </xf>
    <xf numFmtId="0" fontId="0" fillId="3" borderId="0" xfId="0" applyFill="1" applyAlignment="1" applyProtection="1">
      <alignment vertical="center" wrapText="1"/>
      <protection locked="0"/>
    </xf>
    <xf numFmtId="0" fontId="0" fillId="3" borderId="3" xfId="0" applyFill="1" applyBorder="1" applyProtection="1">
      <protection locked="0"/>
    </xf>
    <xf numFmtId="0" fontId="0" fillId="3" borderId="3" xfId="0" applyFill="1" applyBorder="1" applyAlignment="1" applyProtection="1">
      <alignment horizontal="center"/>
      <protection locked="0"/>
    </xf>
    <xf numFmtId="0" fontId="0" fillId="0" borderId="0" xfId="0" applyAlignment="1" applyProtection="1">
      <alignment horizontal="center"/>
      <protection locked="0"/>
    </xf>
    <xf numFmtId="0" fontId="14" fillId="3" borderId="0" xfId="0" applyFont="1" applyFill="1" applyAlignment="1">
      <alignment vertical="center"/>
    </xf>
    <xf numFmtId="0" fontId="24" fillId="3" borderId="0" xfId="0" applyFont="1" applyFill="1" applyAlignment="1">
      <alignment vertical="center"/>
    </xf>
    <xf numFmtId="0" fontId="21" fillId="5" borderId="0" xfId="0" applyFont="1" applyFill="1"/>
    <xf numFmtId="0" fontId="2" fillId="3" borderId="0" xfId="0" applyFont="1" applyFill="1"/>
    <xf numFmtId="0" fontId="2" fillId="0" borderId="0" xfId="0" applyFont="1"/>
    <xf numFmtId="0" fontId="29" fillId="3" borderId="8" xfId="0" applyFont="1" applyFill="1" applyBorder="1"/>
    <xf numFmtId="0" fontId="2" fillId="3" borderId="0" xfId="0" applyFont="1" applyFill="1" applyAlignment="1">
      <alignment vertical="center"/>
    </xf>
    <xf numFmtId="0" fontId="19" fillId="5" borderId="0" xfId="0" applyFont="1" applyFill="1" applyAlignment="1">
      <alignment vertical="center"/>
    </xf>
    <xf numFmtId="0" fontId="20" fillId="3" borderId="0" xfId="0" applyFont="1" applyFill="1" applyAlignment="1">
      <alignment vertical="top"/>
    </xf>
    <xf numFmtId="0" fontId="16" fillId="3" borderId="0" xfId="0" applyFont="1" applyFill="1"/>
    <xf numFmtId="0" fontId="22" fillId="3" borderId="0" xfId="0" applyFont="1" applyFill="1" applyAlignment="1">
      <alignment vertical="center"/>
    </xf>
    <xf numFmtId="0" fontId="20" fillId="0" borderId="0" xfId="0" applyFont="1" applyAlignment="1">
      <alignment vertical="top"/>
    </xf>
    <xf numFmtId="0" fontId="33" fillId="0" borderId="0" xfId="0" applyFont="1"/>
    <xf numFmtId="0" fontId="0" fillId="11" borderId="1" xfId="0" applyFill="1" applyBorder="1"/>
    <xf numFmtId="0" fontId="4" fillId="2" borderId="1" xfId="0" applyFont="1" applyFill="1" applyBorder="1" applyAlignment="1">
      <alignment vertical="center"/>
    </xf>
    <xf numFmtId="0" fontId="0" fillId="0" borderId="0" xfId="0" applyAlignment="1">
      <alignment vertical="center"/>
    </xf>
    <xf numFmtId="0" fontId="0" fillId="0" borderId="1" xfId="0" applyBorder="1" applyAlignment="1">
      <alignment vertical="center"/>
    </xf>
    <xf numFmtId="173" fontId="4" fillId="11" borderId="1" xfId="45" applyNumberFormat="1" applyFont="1" applyFill="1" applyBorder="1" applyAlignment="1">
      <alignment vertical="center"/>
    </xf>
    <xf numFmtId="0" fontId="15" fillId="0" borderId="1" xfId="0" applyFont="1" applyBorder="1" applyAlignment="1">
      <alignment vertical="center"/>
    </xf>
    <xf numFmtId="173" fontId="15" fillId="11" borderId="1" xfId="45" applyNumberFormat="1" applyFont="1" applyFill="1" applyBorder="1" applyAlignment="1">
      <alignment vertical="center"/>
    </xf>
    <xf numFmtId="0" fontId="1" fillId="0" borderId="0" xfId="0" applyFont="1" applyAlignment="1">
      <alignment vertical="center"/>
    </xf>
    <xf numFmtId="173" fontId="15" fillId="0" borderId="1" xfId="45" applyNumberFormat="1" applyFont="1" applyBorder="1" applyAlignment="1">
      <alignment vertical="center"/>
    </xf>
    <xf numFmtId="176" fontId="15" fillId="12" borderId="1" xfId="45" applyNumberFormat="1" applyFont="1" applyFill="1" applyBorder="1" applyAlignment="1">
      <alignment vertical="center"/>
    </xf>
    <xf numFmtId="11" fontId="0" fillId="0" borderId="0" xfId="0" applyNumberFormat="1" applyAlignment="1">
      <alignment vertical="center"/>
    </xf>
    <xf numFmtId="177" fontId="15" fillId="0" borderId="1" xfId="46" applyNumberFormat="1" applyFont="1" applyBorder="1" applyAlignment="1">
      <alignment vertical="center"/>
    </xf>
    <xf numFmtId="0" fontId="5" fillId="0" borderId="1" xfId="0" applyFont="1" applyBorder="1" applyAlignment="1">
      <alignment vertical="center"/>
    </xf>
    <xf numFmtId="173" fontId="4" fillId="12" borderId="0" xfId="45" applyNumberFormat="1" applyFont="1" applyFill="1"/>
    <xf numFmtId="0" fontId="4" fillId="0" borderId="0" xfId="0" applyFont="1"/>
    <xf numFmtId="0" fontId="4" fillId="0" borderId="0" xfId="0" applyFont="1" applyAlignment="1">
      <alignment vertical="center"/>
    </xf>
    <xf numFmtId="0" fontId="15" fillId="0" borderId="36" xfId="0" applyFont="1" applyBorder="1" applyAlignment="1">
      <alignment vertical="center"/>
    </xf>
    <xf numFmtId="0" fontId="1" fillId="0" borderId="0" xfId="0" applyFont="1"/>
    <xf numFmtId="0" fontId="0" fillId="0" borderId="36" xfId="0" applyBorder="1" applyAlignment="1">
      <alignment vertical="center"/>
    </xf>
    <xf numFmtId="173" fontId="15" fillId="0" borderId="1" xfId="45" applyNumberFormat="1" applyFont="1" applyFill="1" applyBorder="1" applyAlignment="1">
      <alignment vertical="center"/>
    </xf>
    <xf numFmtId="173" fontId="0" fillId="0" borderId="1" xfId="45" applyNumberFormat="1" applyFont="1" applyBorder="1" applyAlignment="1">
      <alignment vertical="center"/>
    </xf>
    <xf numFmtId="0" fontId="4" fillId="0" borderId="1" xfId="0" applyFont="1" applyBorder="1" applyAlignment="1">
      <alignment vertical="center"/>
    </xf>
    <xf numFmtId="173" fontId="5" fillId="12" borderId="1" xfId="45" applyNumberFormat="1" applyFont="1" applyFill="1" applyBorder="1" applyAlignment="1">
      <alignment vertical="center"/>
    </xf>
    <xf numFmtId="0" fontId="4" fillId="11" borderId="1" xfId="0" applyFont="1" applyFill="1" applyBorder="1" applyAlignment="1">
      <alignment horizontal="right" vertical="center"/>
    </xf>
    <xf numFmtId="0" fontId="0" fillId="0" borderId="1" xfId="0" applyBorder="1" applyAlignment="1">
      <alignment horizontal="left" vertical="center"/>
    </xf>
    <xf numFmtId="0" fontId="15" fillId="11" borderId="1" xfId="0" applyFont="1" applyFill="1" applyBorder="1" applyAlignment="1">
      <alignment horizontal="right" vertical="center"/>
    </xf>
    <xf numFmtId="0" fontId="0" fillId="0" borderId="6" xfId="0" applyBorder="1" applyAlignment="1">
      <alignment horizontal="left" vertical="center"/>
    </xf>
    <xf numFmtId="173" fontId="0" fillId="12" borderId="1" xfId="45" applyNumberFormat="1" applyFont="1" applyFill="1" applyBorder="1" applyAlignment="1">
      <alignment horizontal="right" vertical="center"/>
    </xf>
    <xf numFmtId="2" fontId="0" fillId="0" borderId="1" xfId="0" applyNumberFormat="1" applyBorder="1" applyAlignment="1">
      <alignment horizontal="right" vertical="center"/>
    </xf>
    <xf numFmtId="177" fontId="0" fillId="0" borderId="1" xfId="46" applyNumberFormat="1" applyFont="1" applyBorder="1" applyAlignment="1">
      <alignment vertical="center"/>
    </xf>
    <xf numFmtId="176" fontId="4" fillId="12" borderId="1" xfId="45" applyNumberFormat="1" applyFont="1" applyFill="1" applyBorder="1" applyAlignment="1">
      <alignment vertical="center"/>
    </xf>
    <xf numFmtId="173" fontId="0" fillId="0" borderId="0" xfId="45" applyNumberFormat="1" applyFont="1" applyAlignment="1">
      <alignment vertical="center"/>
    </xf>
    <xf numFmtId="0" fontId="5" fillId="11" borderId="1" xfId="0" applyFont="1" applyFill="1" applyBorder="1" applyAlignment="1">
      <alignment horizontal="right" vertical="center"/>
    </xf>
    <xf numFmtId="173" fontId="0" fillId="11" borderId="1" xfId="45" applyNumberFormat="1" applyFont="1" applyFill="1" applyBorder="1" applyAlignment="1">
      <alignment horizontal="right" vertical="center"/>
    </xf>
    <xf numFmtId="0" fontId="0" fillId="0" borderId="1" xfId="0" applyBorder="1" applyAlignment="1">
      <alignment horizontal="right" vertical="center"/>
    </xf>
    <xf numFmtId="3" fontId="0" fillId="0" borderId="1" xfId="0" applyNumberFormat="1" applyBorder="1" applyAlignment="1">
      <alignment horizontal="right" vertical="center"/>
    </xf>
    <xf numFmtId="172" fontId="0" fillId="0" borderId="1" xfId="0" applyNumberFormat="1" applyBorder="1" applyAlignment="1">
      <alignment horizontal="right" vertical="center"/>
    </xf>
    <xf numFmtId="173" fontId="0" fillId="12" borderId="0" xfId="45" applyNumberFormat="1" applyFont="1" applyFill="1"/>
    <xf numFmtId="10" fontId="4" fillId="0" borderId="1" xfId="46" applyNumberFormat="1" applyFont="1" applyFill="1" applyBorder="1" applyAlignment="1">
      <alignment vertical="center"/>
    </xf>
    <xf numFmtId="172" fontId="0" fillId="12" borderId="1" xfId="0" applyNumberFormat="1" applyFill="1" applyBorder="1" applyAlignment="1">
      <alignment horizontal="right" vertical="center"/>
    </xf>
    <xf numFmtId="0" fontId="32" fillId="3" borderId="0" xfId="0" quotePrefix="1" applyFont="1" applyFill="1" applyAlignment="1">
      <alignment horizontal="center" vertical="center" wrapText="1"/>
    </xf>
    <xf numFmtId="173" fontId="4" fillId="12" borderId="1" xfId="45" applyNumberFormat="1" applyFont="1" applyFill="1" applyBorder="1" applyAlignment="1">
      <alignment horizontal="right" vertical="center"/>
    </xf>
    <xf numFmtId="0" fontId="4" fillId="0" borderId="1" xfId="0" applyFont="1" applyBorder="1" applyAlignment="1">
      <alignment horizontal="left" vertical="center"/>
    </xf>
    <xf numFmtId="0" fontId="17" fillId="0" borderId="0" xfId="0" applyFont="1" applyAlignment="1">
      <alignment vertical="center"/>
    </xf>
    <xf numFmtId="173" fontId="4" fillId="0" borderId="1" xfId="45" applyNumberFormat="1" applyFont="1" applyFill="1" applyBorder="1" applyAlignment="1">
      <alignment horizontal="right" vertical="center"/>
    </xf>
    <xf numFmtId="173" fontId="5" fillId="0" borderId="1" xfId="45" applyNumberFormat="1" applyFont="1" applyBorder="1" applyAlignment="1">
      <alignment vertical="center"/>
    </xf>
    <xf numFmtId="3" fontId="4" fillId="0" borderId="1" xfId="0" applyNumberFormat="1" applyFont="1" applyBorder="1" applyAlignment="1">
      <alignment horizontal="right" vertical="center"/>
    </xf>
    <xf numFmtId="173" fontId="4" fillId="0" borderId="1" xfId="45" applyNumberFormat="1" applyFont="1" applyBorder="1" applyAlignment="1">
      <alignment vertical="center"/>
    </xf>
    <xf numFmtId="164" fontId="4" fillId="0" borderId="1" xfId="45" applyFont="1" applyBorder="1" applyAlignment="1">
      <alignment vertical="center"/>
    </xf>
    <xf numFmtId="0" fontId="4" fillId="0" borderId="1" xfId="0" applyFont="1" applyBorder="1" applyAlignment="1">
      <alignment vertical="center" wrapText="1"/>
    </xf>
    <xf numFmtId="2" fontId="0" fillId="12" borderId="1" xfId="0" applyNumberFormat="1" applyFill="1" applyBorder="1" applyAlignment="1">
      <alignment horizontal="right" vertical="center"/>
    </xf>
    <xf numFmtId="3" fontId="0" fillId="0" borderId="0" xfId="0" applyNumberFormat="1" applyAlignment="1">
      <alignment vertical="center"/>
    </xf>
    <xf numFmtId="173" fontId="4" fillId="0" borderId="0" xfId="0" applyNumberFormat="1" applyFont="1" applyAlignment="1">
      <alignment vertical="center"/>
    </xf>
    <xf numFmtId="178" fontId="4" fillId="12" borderId="1" xfId="45" applyNumberFormat="1" applyFont="1" applyFill="1" applyBorder="1" applyAlignment="1">
      <alignment vertical="center"/>
    </xf>
    <xf numFmtId="164" fontId="5" fillId="12" borderId="1" xfId="45" applyFont="1" applyFill="1" applyBorder="1" applyAlignment="1">
      <alignment vertical="center"/>
    </xf>
    <xf numFmtId="175" fontId="0" fillId="0" borderId="1" xfId="0" applyNumberFormat="1" applyBorder="1" applyAlignment="1">
      <alignment horizontal="right" vertical="center"/>
    </xf>
    <xf numFmtId="0" fontId="36" fillId="3" borderId="0" xfId="0" applyFont="1" applyFill="1"/>
    <xf numFmtId="0" fontId="35" fillId="0" borderId="0" xfId="0" applyFont="1"/>
    <xf numFmtId="173" fontId="5" fillId="11" borderId="1" xfId="45" applyNumberFormat="1" applyFont="1" applyFill="1" applyBorder="1" applyAlignment="1">
      <alignment horizontal="right" vertical="center"/>
    </xf>
    <xf numFmtId="0" fontId="29" fillId="3" borderId="8" xfId="0" applyFont="1" applyFill="1" applyBorder="1" applyProtection="1">
      <protection locked="0"/>
    </xf>
    <xf numFmtId="0" fontId="28" fillId="3" borderId="8" xfId="0" applyFont="1" applyFill="1" applyBorder="1" applyProtection="1">
      <protection locked="0"/>
    </xf>
    <xf numFmtId="0" fontId="29" fillId="3" borderId="8" xfId="0" applyFont="1" applyFill="1" applyBorder="1" applyAlignment="1" applyProtection="1">
      <alignment horizontal="center"/>
      <protection locked="0"/>
    </xf>
    <xf numFmtId="0" fontId="0" fillId="3" borderId="0" xfId="0" applyFill="1" applyAlignment="1" applyProtection="1">
      <alignment horizontal="center"/>
      <protection locked="0"/>
    </xf>
    <xf numFmtId="0" fontId="1" fillId="3" borderId="0" xfId="0" applyFont="1" applyFill="1" applyAlignment="1" applyProtection="1">
      <alignment horizontal="center"/>
      <protection locked="0"/>
    </xf>
    <xf numFmtId="166" fontId="34" fillId="0" borderId="0" xfId="1" applyFont="1" applyAlignment="1" applyProtection="1">
      <alignment horizontal="left" vertical="center"/>
      <protection locked="0"/>
    </xf>
    <xf numFmtId="0" fontId="8" fillId="0" borderId="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0" fillId="3" borderId="1" xfId="0" applyFill="1" applyBorder="1" applyProtection="1">
      <protection locked="0"/>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19" fillId="5" borderId="0" xfId="0" applyFont="1" applyFill="1" applyAlignment="1">
      <alignment horizontal="center" vertical="center"/>
    </xf>
    <xf numFmtId="0" fontId="35" fillId="3" borderId="0" xfId="0" applyFont="1" applyFill="1"/>
    <xf numFmtId="0" fontId="25" fillId="3" borderId="0" xfId="0" applyFont="1" applyFill="1" applyAlignment="1">
      <alignment horizontal="center"/>
    </xf>
    <xf numFmtId="0" fontId="25" fillId="3" borderId="0" xfId="0" applyFont="1" applyFill="1" applyAlignment="1">
      <alignment horizontal="left"/>
    </xf>
    <xf numFmtId="0" fontId="2" fillId="3" borderId="0" xfId="0" applyFont="1" applyFill="1" applyAlignment="1">
      <alignment horizontal="center"/>
    </xf>
    <xf numFmtId="0" fontId="39" fillId="3" borderId="0" xfId="0" applyFont="1" applyFill="1" applyAlignment="1">
      <alignment horizontal="center" vertical="center"/>
    </xf>
    <xf numFmtId="0" fontId="39" fillId="0" borderId="0" xfId="0" applyFont="1" applyAlignment="1">
      <alignment horizontal="center" vertical="center"/>
    </xf>
    <xf numFmtId="0" fontId="40" fillId="3" borderId="0" xfId="0" quotePrefix="1" applyFont="1" applyFill="1" applyAlignment="1">
      <alignment horizontal="center" vertical="center" wrapText="1"/>
    </xf>
    <xf numFmtId="173" fontId="0" fillId="12" borderId="0" xfId="45" applyNumberFormat="1" applyFont="1" applyFill="1" applyBorder="1" applyAlignment="1">
      <alignment horizontal="right" vertical="center"/>
    </xf>
    <xf numFmtId="2" fontId="0" fillId="12" borderId="0" xfId="0" applyNumberFormat="1" applyFill="1" applyAlignment="1">
      <alignment vertical="center"/>
    </xf>
    <xf numFmtId="164" fontId="0" fillId="0" borderId="0" xfId="45" applyFont="1" applyAlignment="1">
      <alignment vertical="center"/>
    </xf>
    <xf numFmtId="176" fontId="1" fillId="0" borderId="0" xfId="45" applyNumberFormat="1" applyFont="1" applyAlignment="1">
      <alignment vertical="center"/>
    </xf>
    <xf numFmtId="0" fontId="23" fillId="3" borderId="0" xfId="0" applyFont="1" applyFill="1" applyAlignment="1">
      <alignment vertical="center" wrapText="1"/>
    </xf>
    <xf numFmtId="0" fontId="43" fillId="15" borderId="0" xfId="47" applyFont="1" applyFill="1"/>
    <xf numFmtId="0" fontId="42" fillId="0" borderId="0" xfId="47"/>
    <xf numFmtId="0" fontId="44" fillId="16" borderId="0" xfId="47" applyFont="1" applyFill="1"/>
    <xf numFmtId="0" fontId="44" fillId="16" borderId="0" xfId="47" applyFont="1" applyFill="1" applyAlignment="1">
      <alignment vertical="center"/>
    </xf>
    <xf numFmtId="0" fontId="26" fillId="0" borderId="1" xfId="0" applyFont="1" applyBorder="1" applyAlignment="1" applyProtection="1">
      <alignment horizontal="center" vertical="top" wrapText="1"/>
      <protection locked="0"/>
    </xf>
    <xf numFmtId="0" fontId="26" fillId="0" borderId="1" xfId="0" applyFont="1" applyBorder="1" applyAlignment="1" applyProtection="1">
      <alignment horizontal="left" wrapText="1"/>
      <protection locked="0"/>
    </xf>
    <xf numFmtId="0" fontId="51" fillId="16" borderId="49" xfId="47" applyFont="1" applyFill="1" applyBorder="1"/>
    <xf numFmtId="0" fontId="51" fillId="16" borderId="0" xfId="47" applyFont="1" applyFill="1"/>
    <xf numFmtId="0" fontId="43" fillId="15" borderId="49" xfId="47" applyFont="1" applyFill="1" applyBorder="1" applyAlignment="1">
      <alignment vertical="center"/>
    </xf>
    <xf numFmtId="0" fontId="52" fillId="15" borderId="0" xfId="47" applyFont="1" applyFill="1" applyAlignment="1">
      <alignment horizontal="left" vertical="center" wrapText="1"/>
    </xf>
    <xf numFmtId="0" fontId="12" fillId="15" borderId="0" xfId="47" applyFont="1" applyFill="1"/>
    <xf numFmtId="0" fontId="53" fillId="15" borderId="49" xfId="47" applyFont="1" applyFill="1" applyBorder="1" applyAlignment="1">
      <alignment vertical="center"/>
    </xf>
    <xf numFmtId="0" fontId="54" fillId="15" borderId="0" xfId="47" applyFont="1" applyFill="1"/>
    <xf numFmtId="0" fontId="53" fillId="15" borderId="0" xfId="47" applyFont="1" applyFill="1"/>
    <xf numFmtId="0" fontId="12" fillId="15" borderId="49" xfId="47" applyFont="1" applyFill="1" applyBorder="1" applyAlignment="1">
      <alignment vertical="center"/>
    </xf>
    <xf numFmtId="0" fontId="12" fillId="15" borderId="0" xfId="47" applyFont="1" applyFill="1" applyAlignment="1">
      <alignment horizontal="center" vertical="center" wrapText="1"/>
    </xf>
    <xf numFmtId="0" fontId="58" fillId="19" borderId="47" xfId="47" applyFont="1" applyFill="1" applyBorder="1" applyAlignment="1">
      <alignment vertical="center"/>
    </xf>
    <xf numFmtId="0" fontId="59" fillId="19" borderId="50" xfId="47" applyFont="1" applyFill="1" applyBorder="1" applyAlignment="1">
      <alignment vertical="center"/>
    </xf>
    <xf numFmtId="0" fontId="59" fillId="18" borderId="50" xfId="47" applyFont="1" applyFill="1" applyBorder="1" applyAlignment="1">
      <alignment vertical="center"/>
    </xf>
    <xf numFmtId="0" fontId="45" fillId="18" borderId="50" xfId="47" applyFont="1" applyFill="1" applyBorder="1" applyAlignment="1">
      <alignment horizontal="center" vertical="center"/>
    </xf>
    <xf numFmtId="0" fontId="45" fillId="15" borderId="49" xfId="47" applyFont="1" applyFill="1" applyBorder="1" applyAlignment="1">
      <alignment vertical="center" wrapText="1"/>
    </xf>
    <xf numFmtId="0" fontId="45" fillId="15" borderId="0" xfId="47" applyFont="1" applyFill="1" applyAlignment="1">
      <alignment vertical="center" wrapText="1"/>
    </xf>
    <xf numFmtId="0" fontId="45" fillId="18" borderId="43" xfId="47" applyFont="1" applyFill="1" applyBorder="1" applyAlignment="1">
      <alignment horizontal="center" vertical="center" wrapText="1"/>
    </xf>
    <xf numFmtId="0" fontId="45" fillId="18" borderId="44" xfId="47" applyFont="1" applyFill="1" applyBorder="1" applyAlignment="1">
      <alignment horizontal="center" vertical="center" wrapText="1"/>
    </xf>
    <xf numFmtId="0" fontId="12" fillId="15" borderId="49" xfId="47" applyFont="1" applyFill="1" applyBorder="1"/>
    <xf numFmtId="167" fontId="60" fillId="0" borderId="48" xfId="47" applyNumberFormat="1" applyFont="1" applyBorder="1" applyAlignment="1">
      <alignment horizontal="center" vertical="center"/>
    </xf>
    <xf numFmtId="11" fontId="60" fillId="0" borderId="43" xfId="47" applyNumberFormat="1" applyFont="1" applyBorder="1" applyAlignment="1">
      <alignment horizontal="center" vertical="center"/>
    </xf>
    <xf numFmtId="166" fontId="60" fillId="0" borderId="48" xfId="47" applyNumberFormat="1" applyFont="1" applyBorder="1" applyAlignment="1">
      <alignment horizontal="center" vertical="center"/>
    </xf>
    <xf numFmtId="0" fontId="42" fillId="3" borderId="0" xfId="47" applyFill="1"/>
    <xf numFmtId="0" fontId="45" fillId="18" borderId="51" xfId="47" applyFont="1" applyFill="1" applyBorder="1" applyAlignment="1">
      <alignment horizontal="center" vertical="center"/>
    </xf>
    <xf numFmtId="9" fontId="0" fillId="0" borderId="0" xfId="46" applyFont="1"/>
    <xf numFmtId="9" fontId="5" fillId="12" borderId="1" xfId="46" applyFont="1" applyFill="1" applyBorder="1" applyAlignment="1">
      <alignment vertical="center"/>
    </xf>
    <xf numFmtId="173" fontId="15" fillId="12" borderId="1" xfId="45" applyNumberFormat="1" applyFont="1" applyFill="1" applyBorder="1" applyAlignment="1">
      <alignment vertical="center"/>
    </xf>
    <xf numFmtId="0" fontId="0" fillId="0" borderId="1" xfId="0" applyBorder="1"/>
    <xf numFmtId="173" fontId="15" fillId="10" borderId="1" xfId="45" applyNumberFormat="1" applyFont="1" applyFill="1" applyBorder="1" applyAlignment="1">
      <alignment vertical="center"/>
    </xf>
    <xf numFmtId="164" fontId="15" fillId="12" borderId="1" xfId="45" applyFont="1" applyFill="1" applyBorder="1" applyAlignment="1">
      <alignment vertical="center"/>
    </xf>
    <xf numFmtId="164" fontId="0" fillId="0" borderId="0" xfId="0" applyNumberFormat="1" applyAlignment="1">
      <alignment vertical="center"/>
    </xf>
    <xf numFmtId="0" fontId="1" fillId="0" borderId="1" xfId="0" applyFont="1" applyBorder="1" applyAlignment="1">
      <alignment vertical="center"/>
    </xf>
    <xf numFmtId="0" fontId="20" fillId="8" borderId="1" xfId="0" applyFont="1" applyFill="1" applyBorder="1"/>
    <xf numFmtId="0" fontId="2" fillId="8" borderId="1" xfId="0" applyFont="1" applyFill="1" applyBorder="1"/>
    <xf numFmtId="177" fontId="5" fillId="12" borderId="1" xfId="46" applyNumberFormat="1" applyFont="1" applyFill="1" applyBorder="1" applyAlignment="1">
      <alignment vertical="center"/>
    </xf>
    <xf numFmtId="0" fontId="15" fillId="0" borderId="0" xfId="0" applyFont="1" applyAlignment="1">
      <alignment vertical="center"/>
    </xf>
    <xf numFmtId="177" fontId="0" fillId="12" borderId="1" xfId="0" applyNumberFormat="1" applyFill="1" applyBorder="1" applyAlignment="1">
      <alignment horizontal="right" vertical="center"/>
    </xf>
    <xf numFmtId="9" fontId="0" fillId="12" borderId="1" xfId="0" applyNumberFormat="1" applyFill="1" applyBorder="1" applyAlignment="1">
      <alignment horizontal="right" vertical="center"/>
    </xf>
    <xf numFmtId="0" fontId="0" fillId="0" borderId="1" xfId="0" applyBorder="1" applyAlignment="1">
      <alignment vertical="center" wrapText="1"/>
    </xf>
    <xf numFmtId="0" fontId="0" fillId="0" borderId="0" xfId="0" applyAlignment="1">
      <alignment vertical="center" wrapText="1"/>
    </xf>
    <xf numFmtId="173" fontId="0" fillId="12" borderId="1" xfId="45" applyNumberFormat="1" applyFont="1" applyFill="1" applyBorder="1" applyAlignment="1">
      <alignment vertical="center" wrapText="1"/>
    </xf>
    <xf numFmtId="0" fontId="0" fillId="0" borderId="2" xfId="0" applyBorder="1" applyAlignment="1">
      <alignment vertical="center" wrapText="1"/>
    </xf>
    <xf numFmtId="2" fontId="0" fillId="0" borderId="29" xfId="0" applyNumberFormat="1" applyBorder="1" applyAlignment="1">
      <alignment vertical="center" wrapText="1"/>
    </xf>
    <xf numFmtId="0" fontId="0" fillId="0" borderId="30" xfId="0" applyBorder="1" applyAlignment="1">
      <alignment wrapText="1"/>
    </xf>
    <xf numFmtId="2" fontId="0" fillId="0" borderId="13" xfId="0" applyNumberFormat="1" applyBorder="1" applyAlignment="1">
      <alignment vertical="center" wrapText="1"/>
    </xf>
    <xf numFmtId="0" fontId="0" fillId="0" borderId="14" xfId="0" applyBorder="1" applyAlignment="1">
      <alignment wrapText="1"/>
    </xf>
    <xf numFmtId="9" fontId="4" fillId="0" borderId="1" xfId="46" applyFont="1" applyBorder="1" applyAlignment="1">
      <alignment horizontal="left" vertical="center"/>
    </xf>
    <xf numFmtId="176" fontId="0" fillId="12" borderId="1" xfId="0" applyNumberFormat="1" applyFill="1" applyBorder="1" applyAlignment="1">
      <alignment vertical="center"/>
    </xf>
    <xf numFmtId="164" fontId="4" fillId="12" borderId="1" xfId="45" applyFont="1" applyFill="1" applyBorder="1" applyAlignment="1">
      <alignment vertical="center"/>
    </xf>
    <xf numFmtId="172" fontId="4" fillId="12" borderId="1" xfId="0" applyNumberFormat="1" applyFont="1" applyFill="1" applyBorder="1" applyAlignment="1">
      <alignment horizontal="right" vertical="center"/>
    </xf>
    <xf numFmtId="2" fontId="4" fillId="12" borderId="1" xfId="45" applyNumberFormat="1" applyFont="1" applyFill="1" applyBorder="1" applyAlignment="1">
      <alignment vertical="center"/>
    </xf>
    <xf numFmtId="9" fontId="0" fillId="12" borderId="1" xfId="46" applyFont="1" applyFill="1" applyBorder="1" applyAlignment="1">
      <alignment horizontal="right" vertical="center"/>
    </xf>
    <xf numFmtId="164" fontId="0" fillId="0" borderId="1" xfId="45" applyFont="1" applyFill="1" applyBorder="1" applyAlignment="1">
      <alignment horizontal="right" vertical="center"/>
    </xf>
    <xf numFmtId="173" fontId="0" fillId="0" borderId="1" xfId="45" applyNumberFormat="1" applyFont="1" applyFill="1" applyBorder="1" applyAlignment="1">
      <alignment horizontal="right" vertical="center"/>
    </xf>
    <xf numFmtId="173" fontId="0" fillId="11" borderId="1" xfId="45" applyNumberFormat="1" applyFont="1" applyFill="1" applyBorder="1" applyAlignment="1">
      <alignment vertical="center"/>
    </xf>
    <xf numFmtId="9" fontId="0" fillId="0" borderId="0" xfId="46" applyFont="1" applyAlignment="1">
      <alignment vertical="center"/>
    </xf>
    <xf numFmtId="177" fontId="0" fillId="0" borderId="0" xfId="46" applyNumberFormat="1" applyFont="1" applyAlignment="1">
      <alignment vertical="center"/>
    </xf>
    <xf numFmtId="9" fontId="3" fillId="12" borderId="0" xfId="46" applyFont="1" applyFill="1" applyAlignment="1">
      <alignment vertical="center"/>
    </xf>
    <xf numFmtId="9" fontId="0" fillId="0" borderId="1" xfId="46" applyFont="1" applyBorder="1" applyAlignment="1">
      <alignment vertical="center"/>
    </xf>
    <xf numFmtId="1" fontId="0" fillId="0" borderId="0" xfId="0" applyNumberFormat="1" applyAlignment="1">
      <alignment vertical="center" wrapText="1"/>
    </xf>
    <xf numFmtId="1" fontId="0" fillId="0" borderId="0" xfId="0" applyNumberFormat="1" applyAlignment="1">
      <alignment horizontal="center" vertical="center" wrapText="1"/>
    </xf>
    <xf numFmtId="0" fontId="0" fillId="0" borderId="0" xfId="0" applyAlignment="1">
      <alignment horizontal="center" vertical="center"/>
    </xf>
    <xf numFmtId="1" fontId="0" fillId="0" borderId="0" xfId="0" applyNumberFormat="1"/>
    <xf numFmtId="0" fontId="0" fillId="0" borderId="0" xfId="0" applyAlignment="1">
      <alignment horizontal="center"/>
    </xf>
    <xf numFmtId="0" fontId="0" fillId="11" borderId="0" xfId="0" applyFill="1"/>
    <xf numFmtId="0" fontId="0" fillId="11" borderId="0" xfId="0" applyFill="1" applyAlignment="1">
      <alignment horizontal="center"/>
    </xf>
    <xf numFmtId="171" fontId="0" fillId="0" borderId="0" xfId="0" applyNumberFormat="1" applyAlignment="1">
      <alignment horizontal="center"/>
    </xf>
    <xf numFmtId="1" fontId="0" fillId="0" borderId="0" xfId="0" applyNumberFormat="1" applyAlignment="1">
      <alignment horizontal="center"/>
    </xf>
    <xf numFmtId="0" fontId="0" fillId="0" borderId="0" xfId="0" applyAlignment="1">
      <alignment horizontal="left"/>
    </xf>
    <xf numFmtId="9" fontId="5" fillId="12" borderId="0" xfId="46" applyFont="1" applyFill="1" applyAlignment="1">
      <alignment vertical="center"/>
    </xf>
    <xf numFmtId="0" fontId="66" fillId="0" borderId="0" xfId="0" applyFont="1"/>
    <xf numFmtId="176" fontId="4" fillId="3" borderId="1" xfId="45" applyNumberFormat="1" applyFont="1" applyFill="1" applyBorder="1" applyAlignment="1">
      <alignment vertical="center"/>
    </xf>
    <xf numFmtId="174" fontId="15" fillId="12" borderId="1" xfId="45" applyNumberFormat="1" applyFont="1" applyFill="1" applyBorder="1" applyAlignment="1">
      <alignment vertical="center"/>
    </xf>
    <xf numFmtId="178" fontId="4" fillId="0" borderId="1" xfId="45" applyNumberFormat="1" applyFont="1" applyBorder="1" applyAlignment="1">
      <alignment vertical="center"/>
    </xf>
    <xf numFmtId="0" fontId="15" fillId="0" borderId="1" xfId="0" applyFont="1" applyBorder="1" applyAlignment="1">
      <alignment vertical="center" wrapText="1"/>
    </xf>
    <xf numFmtId="173" fontId="15" fillId="11" borderId="1" xfId="45" applyNumberFormat="1" applyFont="1" applyFill="1" applyBorder="1" applyAlignment="1">
      <alignment horizontal="right" vertical="center"/>
    </xf>
    <xf numFmtId="0" fontId="4" fillId="0" borderId="36" xfId="0" applyFont="1" applyBorder="1" applyAlignment="1">
      <alignment vertical="center"/>
    </xf>
    <xf numFmtId="173" fontId="0" fillId="0" borderId="1" xfId="0" applyNumberFormat="1" applyBorder="1" applyAlignment="1">
      <alignment vertical="center"/>
    </xf>
    <xf numFmtId="0" fontId="0" fillId="11" borderId="1" xfId="0" applyFill="1" applyBorder="1" applyAlignment="1">
      <alignment vertical="center"/>
    </xf>
    <xf numFmtId="176" fontId="0" fillId="11" borderId="1" xfId="45" applyNumberFormat="1" applyFont="1" applyFill="1" applyBorder="1" applyAlignment="1">
      <alignment vertical="center"/>
    </xf>
    <xf numFmtId="176" fontId="4" fillId="12" borderId="1" xfId="0" applyNumberFormat="1" applyFont="1" applyFill="1" applyBorder="1" applyAlignment="1">
      <alignment vertical="center"/>
    </xf>
    <xf numFmtId="173" fontId="5" fillId="11" borderId="1" xfId="45" applyNumberFormat="1" applyFont="1" applyFill="1" applyBorder="1" applyAlignment="1">
      <alignment vertical="center"/>
    </xf>
    <xf numFmtId="0" fontId="29" fillId="3" borderId="0" xfId="0" applyFont="1" applyFill="1"/>
    <xf numFmtId="0" fontId="0" fillId="3" borderId="8" xfId="0" applyFill="1" applyBorder="1"/>
    <xf numFmtId="0" fontId="37" fillId="0" borderId="0" xfId="0" applyFont="1" applyAlignment="1">
      <alignment horizontal="center" vertical="center"/>
    </xf>
    <xf numFmtId="176" fontId="0" fillId="12" borderId="0" xfId="0" applyNumberFormat="1" applyFill="1"/>
    <xf numFmtId="0" fontId="20" fillId="3" borderId="0" xfId="0" applyFont="1" applyFill="1"/>
    <xf numFmtId="0" fontId="68" fillId="3" borderId="0" xfId="0" applyFont="1" applyFill="1"/>
    <xf numFmtId="0" fontId="4" fillId="3" borderId="3" xfId="0" applyFont="1" applyFill="1" applyBorder="1" applyProtection="1">
      <protection locked="0"/>
    </xf>
    <xf numFmtId="0" fontId="69" fillId="3" borderId="8" xfId="0" applyFont="1" applyFill="1" applyBorder="1" applyProtection="1">
      <protection locked="0"/>
    </xf>
    <xf numFmtId="0" fontId="4" fillId="3" borderId="0" xfId="0" applyFont="1" applyFill="1" applyProtection="1">
      <protection locked="0"/>
    </xf>
    <xf numFmtId="0" fontId="14" fillId="3" borderId="0" xfId="0" applyFont="1" applyFill="1" applyAlignment="1">
      <alignment vertical="center" wrapText="1"/>
    </xf>
    <xf numFmtId="0" fontId="30" fillId="3" borderId="0" xfId="0" quotePrefix="1" applyFont="1" applyFill="1" applyAlignment="1">
      <alignment horizontal="center" vertical="center" wrapText="1"/>
    </xf>
    <xf numFmtId="0" fontId="4" fillId="3" borderId="3"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 fillId="0" borderId="0" xfId="0" applyFont="1" applyProtection="1">
      <protection locked="0"/>
    </xf>
    <xf numFmtId="0" fontId="8" fillId="0" borderId="0" xfId="0" applyFont="1" applyProtection="1">
      <protection locked="0"/>
    </xf>
    <xf numFmtId="167" fontId="27" fillId="0" borderId="0" xfId="44" applyNumberFormat="1" applyFont="1" applyAlignment="1" applyProtection="1">
      <alignment vertical="center"/>
      <protection locked="0"/>
    </xf>
    <xf numFmtId="166" fontId="27" fillId="0" borderId="0" xfId="44" applyFont="1" applyAlignment="1" applyProtection="1">
      <alignment horizontal="left" vertical="center"/>
      <protection locked="0"/>
    </xf>
    <xf numFmtId="0" fontId="8" fillId="0" borderId="0" xfId="0" applyFont="1" applyAlignment="1" applyProtection="1">
      <alignment vertical="top" wrapText="1"/>
      <protection locked="0"/>
    </xf>
    <xf numFmtId="0" fontId="4" fillId="0" borderId="0" xfId="0" applyFont="1" applyAlignment="1" applyProtection="1">
      <alignment horizontal="center"/>
      <protection locked="0"/>
    </xf>
    <xf numFmtId="176" fontId="4" fillId="0" borderId="0" xfId="45" applyNumberFormat="1" applyFont="1" applyFill="1"/>
    <xf numFmtId="9" fontId="4" fillId="0" borderId="1" xfId="46" applyFont="1" applyFill="1" applyBorder="1" applyAlignment="1">
      <alignment horizontal="right" vertical="center"/>
    </xf>
    <xf numFmtId="0" fontId="45" fillId="18" borderId="43" xfId="0" applyFont="1" applyFill="1" applyBorder="1" applyAlignment="1">
      <alignment horizontal="center" vertical="center" wrapText="1"/>
    </xf>
    <xf numFmtId="0" fontId="74" fillId="15" borderId="0" xfId="0" applyFont="1" applyFill="1" applyAlignment="1">
      <alignment horizontal="center"/>
    </xf>
    <xf numFmtId="0" fontId="74" fillId="0" borderId="0" xfId="0" applyFont="1"/>
    <xf numFmtId="0" fontId="0" fillId="3" borderId="0" xfId="0" applyFill="1" applyAlignment="1" applyProtection="1">
      <alignment horizontal="center" vertical="center" wrapText="1"/>
      <protection locked="0"/>
    </xf>
    <xf numFmtId="14" fontId="15" fillId="0" borderId="15" xfId="0" applyNumberFormat="1" applyFont="1" applyBorder="1" applyAlignment="1" applyProtection="1">
      <alignment vertical="center" wrapText="1"/>
      <protection locked="0"/>
    </xf>
    <xf numFmtId="173" fontId="15" fillId="0" borderId="35" xfId="45" applyNumberFormat="1" applyFont="1" applyBorder="1" applyAlignment="1" applyProtection="1">
      <alignment vertical="center" wrapText="1"/>
      <protection locked="0"/>
    </xf>
    <xf numFmtId="173" fontId="15" fillId="0" borderId="15" xfId="45" applyNumberFormat="1" applyFont="1" applyBorder="1" applyAlignment="1" applyProtection="1">
      <alignment vertical="center" wrapText="1"/>
      <protection locked="0"/>
    </xf>
    <xf numFmtId="0" fontId="15" fillId="0" borderId="15"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173" fontId="15" fillId="0" borderId="28" xfId="45" applyNumberFormat="1" applyFont="1" applyBorder="1" applyAlignment="1" applyProtection="1">
      <alignment vertical="center" wrapText="1"/>
      <protection locked="0"/>
    </xf>
    <xf numFmtId="0" fontId="77" fillId="3" borderId="0" xfId="0" applyFont="1" applyFill="1" applyAlignment="1">
      <alignment vertical="center"/>
    </xf>
    <xf numFmtId="0" fontId="16" fillId="3" borderId="0" xfId="0" applyFont="1" applyFill="1" applyAlignment="1">
      <alignment horizontal="center"/>
    </xf>
    <xf numFmtId="0" fontId="78" fillId="3" borderId="0" xfId="0" applyFont="1" applyFill="1"/>
    <xf numFmtId="0" fontId="60" fillId="15" borderId="43" xfId="47" applyFont="1" applyFill="1" applyBorder="1" applyAlignment="1">
      <alignment vertical="top" wrapText="1"/>
    </xf>
    <xf numFmtId="0" fontId="60" fillId="15" borderId="43" xfId="47" applyFont="1" applyFill="1" applyBorder="1" applyAlignment="1">
      <alignment vertical="center"/>
    </xf>
    <xf numFmtId="0" fontId="60" fillId="0" borderId="43" xfId="47" applyFont="1" applyBorder="1" applyAlignment="1">
      <alignment vertical="center"/>
    </xf>
    <xf numFmtId="0" fontId="12" fillId="15" borderId="0" xfId="0" applyFont="1" applyFill="1"/>
    <xf numFmtId="0" fontId="15" fillId="0" borderId="1" xfId="0" applyFont="1" applyBorder="1" applyAlignment="1">
      <alignment horizontal="right" vertical="center"/>
    </xf>
    <xf numFmtId="0" fontId="15" fillId="0" borderId="1" xfId="0" applyFont="1" applyBorder="1" applyAlignment="1">
      <alignment horizontal="left" vertical="center"/>
    </xf>
    <xf numFmtId="0" fontId="15" fillId="0" borderId="0" xfId="0" applyFont="1"/>
    <xf numFmtId="0" fontId="15" fillId="0" borderId="0" xfId="0" applyFont="1" applyAlignment="1">
      <alignment horizontal="center"/>
    </xf>
    <xf numFmtId="0" fontId="12" fillId="15" borderId="43" xfId="47" applyFont="1" applyFill="1" applyBorder="1" applyAlignment="1" applyProtection="1">
      <alignment vertical="center"/>
      <protection locked="0"/>
    </xf>
    <xf numFmtId="164" fontId="0" fillId="0" borderId="1" xfId="45" applyFont="1" applyBorder="1" applyAlignment="1">
      <alignment vertical="center"/>
    </xf>
    <xf numFmtId="2" fontId="0" fillId="0" borderId="1" xfId="0" applyNumberFormat="1" applyBorder="1" applyAlignment="1">
      <alignment vertical="center"/>
    </xf>
    <xf numFmtId="0" fontId="12" fillId="0" borderId="0" xfId="0" applyFont="1"/>
    <xf numFmtId="0" fontId="75" fillId="0" borderId="0" xfId="0" applyFont="1" applyAlignment="1">
      <alignment horizontal="center" vertical="center" wrapText="1"/>
    </xf>
    <xf numFmtId="0" fontId="31" fillId="0" borderId="0" xfId="0" applyFont="1"/>
    <xf numFmtId="167" fontId="64" fillId="0" borderId="0" xfId="0" applyNumberFormat="1" applyFont="1" applyAlignment="1">
      <alignment vertical="center"/>
    </xf>
    <xf numFmtId="166" fontId="64" fillId="0" borderId="0" xfId="0" applyNumberFormat="1" applyFont="1" applyAlignment="1">
      <alignment horizontal="left" vertical="center"/>
    </xf>
    <xf numFmtId="0" fontId="12" fillId="15" borderId="0" xfId="0" applyFont="1" applyFill="1" applyAlignment="1">
      <alignment horizontal="center"/>
    </xf>
    <xf numFmtId="0" fontId="80" fillId="0" borderId="43" xfId="0" applyFont="1" applyBorder="1" applyAlignment="1">
      <alignment horizontal="center" vertical="center" wrapText="1"/>
    </xf>
    <xf numFmtId="0" fontId="47" fillId="0" borderId="43" xfId="0" applyFont="1" applyBorder="1"/>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1" xfId="0" applyFont="1" applyBorder="1" applyAlignment="1">
      <alignment horizontal="center" vertical="top" wrapText="1"/>
    </xf>
    <xf numFmtId="0" fontId="85" fillId="3" borderId="0" xfId="0" applyFont="1" applyFill="1"/>
    <xf numFmtId="0" fontId="86" fillId="5" borderId="0" xfId="0" applyFont="1" applyFill="1" applyAlignment="1">
      <alignment vertical="center"/>
    </xf>
    <xf numFmtId="0" fontId="87" fillId="3" borderId="0" xfId="0" applyFont="1" applyFill="1" applyAlignment="1">
      <alignment vertical="center"/>
    </xf>
    <xf numFmtId="0" fontId="88" fillId="3" borderId="0" xfId="0" quotePrefix="1" applyFont="1" applyFill="1" applyAlignment="1">
      <alignment horizontal="center" vertical="center" wrapText="1"/>
    </xf>
    <xf numFmtId="0" fontId="89" fillId="3" borderId="3" xfId="0" applyFont="1" applyFill="1" applyBorder="1" applyAlignment="1" applyProtection="1">
      <alignment horizontal="center"/>
      <protection locked="0"/>
    </xf>
    <xf numFmtId="0" fontId="89" fillId="3" borderId="8" xfId="0" applyFont="1" applyFill="1" applyBorder="1" applyProtection="1">
      <protection locked="0"/>
    </xf>
    <xf numFmtId="0" fontId="89" fillId="3" borderId="0" xfId="0" applyFont="1" applyFill="1" applyProtection="1">
      <protection locked="0"/>
    </xf>
    <xf numFmtId="0" fontId="90" fillId="0" borderId="1" xfId="0" applyFont="1" applyBorder="1" applyAlignment="1" applyProtection="1">
      <alignment horizontal="center" wrapText="1"/>
      <protection locked="0"/>
    </xf>
    <xf numFmtId="0" fontId="91" fillId="0" borderId="1" xfId="0" applyFont="1" applyBorder="1" applyProtection="1">
      <protection locked="0"/>
    </xf>
    <xf numFmtId="0" fontId="91" fillId="0" borderId="1" xfId="0" applyFont="1" applyBorder="1" applyAlignment="1" applyProtection="1">
      <alignment horizontal="left" wrapText="1"/>
      <protection locked="0"/>
    </xf>
    <xf numFmtId="0" fontId="91" fillId="0" borderId="1" xfId="0" applyFont="1" applyBorder="1" applyAlignment="1" applyProtection="1">
      <alignment wrapText="1"/>
      <protection locked="0"/>
    </xf>
    <xf numFmtId="0" fontId="89" fillId="0" borderId="0" xfId="0" applyFont="1" applyProtection="1">
      <protection locked="0"/>
    </xf>
    <xf numFmtId="0" fontId="89" fillId="0" borderId="0" xfId="0" applyFont="1" applyAlignment="1" applyProtection="1">
      <alignment horizontal="center"/>
      <protection locked="0"/>
    </xf>
    <xf numFmtId="0" fontId="44" fillId="16" borderId="0" xfId="0" applyFont="1" applyFill="1" applyAlignment="1">
      <alignment vertical="center"/>
    </xf>
    <xf numFmtId="0" fontId="54" fillId="15" borderId="0" xfId="0" applyFont="1" applyFill="1" applyAlignment="1">
      <alignment vertical="center"/>
    </xf>
    <xf numFmtId="0" fontId="43" fillId="15" borderId="0" xfId="0" applyFont="1" applyFill="1" applyAlignment="1">
      <alignment wrapText="1"/>
    </xf>
    <xf numFmtId="0" fontId="80" fillId="0" borderId="44" xfId="0" applyFont="1" applyBorder="1" applyAlignment="1">
      <alignment horizontal="center" vertical="center" wrapText="1"/>
    </xf>
    <xf numFmtId="0" fontId="47" fillId="0" borderId="47" xfId="0" applyFont="1" applyBorder="1" applyAlignment="1">
      <alignment horizontal="left" vertical="top" wrapText="1"/>
    </xf>
    <xf numFmtId="0" fontId="93" fillId="15" borderId="1" xfId="0" applyFont="1" applyFill="1" applyBorder="1"/>
    <xf numFmtId="0" fontId="12" fillId="0" borderId="0" xfId="0" applyFont="1" applyAlignment="1">
      <alignment horizontal="center"/>
    </xf>
    <xf numFmtId="0" fontId="83" fillId="17" borderId="58" xfId="0" applyFont="1" applyFill="1" applyBorder="1" applyAlignment="1">
      <alignment vertical="center" wrapText="1"/>
    </xf>
    <xf numFmtId="0" fontId="95" fillId="15" borderId="0" xfId="0" applyFont="1" applyFill="1" applyAlignment="1">
      <alignment horizontal="center"/>
    </xf>
    <xf numFmtId="0" fontId="97" fillId="5" borderId="0" xfId="0" applyFont="1" applyFill="1"/>
    <xf numFmtId="0" fontId="88" fillId="0" borderId="0" xfId="0" applyFont="1" applyAlignment="1">
      <alignment horizontal="center" vertical="center"/>
    </xf>
    <xf numFmtId="0" fontId="89" fillId="3" borderId="3" xfId="0" applyFont="1" applyFill="1" applyBorder="1" applyProtection="1">
      <protection locked="0"/>
    </xf>
    <xf numFmtId="0" fontId="27" fillId="0" borderId="1" xfId="0" applyFont="1" applyBorder="1" applyAlignment="1" applyProtection="1">
      <alignment horizontal="center" vertical="center" wrapText="1"/>
      <protection locked="0"/>
    </xf>
    <xf numFmtId="0" fontId="70" fillId="3" borderId="1" xfId="0" applyFont="1" applyFill="1" applyBorder="1" applyProtection="1">
      <protection locked="0"/>
    </xf>
    <xf numFmtId="0" fontId="26" fillId="0" borderId="1" xfId="0" applyFont="1" applyBorder="1" applyAlignment="1" applyProtection="1">
      <alignment wrapText="1"/>
      <protection locked="0"/>
    </xf>
    <xf numFmtId="0" fontId="94" fillId="3" borderId="1" xfId="0" applyFont="1" applyFill="1" applyBorder="1" applyAlignment="1">
      <alignment vertical="center"/>
    </xf>
    <xf numFmtId="0" fontId="26" fillId="3" borderId="1" xfId="0" applyFont="1" applyFill="1" applyBorder="1" applyAlignment="1" applyProtection="1">
      <alignment wrapText="1"/>
      <protection locked="0"/>
    </xf>
    <xf numFmtId="0" fontId="50" fillId="0" borderId="47" xfId="0" applyFont="1" applyBorder="1" applyAlignment="1">
      <alignment vertical="top"/>
    </xf>
    <xf numFmtId="0" fontId="50" fillId="15" borderId="1" xfId="0" applyFont="1" applyFill="1" applyBorder="1" applyAlignment="1">
      <alignment vertical="top"/>
    </xf>
    <xf numFmtId="0" fontId="50" fillId="3" borderId="1" xfId="0" applyFont="1" applyFill="1" applyBorder="1" applyAlignment="1">
      <alignment vertical="top"/>
    </xf>
    <xf numFmtId="173" fontId="89" fillId="0" borderId="35" xfId="45" applyNumberFormat="1" applyFont="1" applyBorder="1" applyAlignment="1" applyProtection="1">
      <alignment vertical="center" wrapText="1"/>
      <protection locked="0"/>
    </xf>
    <xf numFmtId="173" fontId="89" fillId="0" borderId="15" xfId="45" applyNumberFormat="1" applyFont="1" applyBorder="1" applyAlignment="1" applyProtection="1">
      <alignment vertical="center" wrapText="1"/>
      <protection locked="0"/>
    </xf>
    <xf numFmtId="173" fontId="89" fillId="0" borderId="28" xfId="45" applyNumberFormat="1" applyFont="1" applyBorder="1" applyAlignment="1" applyProtection="1">
      <alignment vertical="center" wrapText="1"/>
      <protection locked="0"/>
    </xf>
    <xf numFmtId="164" fontId="85" fillId="3" borderId="0" xfId="0" applyNumberFormat="1" applyFont="1" applyFill="1"/>
    <xf numFmtId="0" fontId="86" fillId="5" borderId="0" xfId="0" applyFont="1" applyFill="1" applyAlignment="1">
      <alignment vertical="center" wrapText="1"/>
    </xf>
    <xf numFmtId="164" fontId="97" fillId="5" borderId="0" xfId="0" applyNumberFormat="1" applyFont="1" applyFill="1"/>
    <xf numFmtId="0" fontId="98" fillId="3" borderId="0" xfId="0" applyFont="1" applyFill="1"/>
    <xf numFmtId="0" fontId="98" fillId="0" borderId="0" xfId="0" applyFont="1" applyAlignment="1">
      <alignment wrapText="1"/>
    </xf>
    <xf numFmtId="0" fontId="98" fillId="0" borderId="0" xfId="0" applyFont="1"/>
    <xf numFmtId="164" fontId="98" fillId="3" borderId="0" xfId="0" applyNumberFormat="1" applyFont="1" applyFill="1"/>
    <xf numFmtId="0" fontId="88" fillId="3" borderId="0" xfId="0" applyFont="1" applyFill="1" applyAlignment="1">
      <alignment horizontal="center" vertical="center"/>
    </xf>
    <xf numFmtId="0" fontId="88" fillId="0" borderId="0" xfId="0" applyFont="1" applyAlignment="1">
      <alignment horizontal="center" vertical="center" wrapText="1"/>
    </xf>
    <xf numFmtId="164" fontId="88" fillId="3" borderId="0" xfId="0" applyNumberFormat="1" applyFont="1" applyFill="1" applyAlignment="1">
      <alignment horizontal="center" vertical="center"/>
    </xf>
    <xf numFmtId="0" fontId="89" fillId="0" borderId="0" xfId="0" applyFont="1"/>
    <xf numFmtId="0" fontId="91" fillId="3" borderId="3" xfId="0" applyFont="1" applyFill="1" applyBorder="1" applyAlignment="1" applyProtection="1">
      <alignment wrapText="1"/>
      <protection locked="0"/>
    </xf>
    <xf numFmtId="0" fontId="91" fillId="3" borderId="3" xfId="0" applyFont="1" applyFill="1" applyBorder="1" applyProtection="1">
      <protection locked="0"/>
    </xf>
    <xf numFmtId="164" fontId="89" fillId="3" borderId="3" xfId="0" applyNumberFormat="1" applyFont="1" applyFill="1" applyBorder="1" applyProtection="1">
      <protection locked="0"/>
    </xf>
    <xf numFmtId="0" fontId="89" fillId="3" borderId="8" xfId="0" applyFont="1" applyFill="1" applyBorder="1" applyAlignment="1" applyProtection="1">
      <alignment wrapText="1"/>
      <protection locked="0"/>
    </xf>
    <xf numFmtId="164" fontId="89" fillId="3" borderId="8" xfId="0" applyNumberFormat="1" applyFont="1" applyFill="1" applyBorder="1" applyProtection="1">
      <protection locked="0"/>
    </xf>
    <xf numFmtId="0" fontId="91" fillId="3" borderId="0" xfId="0" applyFont="1" applyFill="1" applyProtection="1">
      <protection locked="0"/>
    </xf>
    <xf numFmtId="0" fontId="91" fillId="3" borderId="0" xfId="0" applyFont="1" applyFill="1" applyAlignment="1" applyProtection="1">
      <alignment wrapText="1"/>
      <protection locked="0"/>
    </xf>
    <xf numFmtId="164" fontId="89" fillId="3" borderId="0" xfId="0" applyNumberFormat="1" applyFont="1" applyFill="1" applyProtection="1">
      <protection locked="0"/>
    </xf>
    <xf numFmtId="166" fontId="99" fillId="0" borderId="36" xfId="44" applyFont="1" applyBorder="1" applyAlignment="1" applyProtection="1">
      <alignment horizontal="center" vertical="center"/>
      <protection locked="0"/>
    </xf>
    <xf numFmtId="166" fontId="99" fillId="0" borderId="36" xfId="44" applyFont="1" applyBorder="1" applyAlignment="1" applyProtection="1">
      <alignment horizontal="left" vertical="center"/>
      <protection locked="0"/>
    </xf>
    <xf numFmtId="0" fontId="89" fillId="3" borderId="0" xfId="0" applyFont="1" applyFill="1" applyAlignment="1" applyProtection="1">
      <alignment wrapText="1"/>
      <protection locked="0"/>
    </xf>
    <xf numFmtId="166" fontId="99" fillId="0" borderId="1" xfId="44" applyFont="1" applyBorder="1" applyAlignment="1" applyProtection="1">
      <alignment horizontal="center" vertical="center" wrapText="1"/>
      <protection locked="0"/>
    </xf>
    <xf numFmtId="0" fontId="90" fillId="0" borderId="1" xfId="0" applyFont="1" applyBorder="1" applyAlignment="1" applyProtection="1">
      <alignment horizontal="center" vertical="center" wrapText="1"/>
      <protection locked="0"/>
    </xf>
    <xf numFmtId="0" fontId="89" fillId="9" borderId="0" xfId="0" applyFont="1" applyFill="1" applyProtection="1">
      <protection locked="0"/>
    </xf>
    <xf numFmtId="0" fontId="89" fillId="9" borderId="6" xfId="0" applyFont="1" applyFill="1" applyBorder="1" applyProtection="1">
      <protection locked="0"/>
    </xf>
    <xf numFmtId="0" fontId="89" fillId="3" borderId="1" xfId="0" applyFont="1" applyFill="1" applyBorder="1" applyProtection="1">
      <protection locked="0"/>
    </xf>
    <xf numFmtId="166" fontId="92" fillId="0" borderId="1" xfId="44" applyFont="1" applyBorder="1" applyAlignment="1" applyProtection="1">
      <alignment horizontal="center" vertical="center"/>
      <protection locked="0"/>
    </xf>
    <xf numFmtId="11" fontId="92" fillId="0" borderId="1" xfId="44" applyNumberFormat="1" applyFont="1" applyBorder="1" applyAlignment="1" applyProtection="1">
      <alignment horizontal="center" vertical="center"/>
      <protection locked="0"/>
    </xf>
    <xf numFmtId="11" fontId="92" fillId="0" borderId="1" xfId="45" applyNumberFormat="1" applyFont="1" applyFill="1" applyBorder="1" applyAlignment="1" applyProtection="1">
      <alignment vertical="center"/>
      <protection locked="0"/>
    </xf>
    <xf numFmtId="0" fontId="92" fillId="0" borderId="1" xfId="0" applyFont="1" applyBorder="1" applyAlignment="1" applyProtection="1">
      <alignment wrapText="1"/>
      <protection locked="0"/>
    </xf>
    <xf numFmtId="2" fontId="89" fillId="3" borderId="0" xfId="0" applyNumberFormat="1" applyFont="1" applyFill="1" applyProtection="1">
      <protection locked="0"/>
    </xf>
    <xf numFmtId="11" fontId="89" fillId="3" borderId="0" xfId="0" applyNumberFormat="1" applyFont="1" applyFill="1" applyProtection="1">
      <protection locked="0"/>
    </xf>
    <xf numFmtId="0" fontId="100" fillId="3" borderId="1" xfId="0" applyFont="1" applyFill="1" applyBorder="1" applyAlignment="1">
      <alignment vertical="center"/>
    </xf>
    <xf numFmtId="0" fontId="89" fillId="0" borderId="0" xfId="0" applyFont="1" applyAlignment="1" applyProtection="1">
      <alignment vertical="center"/>
      <protection locked="0"/>
    </xf>
    <xf numFmtId="0" fontId="92" fillId="3" borderId="1" xfId="0" applyFont="1" applyFill="1" applyBorder="1" applyAlignment="1" applyProtection="1">
      <alignment wrapText="1"/>
      <protection locked="0"/>
    </xf>
    <xf numFmtId="11" fontId="89" fillId="3" borderId="0" xfId="45" applyNumberFormat="1" applyFont="1" applyFill="1" applyBorder="1" applyProtection="1">
      <protection locked="0"/>
    </xf>
    <xf numFmtId="0" fontId="92" fillId="3" borderId="0" xfId="0" applyFont="1" applyFill="1" applyProtection="1">
      <protection locked="0"/>
    </xf>
    <xf numFmtId="176" fontId="4" fillId="0" borderId="1" xfId="45" applyNumberFormat="1" applyFont="1" applyFill="1" applyBorder="1" applyAlignment="1">
      <alignment vertical="center"/>
    </xf>
    <xf numFmtId="0" fontId="24" fillId="3" borderId="0" xfId="0" applyFont="1" applyFill="1"/>
    <xf numFmtId="0" fontId="75" fillId="0" borderId="48" xfId="0" applyFont="1" applyBorder="1" applyAlignment="1">
      <alignment horizontal="center" vertical="center" wrapText="1"/>
    </xf>
    <xf numFmtId="0" fontId="31" fillId="0" borderId="48" xfId="0" applyFont="1" applyBorder="1"/>
    <xf numFmtId="167" fontId="64" fillId="0" borderId="48" xfId="0" applyNumberFormat="1" applyFont="1" applyBorder="1" applyAlignment="1">
      <alignment vertical="center"/>
    </xf>
    <xf numFmtId="166" fontId="64" fillId="0" borderId="48" xfId="0" applyNumberFormat="1" applyFont="1" applyBorder="1" applyAlignment="1">
      <alignment horizontal="left" vertical="center"/>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171" fontId="7" fillId="0" borderId="1" xfId="0" applyNumberFormat="1" applyFont="1" applyBorder="1" applyAlignment="1" applyProtection="1">
      <alignment vertical="top" wrapText="1"/>
      <protection locked="0"/>
    </xf>
    <xf numFmtId="0" fontId="67" fillId="3" borderId="0" xfId="0" quotePrefix="1" applyFont="1" applyFill="1" applyAlignment="1">
      <alignment vertical="center" wrapText="1"/>
    </xf>
    <xf numFmtId="0" fontId="16" fillId="3" borderId="0" xfId="0" applyFont="1" applyFill="1" applyAlignment="1">
      <alignment horizontal="left"/>
    </xf>
    <xf numFmtId="2" fontId="4" fillId="0" borderId="1" xfId="0" applyNumberFormat="1" applyFont="1" applyBorder="1" applyAlignment="1">
      <alignment vertical="center"/>
    </xf>
    <xf numFmtId="0" fontId="4" fillId="0" borderId="1" xfId="0" applyFont="1" applyBorder="1"/>
    <xf numFmtId="0" fontId="41" fillId="0" borderId="0" xfId="0" applyFont="1" applyAlignment="1">
      <alignment horizontal="left" vertical="center"/>
    </xf>
    <xf numFmtId="179" fontId="92" fillId="0" borderId="1" xfId="44" applyNumberFormat="1" applyFont="1" applyBorder="1" applyAlignment="1" applyProtection="1">
      <alignment vertical="center"/>
      <protection locked="0"/>
    </xf>
    <xf numFmtId="0" fontId="1" fillId="0" borderId="0" xfId="0" applyFont="1" applyAlignment="1">
      <alignment wrapText="1"/>
    </xf>
    <xf numFmtId="167" fontId="92" fillId="0" borderId="1" xfId="44" applyNumberFormat="1" applyFont="1" applyBorder="1" applyAlignment="1" applyProtection="1">
      <alignment vertical="center" wrapText="1"/>
      <protection locked="0"/>
    </xf>
    <xf numFmtId="166" fontId="27" fillId="0" borderId="36" xfId="44" applyFont="1" applyBorder="1" applyAlignment="1" applyProtection="1">
      <alignment horizontal="center" vertical="center" wrapText="1"/>
      <protection locked="0"/>
    </xf>
    <xf numFmtId="0" fontId="15" fillId="3" borderId="1" xfId="0" applyFont="1" applyFill="1" applyBorder="1" applyProtection="1">
      <protection locked="0"/>
    </xf>
    <xf numFmtId="0" fontId="18" fillId="3" borderId="1" xfId="0" applyFont="1" applyFill="1" applyBorder="1" applyProtection="1">
      <protection locked="0"/>
    </xf>
    <xf numFmtId="166" fontId="27" fillId="0" borderId="1" xfId="44" applyFont="1" applyBorder="1" applyAlignment="1" applyProtection="1">
      <alignment horizontal="center" vertical="center" wrapText="1"/>
      <protection locked="0"/>
    </xf>
    <xf numFmtId="0" fontId="18" fillId="0" borderId="1" xfId="0" applyFont="1" applyBorder="1" applyAlignment="1" applyProtection="1">
      <alignment wrapText="1"/>
      <protection locked="0"/>
    </xf>
    <xf numFmtId="0" fontId="15" fillId="9" borderId="0" xfId="0" applyFont="1" applyFill="1" applyProtection="1">
      <protection locked="0"/>
    </xf>
    <xf numFmtId="167" fontId="26" fillId="0" borderId="1" xfId="44" applyNumberFormat="1" applyFont="1" applyBorder="1" applyAlignment="1" applyProtection="1">
      <alignment vertical="center" wrapText="1"/>
      <protection locked="0"/>
    </xf>
    <xf numFmtId="179" fontId="26" fillId="0" borderId="2" xfId="44" applyNumberFormat="1" applyFont="1" applyBorder="1" applyAlignment="1" applyProtection="1">
      <alignment vertical="center"/>
      <protection locked="0"/>
    </xf>
    <xf numFmtId="0" fontId="87" fillId="3" borderId="0" xfId="0" applyFont="1" applyFill="1" applyAlignment="1">
      <alignment vertical="center" wrapText="1"/>
    </xf>
    <xf numFmtId="0" fontId="16" fillId="3" borderId="0" xfId="0" applyFont="1" applyFill="1" applyAlignment="1">
      <alignment horizontal="left" wrapText="1"/>
    </xf>
    <xf numFmtId="0" fontId="89" fillId="3" borderId="3" xfId="0" applyFont="1" applyFill="1" applyBorder="1" applyAlignment="1" applyProtection="1">
      <alignment wrapText="1"/>
      <protection locked="0"/>
    </xf>
    <xf numFmtId="0" fontId="89" fillId="0" borderId="0" xfId="0" applyFont="1" applyAlignment="1" applyProtection="1">
      <alignment wrapText="1"/>
      <protection locked="0"/>
    </xf>
    <xf numFmtId="171" fontId="89" fillId="7" borderId="15" xfId="0" applyNumberFormat="1" applyFont="1" applyFill="1" applyBorder="1" applyAlignment="1">
      <alignment vertical="center" wrapText="1"/>
    </xf>
    <xf numFmtId="2" fontId="89" fillId="14" borderId="15" xfId="0" applyNumberFormat="1" applyFont="1" applyFill="1" applyBorder="1" applyAlignment="1" applyProtection="1">
      <alignment horizontal="center" vertical="center" wrapText="1"/>
      <protection locked="0"/>
    </xf>
    <xf numFmtId="0" fontId="37" fillId="4" borderId="28" xfId="0" applyFont="1" applyFill="1" applyBorder="1" applyAlignment="1">
      <alignment horizontal="center" vertical="center" wrapText="1"/>
    </xf>
    <xf numFmtId="0" fontId="88" fillId="3" borderId="0" xfId="0" quotePrefix="1" applyFont="1" applyFill="1" applyAlignment="1">
      <alignment horizontal="left" vertical="center"/>
    </xf>
    <xf numFmtId="171" fontId="37" fillId="4" borderId="4" xfId="0" applyNumberFormat="1" applyFont="1" applyFill="1" applyBorder="1" applyAlignment="1">
      <alignment horizontal="center" vertical="center" wrapText="1"/>
    </xf>
    <xf numFmtId="0" fontId="39" fillId="0" borderId="9" xfId="0" applyFont="1" applyBorder="1" applyAlignment="1">
      <alignment horizontal="center" vertical="center"/>
    </xf>
    <xf numFmtId="0" fontId="37" fillId="4" borderId="4" xfId="0" applyFont="1" applyFill="1" applyBorder="1" applyAlignment="1">
      <alignment horizontal="right" vertical="center" wrapText="1"/>
    </xf>
    <xf numFmtId="1" fontId="15" fillId="0" borderId="15" xfId="0" applyNumberFormat="1" applyFont="1" applyBorder="1" applyAlignment="1" applyProtection="1">
      <alignment vertical="center" wrapText="1"/>
      <protection locked="0"/>
    </xf>
    <xf numFmtId="171" fontId="15" fillId="0" borderId="15" xfId="0" applyNumberFormat="1" applyFont="1" applyBorder="1" applyAlignment="1" applyProtection="1">
      <alignment vertical="center" wrapText="1"/>
      <protection locked="0"/>
    </xf>
    <xf numFmtId="1" fontId="15" fillId="0" borderId="15" xfId="0" applyNumberFormat="1" applyFont="1" applyBorder="1" applyAlignment="1" applyProtection="1">
      <alignment horizontal="center" vertical="center" wrapText="1"/>
      <protection locked="0"/>
    </xf>
    <xf numFmtId="1" fontId="15" fillId="0" borderId="28" xfId="0" applyNumberFormat="1" applyFont="1" applyBorder="1" applyAlignment="1" applyProtection="1">
      <alignment vertical="center" wrapText="1"/>
      <protection locked="0"/>
    </xf>
    <xf numFmtId="14" fontId="15" fillId="0" borderId="28" xfId="0" applyNumberFormat="1" applyFont="1" applyBorder="1" applyAlignment="1" applyProtection="1">
      <alignment vertical="center" wrapText="1"/>
      <protection locked="0"/>
    </xf>
    <xf numFmtId="0" fontId="12" fillId="15" borderId="43" xfId="47" applyFont="1" applyFill="1" applyBorder="1" applyAlignment="1" applyProtection="1">
      <alignment horizontal="center" vertical="center" wrapText="1"/>
      <protection locked="0"/>
    </xf>
    <xf numFmtId="0" fontId="12" fillId="15" borderId="47" xfId="47" applyFont="1" applyFill="1" applyBorder="1" applyAlignment="1" applyProtection="1">
      <alignment vertical="center"/>
      <protection locked="0"/>
    </xf>
    <xf numFmtId="0" fontId="45" fillId="18" borderId="48" xfId="47" applyFont="1" applyFill="1" applyBorder="1" applyAlignment="1">
      <alignment horizontal="center" vertical="center" wrapText="1"/>
    </xf>
    <xf numFmtId="0" fontId="45" fillId="18" borderId="47" xfId="0" applyFont="1" applyFill="1" applyBorder="1" applyAlignment="1">
      <alignment horizontal="center" vertical="center" wrapText="1"/>
    </xf>
    <xf numFmtId="0" fontId="12" fillId="15" borderId="45" xfId="47" applyFont="1" applyFill="1" applyBorder="1" applyAlignment="1" applyProtection="1">
      <alignment vertical="center"/>
      <protection locked="0"/>
    </xf>
    <xf numFmtId="0" fontId="45" fillId="18" borderId="1" xfId="0" applyFont="1" applyFill="1" applyBorder="1" applyAlignment="1">
      <alignment horizontal="center" vertical="center" wrapText="1"/>
    </xf>
    <xf numFmtId="0" fontId="45" fillId="18" borderId="6" xfId="0" applyFont="1" applyFill="1" applyBorder="1" applyAlignment="1">
      <alignment horizontal="center" vertical="center" wrapText="1"/>
    </xf>
    <xf numFmtId="0" fontId="12" fillId="15" borderId="1" xfId="47" applyFont="1" applyFill="1" applyBorder="1" applyAlignment="1" applyProtection="1">
      <alignment vertical="center"/>
      <protection locked="0"/>
    </xf>
    <xf numFmtId="0" fontId="23" fillId="3" borderId="0" xfId="0" quotePrefix="1" applyFont="1" applyFill="1" applyAlignment="1">
      <alignment horizontal="left" vertical="top" wrapText="1"/>
    </xf>
    <xf numFmtId="1" fontId="12" fillId="15" borderId="43" xfId="47" applyNumberFormat="1" applyFont="1" applyFill="1" applyBorder="1" applyAlignment="1" applyProtection="1">
      <alignment vertical="center"/>
      <protection locked="0"/>
    </xf>
    <xf numFmtId="0" fontId="43" fillId="15" borderId="49" xfId="0" applyFont="1" applyFill="1" applyBorder="1" applyAlignment="1">
      <alignment vertical="center"/>
    </xf>
    <xf numFmtId="0" fontId="81" fillId="21" borderId="61" xfId="0" applyFont="1" applyFill="1" applyBorder="1" applyAlignment="1">
      <alignment vertical="top"/>
    </xf>
    <xf numFmtId="0" fontId="52" fillId="21" borderId="62" xfId="0" applyFont="1" applyFill="1" applyBorder="1" applyAlignment="1">
      <alignment horizontal="left" vertical="center" wrapText="1"/>
    </xf>
    <xf numFmtId="0" fontId="103" fillId="21" borderId="62" xfId="0" applyFont="1" applyFill="1" applyBorder="1"/>
    <xf numFmtId="0" fontId="103" fillId="21" borderId="63" xfId="0" applyFont="1" applyFill="1" applyBorder="1"/>
    <xf numFmtId="0" fontId="43" fillId="15" borderId="0" xfId="0" applyFont="1" applyFill="1"/>
    <xf numFmtId="0" fontId="43" fillId="15" borderId="64" xfId="0" quotePrefix="1" applyFont="1" applyFill="1" applyBorder="1" applyAlignment="1">
      <alignment vertical="top"/>
    </xf>
    <xf numFmtId="0" fontId="56" fillId="0" borderId="0" xfId="0" quotePrefix="1" applyFont="1" applyAlignment="1">
      <alignment vertical="top" wrapText="1"/>
    </xf>
    <xf numFmtId="0" fontId="56" fillId="15" borderId="0" xfId="0" quotePrefix="1" applyFont="1" applyFill="1" applyAlignment="1">
      <alignment wrapText="1"/>
    </xf>
    <xf numFmtId="0" fontId="57" fillId="15" borderId="64" xfId="0" quotePrefix="1" applyFont="1" applyFill="1" applyBorder="1" applyAlignment="1">
      <alignment vertical="top"/>
    </xf>
    <xf numFmtId="0" fontId="56" fillId="15" borderId="61" xfId="47" quotePrefix="1" applyFont="1" applyFill="1" applyBorder="1" applyAlignment="1">
      <alignment vertical="top"/>
    </xf>
    <xf numFmtId="0" fontId="43" fillId="15" borderId="62" xfId="47" applyFont="1" applyFill="1" applyBorder="1" applyAlignment="1">
      <alignment vertical="top"/>
    </xf>
    <xf numFmtId="0" fontId="43" fillId="15" borderId="63" xfId="47" applyFont="1" applyFill="1" applyBorder="1" applyAlignment="1">
      <alignment vertical="top"/>
    </xf>
    <xf numFmtId="0" fontId="52" fillId="15" borderId="0" xfId="47" applyFont="1" applyFill="1" applyAlignment="1">
      <alignment horizontal="left" vertical="top" wrapText="1"/>
    </xf>
    <xf numFmtId="0" fontId="12" fillId="15" borderId="0" xfId="47" applyFont="1" applyFill="1" applyAlignment="1">
      <alignment vertical="top"/>
    </xf>
    <xf numFmtId="0" fontId="12" fillId="15" borderId="65" xfId="47" applyFont="1" applyFill="1" applyBorder="1" applyAlignment="1">
      <alignment vertical="top"/>
    </xf>
    <xf numFmtId="0" fontId="56" fillId="15" borderId="0" xfId="0" quotePrefix="1" applyFont="1" applyFill="1" applyAlignment="1">
      <alignment vertical="top" wrapText="1"/>
    </xf>
    <xf numFmtId="0" fontId="56" fillId="15" borderId="65" xfId="0" quotePrefix="1" applyFont="1" applyFill="1" applyBorder="1" applyAlignment="1">
      <alignment vertical="top" wrapText="1"/>
    </xf>
    <xf numFmtId="0" fontId="19" fillId="0" borderId="0" xfId="0" applyFont="1" applyAlignment="1">
      <alignment vertical="center"/>
    </xf>
    <xf numFmtId="0" fontId="21" fillId="0" borderId="0" xfId="0" applyFont="1"/>
    <xf numFmtId="0" fontId="22" fillId="0" borderId="0" xfId="0" applyFont="1" applyAlignment="1">
      <alignment vertical="center"/>
    </xf>
    <xf numFmtId="0" fontId="7" fillId="0" borderId="0" xfId="0" applyFont="1"/>
    <xf numFmtId="0" fontId="29" fillId="0" borderId="0" xfId="0" applyFont="1"/>
    <xf numFmtId="0" fontId="0" fillId="0" borderId="8" xfId="0" applyBorder="1"/>
    <xf numFmtId="0" fontId="13" fillId="5" borderId="0" xfId="0" applyFont="1" applyFill="1" applyAlignment="1">
      <alignment vertical="top"/>
    </xf>
    <xf numFmtId="0" fontId="19" fillId="5" borderId="70" xfId="0" applyFont="1" applyFill="1" applyBorder="1" applyAlignment="1">
      <alignment vertical="center"/>
    </xf>
    <xf numFmtId="0" fontId="2" fillId="3" borderId="70" xfId="0" applyFont="1" applyFill="1" applyBorder="1"/>
    <xf numFmtId="0" fontId="20" fillId="3" borderId="0" xfId="0" quotePrefix="1" applyFont="1" applyFill="1" applyAlignment="1">
      <alignment vertical="center"/>
    </xf>
    <xf numFmtId="0" fontId="2" fillId="3" borderId="70" xfId="0" applyFont="1" applyFill="1" applyBorder="1" applyAlignment="1">
      <alignment vertical="center"/>
    </xf>
    <xf numFmtId="0" fontId="22" fillId="3" borderId="70" xfId="0" applyFont="1" applyFill="1" applyBorder="1" applyAlignment="1">
      <alignment vertical="center"/>
    </xf>
    <xf numFmtId="0" fontId="76" fillId="3" borderId="0" xfId="0" applyFont="1" applyFill="1" applyAlignment="1">
      <alignment vertical="center"/>
    </xf>
    <xf numFmtId="0" fontId="78" fillId="3" borderId="70" xfId="0" applyFont="1" applyFill="1" applyBorder="1"/>
    <xf numFmtId="0" fontId="0" fillId="3" borderId="3" xfId="0" applyFill="1" applyBorder="1"/>
    <xf numFmtId="0" fontId="0" fillId="3" borderId="69" xfId="0" applyFill="1" applyBorder="1"/>
    <xf numFmtId="0" fontId="0" fillId="3" borderId="0" xfId="0" applyFill="1" applyAlignment="1">
      <alignment vertical="top"/>
    </xf>
    <xf numFmtId="0" fontId="29" fillId="3" borderId="0" xfId="0" applyFont="1" applyFill="1" applyAlignment="1">
      <alignment vertical="top"/>
    </xf>
    <xf numFmtId="0" fontId="0" fillId="3" borderId="3" xfId="0" applyFill="1" applyBorder="1" applyAlignment="1">
      <alignment vertical="top"/>
    </xf>
    <xf numFmtId="0" fontId="28" fillId="3" borderId="8" xfId="0" applyFont="1" applyFill="1" applyBorder="1" applyAlignment="1">
      <alignment vertical="top"/>
    </xf>
    <xf numFmtId="0" fontId="80" fillId="0" borderId="0" xfId="0" applyFont="1" applyAlignment="1">
      <alignment horizontal="center" vertical="center" wrapText="1"/>
    </xf>
    <xf numFmtId="0" fontId="47" fillId="0" borderId="0" xfId="0" applyFont="1"/>
    <xf numFmtId="0" fontId="47" fillId="0" borderId="0" xfId="0" applyFont="1" applyAlignment="1">
      <alignment horizontal="center" vertical="center" wrapText="1"/>
    </xf>
    <xf numFmtId="0" fontId="47" fillId="0" borderId="0" xfId="0" applyFont="1" applyAlignment="1">
      <alignment horizontal="center" vertical="top" wrapText="1"/>
    </xf>
    <xf numFmtId="0" fontId="14" fillId="3" borderId="0" xfId="0" applyFont="1" applyFill="1" applyAlignment="1">
      <alignment vertical="top"/>
    </xf>
    <xf numFmtId="0" fontId="68" fillId="0" borderId="0" xfId="0" applyFont="1"/>
    <xf numFmtId="0" fontId="38" fillId="4" borderId="28" xfId="0" applyFont="1" applyFill="1" applyBorder="1" applyAlignment="1">
      <alignment horizontal="center" vertical="center" wrapText="1"/>
    </xf>
    <xf numFmtId="3" fontId="37" fillId="4" borderId="5" xfId="0" applyNumberFormat="1" applyFont="1" applyFill="1" applyBorder="1" applyAlignment="1">
      <alignment horizontal="center" vertical="center"/>
    </xf>
    <xf numFmtId="0" fontId="83" fillId="22" borderId="58" xfId="0" applyFont="1" applyFill="1" applyBorder="1" applyAlignment="1">
      <alignment horizontal="center" vertical="center" wrapText="1"/>
    </xf>
    <xf numFmtId="171" fontId="38" fillId="3" borderId="28" xfId="0" applyNumberFormat="1" applyFont="1" applyFill="1" applyBorder="1" applyAlignment="1" applyProtection="1">
      <alignment horizontal="center" vertical="center" wrapText="1"/>
      <protection locked="0"/>
    </xf>
    <xf numFmtId="0" fontId="48" fillId="0" borderId="46" xfId="47" applyFont="1" applyBorder="1"/>
    <xf numFmtId="0" fontId="49" fillId="0" borderId="46" xfId="47" applyFont="1" applyBorder="1"/>
    <xf numFmtId="0" fontId="48" fillId="0" borderId="0" xfId="47" applyFont="1"/>
    <xf numFmtId="0" fontId="12" fillId="0" borderId="0" xfId="47" applyFont="1"/>
    <xf numFmtId="0" fontId="46" fillId="0" borderId="0" xfId="47" applyFont="1"/>
    <xf numFmtId="0" fontId="12" fillId="0" borderId="43" xfId="47" applyFont="1" applyBorder="1"/>
    <xf numFmtId="166" fontId="61" fillId="0" borderId="50" xfId="47" applyNumberFormat="1" applyFont="1" applyBorder="1" applyAlignment="1">
      <alignment horizontal="center" vertical="center"/>
    </xf>
    <xf numFmtId="0" fontId="79" fillId="0" borderId="48" xfId="47" applyFont="1" applyBorder="1"/>
    <xf numFmtId="0" fontId="45" fillId="0" borderId="43" xfId="47" applyFont="1" applyBorder="1" applyAlignment="1">
      <alignment vertical="center"/>
    </xf>
    <xf numFmtId="166" fontId="61" fillId="0" borderId="48" xfId="47" applyNumberFormat="1" applyFont="1" applyBorder="1" applyAlignment="1">
      <alignment horizontal="center" vertical="center" wrapText="1"/>
    </xf>
    <xf numFmtId="166" fontId="61" fillId="0" borderId="43" xfId="47" applyNumberFormat="1" applyFont="1" applyBorder="1" applyAlignment="1">
      <alignment horizontal="center" vertical="center" wrapText="1"/>
    </xf>
    <xf numFmtId="0" fontId="63" fillId="0" borderId="43" xfId="47" applyFont="1" applyBorder="1" applyAlignment="1">
      <alignment vertical="center"/>
    </xf>
    <xf numFmtId="0" fontId="62" fillId="0" borderId="43" xfId="47" applyFont="1" applyBorder="1" applyAlignment="1">
      <alignment vertical="center"/>
    </xf>
    <xf numFmtId="0" fontId="63" fillId="0" borderId="43" xfId="0" applyFont="1" applyBorder="1" applyAlignment="1">
      <alignment vertical="top" wrapText="1"/>
    </xf>
    <xf numFmtId="0" fontId="60" fillId="0" borderId="0" xfId="47" applyFont="1"/>
    <xf numFmtId="0" fontId="60" fillId="0" borderId="48" xfId="47" applyFont="1" applyBorder="1"/>
    <xf numFmtId="0" fontId="47" fillId="0" borderId="43" xfId="47" applyFont="1" applyBorder="1" applyAlignment="1">
      <alignment vertical="top"/>
    </xf>
    <xf numFmtId="0" fontId="60" fillId="0" borderId="43" xfId="47" applyFont="1" applyBorder="1" applyAlignment="1">
      <alignment vertical="top"/>
    </xf>
    <xf numFmtId="0" fontId="31" fillId="0" borderId="43" xfId="0" applyFont="1" applyBorder="1" applyAlignment="1">
      <alignment vertical="top" wrapText="1"/>
    </xf>
    <xf numFmtId="0" fontId="60" fillId="0" borderId="43" xfId="47" applyFont="1" applyBorder="1" applyAlignment="1">
      <alignment vertical="top" wrapText="1"/>
    </xf>
    <xf numFmtId="0" fontId="60" fillId="0" borderId="43" xfId="47" applyFont="1" applyBorder="1"/>
    <xf numFmtId="0" fontId="12" fillId="0" borderId="49" xfId="47" applyFont="1" applyBorder="1"/>
    <xf numFmtId="0" fontId="52" fillId="0" borderId="0" xfId="47" applyFont="1" applyAlignment="1">
      <alignment horizontal="center" vertical="center" wrapText="1"/>
    </xf>
    <xf numFmtId="0" fontId="12" fillId="23" borderId="43" xfId="47" applyFont="1" applyFill="1" applyBorder="1" applyAlignment="1">
      <alignment vertical="center"/>
    </xf>
    <xf numFmtId="1" fontId="12" fillId="23" borderId="43" xfId="47" applyNumberFormat="1" applyFont="1" applyFill="1" applyBorder="1" applyAlignment="1">
      <alignment vertical="center"/>
    </xf>
    <xf numFmtId="0" fontId="12" fillId="23" borderId="47" xfId="47" applyFont="1" applyFill="1" applyBorder="1" applyAlignment="1">
      <alignment vertical="center"/>
    </xf>
    <xf numFmtId="2" fontId="12" fillId="24" borderId="43" xfId="47" applyNumberFormat="1" applyFont="1" applyFill="1" applyBorder="1" applyAlignment="1">
      <alignment horizontal="right" vertical="center"/>
    </xf>
    <xf numFmtId="2" fontId="45" fillId="24" borderId="43" xfId="47" applyNumberFormat="1" applyFont="1" applyFill="1" applyBorder="1" applyAlignment="1">
      <alignment horizontal="right" vertical="center"/>
    </xf>
    <xf numFmtId="0" fontId="12" fillId="0" borderId="3" xfId="47" applyFont="1" applyBorder="1"/>
    <xf numFmtId="0" fontId="45" fillId="20" borderId="48" xfId="47" applyFont="1" applyFill="1" applyBorder="1" applyAlignment="1" applyProtection="1">
      <alignment horizontal="left" vertical="center"/>
      <protection locked="0"/>
    </xf>
    <xf numFmtId="0" fontId="84" fillId="27" borderId="9" xfId="0" applyFont="1" applyFill="1" applyBorder="1" applyAlignment="1">
      <alignment horizontal="center" vertical="center" wrapText="1"/>
    </xf>
    <xf numFmtId="0" fontId="84" fillId="25" borderId="28" xfId="0" applyFont="1" applyFill="1" applyBorder="1" applyAlignment="1">
      <alignment horizontal="center" vertical="center" wrapText="1"/>
    </xf>
    <xf numFmtId="0" fontId="84" fillId="27" borderId="28" xfId="0" applyFont="1" applyFill="1" applyBorder="1" applyAlignment="1">
      <alignment horizontal="center" vertical="center" wrapText="1"/>
    </xf>
    <xf numFmtId="0" fontId="5" fillId="25" borderId="28" xfId="0" applyFont="1" applyFill="1" applyBorder="1" applyAlignment="1">
      <alignment horizontal="center" vertical="center" wrapText="1"/>
    </xf>
    <xf numFmtId="0" fontId="84" fillId="25" borderId="13" xfId="0" applyFont="1" applyFill="1" applyBorder="1" applyAlignment="1">
      <alignment horizontal="center" vertical="center" wrapText="1"/>
    </xf>
    <xf numFmtId="0" fontId="84" fillId="25" borderId="22" xfId="0" applyFont="1" applyFill="1" applyBorder="1" applyAlignment="1">
      <alignment horizontal="center" vertical="center" wrapText="1"/>
    </xf>
    <xf numFmtId="0" fontId="84" fillId="25" borderId="18" xfId="0" applyFont="1" applyFill="1" applyBorder="1" applyAlignment="1">
      <alignment horizontal="center" vertical="center" wrapText="1"/>
    </xf>
    <xf numFmtId="0" fontId="84" fillId="25" borderId="19" xfId="0" applyFont="1" applyFill="1" applyBorder="1" applyAlignment="1">
      <alignment horizontal="center" vertical="center" wrapText="1"/>
    </xf>
    <xf numFmtId="0" fontId="84" fillId="25" borderId="20" xfId="0" applyFont="1" applyFill="1" applyBorder="1" applyAlignment="1">
      <alignment horizontal="center" vertical="center" wrapText="1"/>
    </xf>
    <xf numFmtId="0" fontId="84" fillId="27" borderId="13" xfId="0" applyFont="1" applyFill="1" applyBorder="1" applyAlignment="1">
      <alignment horizontal="center" vertical="center" wrapText="1"/>
    </xf>
    <xf numFmtId="0" fontId="84" fillId="27" borderId="22" xfId="0" applyFont="1" applyFill="1" applyBorder="1" applyAlignment="1">
      <alignment horizontal="center" vertical="center" wrapText="1"/>
    </xf>
    <xf numFmtId="0" fontId="84" fillId="27" borderId="18" xfId="0" applyFont="1" applyFill="1" applyBorder="1" applyAlignment="1">
      <alignment horizontal="center" vertical="center" wrapText="1"/>
    </xf>
    <xf numFmtId="0" fontId="84" fillId="27" borderId="19" xfId="0" applyFont="1" applyFill="1" applyBorder="1" applyAlignment="1">
      <alignment horizontal="center" vertical="center" wrapText="1"/>
    </xf>
    <xf numFmtId="0" fontId="84" fillId="27" borderId="20" xfId="0" applyFont="1" applyFill="1" applyBorder="1" applyAlignment="1">
      <alignment horizontal="center" vertical="center" wrapText="1"/>
    </xf>
    <xf numFmtId="0" fontId="84" fillId="25" borderId="37" xfId="0" applyFont="1" applyFill="1" applyBorder="1" applyAlignment="1">
      <alignment horizontal="center" vertical="center" wrapText="1"/>
    </xf>
    <xf numFmtId="0" fontId="84" fillId="25" borderId="32" xfId="0" applyFont="1" applyFill="1" applyBorder="1" applyAlignment="1">
      <alignment horizontal="center" vertical="center" wrapText="1"/>
    </xf>
    <xf numFmtId="3" fontId="89" fillId="25" borderId="24" xfId="0" applyNumberFormat="1" applyFont="1" applyFill="1" applyBorder="1" applyAlignment="1" applyProtection="1">
      <alignment horizontal="center" vertical="center" wrapText="1"/>
      <protection locked="0"/>
    </xf>
    <xf numFmtId="4" fontId="89" fillId="25" borderId="24" xfId="0" applyNumberFormat="1" applyFont="1" applyFill="1" applyBorder="1" applyAlignment="1" applyProtection="1">
      <alignment horizontal="center" vertical="center" wrapText="1"/>
      <protection locked="0"/>
    </xf>
    <xf numFmtId="3" fontId="89" fillId="25" borderId="24" xfId="0" applyNumberFormat="1" applyFont="1" applyFill="1" applyBorder="1" applyAlignment="1" applyProtection="1">
      <alignment horizontal="center" vertical="center"/>
      <protection locked="0"/>
    </xf>
    <xf numFmtId="171" fontId="89" fillId="25" borderId="24" xfId="45" applyNumberFormat="1" applyFont="1" applyFill="1" applyBorder="1" applyAlignment="1" applyProtection="1">
      <alignment vertical="center" wrapText="1"/>
      <protection locked="0"/>
    </xf>
    <xf numFmtId="173" fontId="89" fillId="25" borderId="24" xfId="45" applyNumberFormat="1" applyFont="1" applyFill="1" applyBorder="1" applyAlignment="1" applyProtection="1">
      <alignment vertical="center" wrapText="1"/>
      <protection locked="0"/>
    </xf>
    <xf numFmtId="171" fontId="89" fillId="25" borderId="24" xfId="0" applyNumberFormat="1" applyFont="1" applyFill="1" applyBorder="1" applyAlignment="1" applyProtection="1">
      <alignment vertical="center" wrapText="1"/>
      <protection locked="0"/>
    </xf>
    <xf numFmtId="0" fontId="89" fillId="27" borderId="10" xfId="0" applyFont="1" applyFill="1" applyBorder="1" applyAlignment="1" applyProtection="1">
      <alignment vertical="center" wrapText="1"/>
      <protection locked="0"/>
    </xf>
    <xf numFmtId="174" fontId="89" fillId="27" borderId="10" xfId="45" applyNumberFormat="1" applyFont="1" applyFill="1" applyBorder="1" applyAlignment="1" applyProtection="1">
      <alignment vertical="center" wrapText="1"/>
      <protection locked="0"/>
    </xf>
    <xf numFmtId="0" fontId="89" fillId="27" borderId="24" xfId="0" applyFont="1" applyFill="1" applyBorder="1" applyAlignment="1" applyProtection="1">
      <alignment vertical="center" wrapText="1"/>
      <protection locked="0"/>
    </xf>
    <xf numFmtId="3" fontId="89" fillId="27" borderId="10" xfId="0" applyNumberFormat="1" applyFont="1" applyFill="1" applyBorder="1" applyAlignment="1" applyProtection="1">
      <alignment vertical="center" wrapText="1"/>
      <protection locked="0"/>
    </xf>
    <xf numFmtId="3" fontId="89" fillId="27" borderId="25" xfId="0" applyNumberFormat="1" applyFont="1" applyFill="1" applyBorder="1" applyAlignment="1" applyProtection="1">
      <alignment vertical="center" wrapText="1"/>
      <protection locked="0"/>
    </xf>
    <xf numFmtId="3" fontId="89" fillId="27" borderId="24" xfId="0" applyNumberFormat="1" applyFont="1" applyFill="1" applyBorder="1" applyAlignment="1" applyProtection="1">
      <alignment vertical="center" wrapText="1"/>
      <protection locked="0"/>
    </xf>
    <xf numFmtId="0" fontId="89" fillId="25" borderId="10" xfId="0" applyFont="1" applyFill="1" applyBorder="1" applyAlignment="1" applyProtection="1">
      <alignment horizontal="center" vertical="center" wrapText="1"/>
      <protection locked="0"/>
    </xf>
    <xf numFmtId="2" fontId="89" fillId="25" borderId="10" xfId="0" applyNumberFormat="1" applyFont="1" applyFill="1" applyBorder="1" applyAlignment="1" applyProtection="1">
      <alignment horizontal="center" vertical="center" wrapText="1"/>
      <protection locked="0"/>
    </xf>
    <xf numFmtId="171" fontId="89" fillId="25" borderId="25" xfId="45" applyNumberFormat="1" applyFont="1" applyFill="1" applyBorder="1" applyAlignment="1" applyProtection="1">
      <alignment vertical="center"/>
      <protection locked="0"/>
    </xf>
    <xf numFmtId="171" fontId="89" fillId="25" borderId="25" xfId="45" applyNumberFormat="1" applyFont="1" applyFill="1" applyBorder="1" applyAlignment="1" applyProtection="1">
      <alignment vertical="center" wrapText="1"/>
      <protection locked="0"/>
    </xf>
    <xf numFmtId="171" fontId="89" fillId="25" borderId="33" xfId="45" applyNumberFormat="1" applyFont="1" applyFill="1" applyBorder="1" applyAlignment="1" applyProtection="1">
      <alignment vertical="center" wrapText="1"/>
      <protection locked="0"/>
    </xf>
    <xf numFmtId="0" fontId="89" fillId="27" borderId="11" xfId="0" applyFont="1" applyFill="1" applyBorder="1" applyAlignment="1" applyProtection="1">
      <alignment vertical="center" wrapText="1"/>
      <protection locked="0"/>
    </xf>
    <xf numFmtId="0" fontId="89" fillId="27" borderId="10" xfId="0" applyFont="1" applyFill="1" applyBorder="1" applyAlignment="1" applyProtection="1">
      <alignment horizontal="center" vertical="center" wrapText="1"/>
      <protection locked="0"/>
    </xf>
    <xf numFmtId="173" fontId="89" fillId="27" borderId="10" xfId="45" applyNumberFormat="1" applyFont="1" applyFill="1" applyBorder="1" applyAlignment="1" applyProtection="1">
      <alignment vertical="center" wrapText="1"/>
      <protection locked="0"/>
    </xf>
    <xf numFmtId="164" fontId="89" fillId="27" borderId="25" xfId="45" applyFont="1" applyFill="1" applyBorder="1" applyAlignment="1" applyProtection="1">
      <alignment vertical="center" wrapText="1"/>
      <protection locked="0"/>
    </xf>
    <xf numFmtId="173" fontId="89" fillId="27" borderId="24" xfId="45" applyNumberFormat="1" applyFont="1" applyFill="1" applyBorder="1" applyAlignment="1" applyProtection="1">
      <alignment vertical="center" wrapText="1"/>
      <protection locked="0"/>
    </xf>
    <xf numFmtId="164" fontId="89" fillId="27" borderId="33" xfId="45" applyFont="1" applyFill="1" applyBorder="1" applyAlignment="1" applyProtection="1">
      <alignment vertical="center" wrapText="1"/>
      <protection locked="0"/>
    </xf>
    <xf numFmtId="164" fontId="89" fillId="25" borderId="11" xfId="45" applyFont="1" applyFill="1" applyBorder="1" applyAlignment="1" applyProtection="1">
      <alignment vertical="center" wrapText="1"/>
      <protection locked="0"/>
    </xf>
    <xf numFmtId="2" fontId="3" fillId="25" borderId="25" xfId="45" applyNumberFormat="1" applyFont="1" applyFill="1" applyBorder="1" applyAlignment="1" applyProtection="1">
      <alignment vertical="center" wrapText="1"/>
    </xf>
    <xf numFmtId="0" fontId="89" fillId="27" borderId="4" xfId="0" applyFont="1" applyFill="1" applyBorder="1" applyAlignment="1" applyProtection="1">
      <alignment vertical="center" wrapText="1"/>
      <protection locked="0"/>
    </xf>
    <xf numFmtId="174" fontId="89" fillId="27" borderId="4" xfId="45" applyNumberFormat="1" applyFont="1" applyFill="1" applyBorder="1" applyAlignment="1" applyProtection="1">
      <alignment vertical="center" wrapText="1"/>
      <protection locked="0"/>
    </xf>
    <xf numFmtId="0" fontId="89" fillId="27" borderId="22" xfId="0" applyFont="1" applyFill="1" applyBorder="1" applyAlignment="1" applyProtection="1">
      <alignment vertical="center" wrapText="1"/>
      <protection locked="0"/>
    </xf>
    <xf numFmtId="3" fontId="89" fillId="27" borderId="4" xfId="0" applyNumberFormat="1" applyFont="1" applyFill="1" applyBorder="1" applyAlignment="1" applyProtection="1">
      <alignment vertical="center" wrapText="1"/>
      <protection locked="0"/>
    </xf>
    <xf numFmtId="3" fontId="89" fillId="27" borderId="39" xfId="0" applyNumberFormat="1" applyFont="1" applyFill="1" applyBorder="1" applyAlignment="1" applyProtection="1">
      <alignment vertical="center" wrapText="1"/>
      <protection locked="0"/>
    </xf>
    <xf numFmtId="3" fontId="89" fillId="27" borderId="22" xfId="0" applyNumberFormat="1" applyFont="1" applyFill="1" applyBorder="1" applyAlignment="1" applyProtection="1">
      <alignment vertical="center" wrapText="1"/>
      <protection locked="0"/>
    </xf>
    <xf numFmtId="0" fontId="89" fillId="27" borderId="40" xfId="0" applyFont="1" applyFill="1" applyBorder="1" applyAlignment="1" applyProtection="1">
      <alignment vertical="center" wrapText="1"/>
      <protection locked="0"/>
    </xf>
    <xf numFmtId="0" fontId="89" fillId="27" borderId="4" xfId="0" applyFont="1" applyFill="1" applyBorder="1" applyAlignment="1" applyProtection="1">
      <alignment horizontal="center" vertical="center" wrapText="1"/>
      <protection locked="0"/>
    </xf>
    <xf numFmtId="173" fontId="89" fillId="27" borderId="4" xfId="45" applyNumberFormat="1" applyFont="1" applyFill="1" applyBorder="1" applyAlignment="1" applyProtection="1">
      <alignment vertical="center" wrapText="1"/>
      <protection locked="0"/>
    </xf>
    <xf numFmtId="164" fontId="89" fillId="27" borderId="39" xfId="45" applyFont="1" applyFill="1" applyBorder="1" applyAlignment="1" applyProtection="1">
      <alignment vertical="center" wrapText="1"/>
      <protection locked="0"/>
    </xf>
    <xf numFmtId="173" fontId="89" fillId="27" borderId="22" xfId="45" applyNumberFormat="1" applyFont="1" applyFill="1" applyBorder="1" applyAlignment="1" applyProtection="1">
      <alignment vertical="center" wrapText="1"/>
      <protection locked="0"/>
    </xf>
    <xf numFmtId="164" fontId="89" fillId="27" borderId="41" xfId="45" applyFont="1" applyFill="1" applyBorder="1" applyAlignment="1" applyProtection="1">
      <alignment vertical="center" wrapText="1"/>
      <protection locked="0"/>
    </xf>
    <xf numFmtId="0" fontId="15" fillId="25" borderId="15" xfId="0" applyFont="1" applyFill="1" applyBorder="1" applyAlignment="1">
      <alignment horizontal="center" vertical="center" wrapText="1"/>
    </xf>
    <xf numFmtId="0" fontId="5" fillId="6" borderId="15" xfId="0" applyFont="1" applyFill="1" applyBorder="1" applyAlignment="1" applyProtection="1">
      <alignment vertical="center" wrapText="1"/>
      <protection locked="0"/>
    </xf>
    <xf numFmtId="0" fontId="73" fillId="28" borderId="52" xfId="0" applyFont="1" applyFill="1" applyBorder="1" applyAlignment="1" applyProtection="1">
      <alignment vertical="center" wrapText="1"/>
      <protection locked="0"/>
    </xf>
    <xf numFmtId="0" fontId="82" fillId="28" borderId="15" xfId="0" applyFont="1" applyFill="1" applyBorder="1" applyAlignment="1">
      <alignment vertical="center" wrapText="1"/>
    </xf>
    <xf numFmtId="0" fontId="45" fillId="28" borderId="57" xfId="0" applyFont="1" applyFill="1" applyBorder="1" applyAlignment="1" applyProtection="1">
      <alignment vertical="center" wrapText="1"/>
      <protection locked="0"/>
    </xf>
    <xf numFmtId="0" fontId="73" fillId="28" borderId="59" xfId="0" applyFont="1" applyFill="1" applyBorder="1" applyAlignment="1" applyProtection="1">
      <alignment vertical="center" wrapText="1"/>
      <protection locked="0"/>
    </xf>
    <xf numFmtId="0" fontId="73" fillId="28" borderId="28" xfId="0" applyFont="1" applyFill="1" applyBorder="1" applyAlignment="1" applyProtection="1">
      <alignment vertical="center" wrapText="1"/>
      <protection locked="0"/>
    </xf>
    <xf numFmtId="0" fontId="82" fillId="28" borderId="28" xfId="0" applyFont="1" applyFill="1" applyBorder="1" applyAlignment="1">
      <alignment vertical="center" wrapText="1"/>
    </xf>
    <xf numFmtId="0" fontId="45" fillId="28" borderId="53" xfId="0" applyFont="1" applyFill="1" applyBorder="1" applyAlignment="1" applyProtection="1">
      <alignment vertical="center" wrapText="1"/>
      <protection locked="0"/>
    </xf>
    <xf numFmtId="0" fontId="5" fillId="25" borderId="15" xfId="0" applyFont="1" applyFill="1" applyBorder="1" applyAlignment="1">
      <alignment horizontal="center" vertical="center" wrapText="1"/>
    </xf>
    <xf numFmtId="1" fontId="89" fillId="25" borderId="28" xfId="45" applyNumberFormat="1" applyFont="1" applyFill="1" applyBorder="1" applyAlignment="1" applyProtection="1">
      <alignment horizontal="center" vertical="center" wrapText="1"/>
    </xf>
    <xf numFmtId="166" fontId="6" fillId="3" borderId="0" xfId="1" applyFill="1"/>
    <xf numFmtId="166" fontId="111" fillId="3" borderId="0" xfId="1" applyFont="1" applyFill="1"/>
    <xf numFmtId="166" fontId="21" fillId="5" borderId="0" xfId="1" applyFont="1" applyFill="1" applyProtection="1">
      <protection locked="0"/>
    </xf>
    <xf numFmtId="166" fontId="19" fillId="5" borderId="0" xfId="1" applyFont="1" applyFill="1"/>
    <xf numFmtId="166" fontId="21" fillId="5" borderId="0" xfId="1" applyFont="1" applyFill="1"/>
    <xf numFmtId="166" fontId="19" fillId="5" borderId="0" xfId="1" applyFont="1" applyFill="1" applyAlignment="1" applyProtection="1">
      <alignment vertical="center"/>
      <protection locked="0"/>
    </xf>
    <xf numFmtId="166" fontId="112" fillId="3" borderId="0" xfId="1" applyFont="1" applyFill="1" applyProtection="1">
      <protection locked="0"/>
    </xf>
    <xf numFmtId="166" fontId="23" fillId="3" borderId="0" xfId="1" quotePrefix="1" applyFont="1" applyFill="1"/>
    <xf numFmtId="166" fontId="113" fillId="3" borderId="0" xfId="1" quotePrefix="1" applyFont="1" applyFill="1"/>
    <xf numFmtId="166" fontId="112" fillId="0" borderId="0" xfId="1" applyFont="1"/>
    <xf numFmtId="166" fontId="14" fillId="3" borderId="0" xfId="1" quotePrefix="1" applyFont="1" applyFill="1" applyAlignment="1">
      <alignment wrapText="1"/>
    </xf>
    <xf numFmtId="166" fontId="112" fillId="0" borderId="0" xfId="1" applyFont="1" applyProtection="1">
      <protection locked="0"/>
    </xf>
    <xf numFmtId="0" fontId="3" fillId="3" borderId="0" xfId="49" applyFill="1" applyAlignment="1">
      <alignment horizontal="center" vertical="center" wrapText="1"/>
    </xf>
    <xf numFmtId="0" fontId="114" fillId="5" borderId="36" xfId="49" applyFont="1" applyFill="1" applyBorder="1" applyAlignment="1">
      <alignment horizontal="center" vertical="center" wrapText="1"/>
    </xf>
    <xf numFmtId="0" fontId="4" fillId="3" borderId="0" xfId="49" applyFont="1" applyFill="1" applyAlignment="1">
      <alignment horizontal="center" vertical="center" wrapText="1"/>
    </xf>
    <xf numFmtId="0" fontId="18" fillId="3" borderId="0" xfId="49" applyFont="1" applyFill="1" applyAlignment="1">
      <alignment horizontal="right" vertical="center"/>
    </xf>
    <xf numFmtId="0" fontId="18" fillId="3" borderId="1" xfId="49" applyFont="1" applyFill="1" applyBorder="1" applyAlignment="1">
      <alignment horizontal="left" vertical="center"/>
    </xf>
    <xf numFmtId="14" fontId="18" fillId="3" borderId="1" xfId="49" applyNumberFormat="1" applyFont="1" applyFill="1" applyBorder="1" applyAlignment="1">
      <alignment horizontal="center" vertical="center"/>
    </xf>
    <xf numFmtId="3" fontId="18" fillId="3" borderId="1" xfId="49" applyNumberFormat="1" applyFont="1" applyFill="1" applyBorder="1" applyAlignment="1">
      <alignment horizontal="center" vertical="center"/>
    </xf>
    <xf numFmtId="4" fontId="18" fillId="3" borderId="1" xfId="49" applyNumberFormat="1" applyFont="1" applyFill="1" applyBorder="1" applyAlignment="1">
      <alignment horizontal="center" vertical="center"/>
    </xf>
    <xf numFmtId="0" fontId="18" fillId="3" borderId="0" xfId="49" applyFont="1" applyFill="1" applyAlignment="1">
      <alignment horizontal="left" vertical="center"/>
    </xf>
    <xf numFmtId="0" fontId="116" fillId="3" borderId="0" xfId="49" applyFont="1" applyFill="1" applyAlignment="1">
      <alignment horizontal="left" vertical="center"/>
    </xf>
    <xf numFmtId="0" fontId="114" fillId="5" borderId="1" xfId="49" applyFont="1" applyFill="1" applyBorder="1" applyAlignment="1">
      <alignment horizontal="left" vertical="center" wrapText="1"/>
    </xf>
    <xf numFmtId="0" fontId="114" fillId="5" borderId="1" xfId="49" applyFont="1" applyFill="1" applyBorder="1" applyAlignment="1">
      <alignment horizontal="center" vertical="center" wrapText="1"/>
    </xf>
    <xf numFmtId="3" fontId="114" fillId="5" borderId="1" xfId="49" applyNumberFormat="1" applyFont="1" applyFill="1" applyBorder="1" applyAlignment="1">
      <alignment horizontal="center" vertical="center" wrapText="1"/>
    </xf>
    <xf numFmtId="4" fontId="114" fillId="5" borderId="1" xfId="49" applyNumberFormat="1" applyFont="1" applyFill="1" applyBorder="1" applyAlignment="1">
      <alignment horizontal="center" vertical="center" wrapText="1"/>
    </xf>
    <xf numFmtId="166" fontId="117" fillId="3" borderId="8" xfId="1" applyFont="1" applyFill="1" applyBorder="1"/>
    <xf numFmtId="166" fontId="6" fillId="3" borderId="8" xfId="1" applyFill="1" applyBorder="1"/>
    <xf numFmtId="171" fontId="15" fillId="25" borderId="25" xfId="45" applyNumberFormat="1" applyFont="1" applyFill="1" applyBorder="1" applyAlignment="1" applyProtection="1">
      <alignment vertical="center" wrapText="1"/>
    </xf>
    <xf numFmtId="171" fontId="15" fillId="25" borderId="39" xfId="45" applyNumberFormat="1" applyFont="1" applyFill="1" applyBorder="1" applyAlignment="1" applyProtection="1">
      <alignment vertical="center" wrapText="1"/>
    </xf>
    <xf numFmtId="164" fontId="15" fillId="25" borderId="10" xfId="45" applyFont="1" applyFill="1" applyBorder="1" applyAlignment="1" applyProtection="1">
      <alignment vertical="center" wrapText="1"/>
      <protection locked="0"/>
    </xf>
    <xf numFmtId="2" fontId="15" fillId="25" borderId="31" xfId="45" applyNumberFormat="1" applyFont="1" applyFill="1" applyBorder="1" applyAlignment="1" applyProtection="1">
      <alignment vertical="center" wrapText="1"/>
    </xf>
    <xf numFmtId="2" fontId="15" fillId="25" borderId="42" xfId="45" applyNumberFormat="1" applyFont="1" applyFill="1" applyBorder="1" applyAlignment="1" applyProtection="1">
      <alignment vertical="center" wrapText="1"/>
    </xf>
    <xf numFmtId="173" fontId="15" fillId="25" borderId="31" xfId="45" applyNumberFormat="1" applyFont="1" applyFill="1" applyBorder="1" applyAlignment="1" applyProtection="1">
      <alignment vertical="center" wrapText="1"/>
    </xf>
    <xf numFmtId="173" fontId="15" fillId="25" borderId="42" xfId="45" applyNumberFormat="1" applyFont="1" applyFill="1" applyBorder="1" applyAlignment="1" applyProtection="1">
      <alignment vertical="center" wrapText="1"/>
    </xf>
    <xf numFmtId="173" fontId="3" fillId="0" borderId="1" xfId="45" applyNumberFormat="1" applyFont="1" applyBorder="1" applyAlignment="1">
      <alignment vertical="center"/>
    </xf>
    <xf numFmtId="2" fontId="0" fillId="12" borderId="1" xfId="0" applyNumberFormat="1" applyFill="1" applyBorder="1" applyAlignment="1">
      <alignment vertical="center"/>
    </xf>
    <xf numFmtId="0" fontId="119" fillId="0" borderId="1" xfId="0" applyFont="1" applyBorder="1" applyProtection="1">
      <protection locked="0"/>
    </xf>
    <xf numFmtId="0" fontId="120" fillId="30" borderId="0" xfId="47" applyFont="1" applyFill="1" applyAlignment="1" applyProtection="1">
      <alignment horizontal="center" vertical="center" wrapText="1"/>
      <protection locked="0"/>
    </xf>
    <xf numFmtId="0" fontId="121" fillId="15" borderId="0" xfId="47" applyFont="1" applyFill="1" applyAlignment="1">
      <alignment horizontal="left" vertical="center" wrapText="1"/>
    </xf>
    <xf numFmtId="0" fontId="125" fillId="3" borderId="74" xfId="50" applyFont="1" applyFill="1" applyBorder="1"/>
    <xf numFmtId="0" fontId="126" fillId="3" borderId="0" xfId="50" applyFont="1" applyFill="1" applyAlignment="1">
      <alignment vertical="center"/>
    </xf>
    <xf numFmtId="0" fontId="125" fillId="3" borderId="0" xfId="50" applyFont="1" applyFill="1"/>
    <xf numFmtId="0" fontId="125" fillId="3" borderId="74" xfId="50" applyFont="1" applyFill="1" applyBorder="1" applyProtection="1">
      <protection locked="0"/>
    </xf>
    <xf numFmtId="0" fontId="125" fillId="3" borderId="0" xfId="50" applyFont="1" applyFill="1" applyProtection="1">
      <protection locked="0"/>
    </xf>
    <xf numFmtId="0" fontId="125" fillId="0" borderId="0" xfId="50" applyFont="1" applyProtection="1">
      <protection locked="0"/>
    </xf>
    <xf numFmtId="0" fontId="2" fillId="3" borderId="74" xfId="50" applyFont="1" applyFill="1" applyBorder="1" applyAlignment="1">
      <alignment vertical="center"/>
    </xf>
    <xf numFmtId="0" fontId="2" fillId="3" borderId="0" xfId="50" applyFont="1" applyFill="1"/>
    <xf numFmtId="0" fontId="2" fillId="3" borderId="74" xfId="50" applyFont="1" applyFill="1" applyBorder="1" applyProtection="1">
      <protection locked="0"/>
    </xf>
    <xf numFmtId="0" fontId="2" fillId="3" borderId="0" xfId="50" applyFont="1" applyFill="1" applyProtection="1">
      <protection locked="0"/>
    </xf>
    <xf numFmtId="0" fontId="2" fillId="0" borderId="0" xfId="50" applyFont="1" applyProtection="1">
      <protection locked="0"/>
    </xf>
    <xf numFmtId="0" fontId="109" fillId="3" borderId="74" xfId="50" applyFont="1" applyFill="1" applyBorder="1" applyAlignment="1">
      <alignment vertical="center"/>
    </xf>
    <xf numFmtId="0" fontId="109" fillId="3" borderId="0" xfId="50" applyFont="1" applyFill="1"/>
    <xf numFmtId="0" fontId="109" fillId="3" borderId="74" xfId="50" applyFont="1" applyFill="1" applyBorder="1" applyProtection="1">
      <protection locked="0"/>
    </xf>
    <xf numFmtId="0" fontId="109" fillId="3" borderId="0" xfId="50" applyFont="1" applyFill="1" applyProtection="1">
      <protection locked="0"/>
    </xf>
    <xf numFmtId="0" fontId="13" fillId="3" borderId="0" xfId="50" applyFont="1" applyFill="1" applyAlignment="1">
      <alignment horizontal="left" vertical="center" wrapText="1"/>
    </xf>
    <xf numFmtId="0" fontId="3" fillId="3" borderId="0" xfId="50" applyFill="1"/>
    <xf numFmtId="0" fontId="23" fillId="3" borderId="0" xfId="50" applyFont="1" applyFill="1"/>
    <xf numFmtId="0" fontId="3" fillId="3" borderId="74" xfId="50" applyFill="1" applyBorder="1" applyProtection="1">
      <protection locked="0"/>
    </xf>
    <xf numFmtId="0" fontId="3" fillId="3" borderId="0" xfId="50" applyFill="1" applyProtection="1">
      <protection locked="0"/>
    </xf>
    <xf numFmtId="0" fontId="3" fillId="3" borderId="74" xfId="50" applyFill="1" applyBorder="1"/>
    <xf numFmtId="0" fontId="128" fillId="5" borderId="0" xfId="50" applyFont="1" applyFill="1" applyAlignment="1">
      <alignment vertical="center"/>
    </xf>
    <xf numFmtId="0" fontId="5" fillId="3" borderId="0" xfId="50" applyFont="1" applyFill="1" applyAlignment="1">
      <alignment horizontal="right" vertical="center" wrapText="1"/>
    </xf>
    <xf numFmtId="0" fontId="15" fillId="3" borderId="1" xfId="50" applyFont="1" applyFill="1" applyBorder="1" applyAlignment="1" applyProtection="1">
      <alignment vertical="center"/>
      <protection locked="0"/>
    </xf>
    <xf numFmtId="0" fontId="4" fillId="3" borderId="0" xfId="50" applyFont="1" applyFill="1" applyAlignment="1" applyProtection="1">
      <alignment horizontal="right"/>
      <protection locked="0"/>
    </xf>
    <xf numFmtId="0" fontId="3" fillId="3" borderId="1" xfId="50" applyFill="1" applyBorder="1" applyProtection="1">
      <protection locked="0"/>
    </xf>
    <xf numFmtId="1" fontId="15" fillId="3" borderId="1" xfId="50" applyNumberFormat="1" applyFont="1" applyFill="1" applyBorder="1" applyAlignment="1" applyProtection="1">
      <alignment horizontal="left" vertical="center"/>
      <protection locked="0"/>
    </xf>
    <xf numFmtId="0" fontId="15" fillId="6" borderId="1" xfId="50" applyFont="1" applyFill="1" applyBorder="1" applyAlignment="1" applyProtection="1">
      <alignment vertical="center"/>
      <protection locked="0"/>
    </xf>
    <xf numFmtId="0" fontId="2" fillId="3" borderId="74" xfId="50" applyFont="1" applyFill="1" applyBorder="1"/>
    <xf numFmtId="0" fontId="128" fillId="5" borderId="0" xfId="50" applyFont="1" applyFill="1" applyAlignment="1">
      <alignment horizontal="right" vertical="center"/>
    </xf>
    <xf numFmtId="0" fontId="70" fillId="3" borderId="1" xfId="50" applyFont="1" applyFill="1" applyBorder="1" applyAlignment="1" applyProtection="1">
      <alignment horizontal="left" vertical="center" wrapText="1"/>
      <protection locked="0"/>
    </xf>
    <xf numFmtId="0" fontId="3" fillId="6" borderId="1" xfId="50" applyFill="1" applyBorder="1" applyAlignment="1" applyProtection="1">
      <alignment vertical="center"/>
      <protection locked="0"/>
    </xf>
    <xf numFmtId="0" fontId="15" fillId="3" borderId="0" xfId="50" applyFont="1" applyFill="1" applyAlignment="1" applyProtection="1">
      <alignment vertical="top" wrapText="1"/>
      <protection locked="0"/>
    </xf>
    <xf numFmtId="0" fontId="4" fillId="3" borderId="0" xfId="50" applyFont="1" applyFill="1" applyAlignment="1">
      <alignment horizontal="right" vertical="center" wrapText="1"/>
    </xf>
    <xf numFmtId="0" fontId="1" fillId="3" borderId="0" xfId="50" applyFont="1" applyFill="1" applyProtection="1">
      <protection locked="0"/>
    </xf>
    <xf numFmtId="0" fontId="129" fillId="3" borderId="0" xfId="50" applyFont="1" applyFill="1" applyProtection="1">
      <protection locked="0"/>
    </xf>
    <xf numFmtId="0" fontId="3" fillId="3" borderId="0" xfId="50" applyFill="1" applyAlignment="1">
      <alignment horizontal="center" vertical="center" wrapText="1"/>
    </xf>
    <xf numFmtId="0" fontId="3" fillId="3" borderId="0" xfId="50" applyFill="1" applyAlignment="1" applyProtection="1">
      <alignment horizontal="center" vertical="center" wrapText="1"/>
      <protection locked="0"/>
    </xf>
    <xf numFmtId="0" fontId="128" fillId="5" borderId="1" xfId="50" applyFont="1" applyFill="1" applyBorder="1" applyAlignment="1">
      <alignment vertical="center"/>
    </xf>
    <xf numFmtId="0" fontId="13" fillId="3" borderId="0" xfId="50" applyFont="1" applyFill="1" applyAlignment="1">
      <alignment horizontal="center" vertical="center" wrapText="1"/>
    </xf>
    <xf numFmtId="0" fontId="123" fillId="5" borderId="1" xfId="50" applyFont="1" applyFill="1" applyBorder="1"/>
    <xf numFmtId="0" fontId="122" fillId="5" borderId="1" xfId="50" applyFont="1" applyFill="1" applyBorder="1" applyAlignment="1">
      <alignment horizontal="center" vertical="center" wrapText="1"/>
    </xf>
    <xf numFmtId="0" fontId="3" fillId="3" borderId="74" xfId="50" applyFill="1" applyBorder="1" applyAlignment="1" applyProtection="1">
      <alignment wrapText="1"/>
      <protection locked="0"/>
    </xf>
    <xf numFmtId="0" fontId="4" fillId="3" borderId="1" xfId="50" applyFont="1" applyFill="1" applyBorder="1" applyAlignment="1">
      <alignment vertical="center" wrapText="1"/>
    </xf>
    <xf numFmtId="0" fontId="23" fillId="3" borderId="1" xfId="50" applyFont="1" applyFill="1" applyBorder="1" applyAlignment="1" applyProtection="1">
      <alignment vertical="center" wrapText="1"/>
      <protection locked="0"/>
    </xf>
    <xf numFmtId="0" fontId="15" fillId="3" borderId="1" xfId="50" applyFont="1" applyFill="1" applyBorder="1" applyAlignment="1" applyProtection="1">
      <alignment wrapText="1"/>
      <protection locked="0"/>
    </xf>
    <xf numFmtId="0" fontId="124" fillId="3" borderId="1" xfId="51" applyFill="1" applyBorder="1" applyAlignment="1" applyProtection="1">
      <protection locked="0"/>
    </xf>
    <xf numFmtId="0" fontId="3" fillId="3" borderId="0" xfId="50" applyFill="1" applyAlignment="1" applyProtection="1">
      <alignment wrapText="1"/>
      <protection locked="0"/>
    </xf>
    <xf numFmtId="0" fontId="4" fillId="3" borderId="1" xfId="50" applyFont="1" applyFill="1" applyBorder="1" applyAlignment="1">
      <alignment wrapText="1"/>
    </xf>
    <xf numFmtId="0" fontId="15" fillId="9" borderId="1" xfId="50" applyFont="1" applyFill="1" applyBorder="1" applyAlignment="1">
      <alignment wrapText="1"/>
    </xf>
    <xf numFmtId="0" fontId="4" fillId="3" borderId="1" xfId="50" applyFont="1" applyFill="1" applyBorder="1" applyAlignment="1">
      <alignment horizontal="left" vertical="center" wrapText="1"/>
    </xf>
    <xf numFmtId="0" fontId="23" fillId="3" borderId="1" xfId="50" applyFont="1" applyFill="1" applyBorder="1" applyAlignment="1" applyProtection="1">
      <alignment horizontal="left" vertical="center" wrapText="1"/>
      <protection locked="0"/>
    </xf>
    <xf numFmtId="0" fontId="15" fillId="9" borderId="1" xfId="50" applyFont="1" applyFill="1" applyBorder="1" applyAlignment="1">
      <alignment horizontal="left" wrapText="1"/>
    </xf>
    <xf numFmtId="0" fontId="15" fillId="3" borderId="1" xfId="50" applyFont="1" applyFill="1" applyBorder="1" applyAlignment="1" applyProtection="1">
      <alignment horizontal="left" wrapText="1"/>
      <protection locked="0"/>
    </xf>
    <xf numFmtId="0" fontId="124" fillId="3" borderId="1" xfId="51" applyFill="1" applyBorder="1" applyAlignment="1" applyProtection="1">
      <alignment horizontal="left"/>
      <protection locked="0"/>
    </xf>
    <xf numFmtId="0" fontId="29" fillId="3" borderId="8" xfId="50" applyFont="1" applyFill="1" applyBorder="1"/>
    <xf numFmtId="0" fontId="28" fillId="3" borderId="8" xfId="50" applyFont="1" applyFill="1" applyBorder="1"/>
    <xf numFmtId="0" fontId="4" fillId="3" borderId="0" xfId="50" applyFont="1" applyFill="1" applyAlignment="1">
      <alignment vertical="center"/>
    </xf>
    <xf numFmtId="0" fontId="17" fillId="3" borderId="0" xfId="50" applyFont="1" applyFill="1" applyAlignment="1">
      <alignment vertical="center"/>
    </xf>
    <xf numFmtId="0" fontId="129" fillId="0" borderId="0" xfId="50" applyFont="1" applyAlignment="1">
      <alignment vertical="center"/>
    </xf>
    <xf numFmtId="0" fontId="131" fillId="0" borderId="0" xfId="50" applyFont="1" applyAlignment="1">
      <alignment vertical="center"/>
    </xf>
    <xf numFmtId="0" fontId="3" fillId="3" borderId="0" xfId="50" applyFill="1" applyAlignment="1">
      <alignment horizontal="left" vertical="top"/>
    </xf>
    <xf numFmtId="0" fontId="1" fillId="3" borderId="0" xfId="50" applyFont="1" applyFill="1" applyAlignment="1">
      <alignment vertical="top" wrapText="1"/>
    </xf>
    <xf numFmtId="0" fontId="1" fillId="3" borderId="0" xfId="50" applyFont="1" applyFill="1" applyAlignment="1">
      <alignment horizontal="left" vertical="top"/>
    </xf>
    <xf numFmtId="0" fontId="1" fillId="3" borderId="0" xfId="50" applyFont="1" applyFill="1"/>
    <xf numFmtId="0" fontId="4" fillId="3" borderId="0" xfId="50" applyFont="1" applyFill="1" applyAlignment="1">
      <alignment horizontal="left" vertical="center" indent="2"/>
    </xf>
    <xf numFmtId="0" fontId="3" fillId="3" borderId="0" xfId="50" applyFill="1" applyAlignment="1">
      <alignment vertical="top"/>
    </xf>
    <xf numFmtId="0" fontId="4" fillId="3" borderId="0" xfId="50" applyFont="1" applyFill="1"/>
    <xf numFmtId="0" fontId="129" fillId="0" borderId="0" xfId="50" applyFont="1" applyAlignment="1">
      <alignment horizontal="left" vertical="center" indent="2"/>
    </xf>
    <xf numFmtId="0" fontId="3" fillId="3" borderId="0" xfId="50" applyFill="1" applyAlignment="1">
      <alignment horizontal="left" vertical="top" indent="2"/>
    </xf>
    <xf numFmtId="0" fontId="3" fillId="0" borderId="0" xfId="50" quotePrefix="1" applyAlignment="1">
      <alignment horizontal="center"/>
    </xf>
    <xf numFmtId="0" fontId="3" fillId="0" borderId="0" xfId="50"/>
    <xf numFmtId="0" fontId="13" fillId="3" borderId="0" xfId="50" applyFont="1" applyFill="1" applyAlignment="1">
      <alignment horizontal="center" vertical="center" wrapText="1"/>
    </xf>
    <xf numFmtId="0" fontId="119" fillId="3" borderId="0" xfId="50" applyFont="1" applyFill="1" applyAlignment="1" applyProtection="1">
      <alignment horizontal="center" vertical="center" wrapText="1"/>
      <protection locked="0"/>
    </xf>
    <xf numFmtId="0" fontId="13" fillId="3" borderId="0" xfId="50" applyFont="1" applyFill="1" applyAlignment="1" applyProtection="1">
      <alignment horizontal="center" vertical="center" wrapText="1"/>
      <protection locked="0"/>
    </xf>
    <xf numFmtId="0" fontId="43" fillId="15" borderId="64" xfId="0" quotePrefix="1" applyFont="1" applyFill="1" applyBorder="1" applyAlignment="1">
      <alignment horizontal="left" vertical="top" wrapText="1"/>
    </xf>
    <xf numFmtId="0" fontId="43" fillId="15" borderId="0" xfId="0" quotePrefix="1" applyFont="1" applyFill="1" applyAlignment="1">
      <alignment horizontal="left" vertical="top" wrapText="1"/>
    </xf>
    <xf numFmtId="0" fontId="43" fillId="15" borderId="65" xfId="0" quotePrefix="1" applyFont="1" applyFill="1" applyBorder="1" applyAlignment="1">
      <alignment horizontal="left" vertical="top" wrapText="1"/>
    </xf>
    <xf numFmtId="0" fontId="57" fillId="15" borderId="66" xfId="0" quotePrefix="1" applyFont="1" applyFill="1" applyBorder="1" applyAlignment="1">
      <alignment horizontal="left" vertical="top" wrapText="1"/>
    </xf>
    <xf numFmtId="0" fontId="57" fillId="15" borderId="67" xfId="0" quotePrefix="1" applyFont="1" applyFill="1" applyBorder="1" applyAlignment="1">
      <alignment horizontal="left" vertical="top" wrapText="1"/>
    </xf>
    <xf numFmtId="0" fontId="57" fillId="15" borderId="68" xfId="0" quotePrefix="1" applyFont="1" applyFill="1" applyBorder="1" applyAlignment="1">
      <alignment horizontal="left" vertical="top" wrapText="1"/>
    </xf>
    <xf numFmtId="0" fontId="45" fillId="18" borderId="44" xfId="47" applyFont="1" applyFill="1" applyBorder="1" applyAlignment="1">
      <alignment horizontal="center" vertical="center" wrapText="1"/>
    </xf>
    <xf numFmtId="0" fontId="46" fillId="0" borderId="45" xfId="47" applyFont="1" applyBorder="1"/>
    <xf numFmtId="0" fontId="60" fillId="0" borderId="0" xfId="47" applyFont="1" applyAlignment="1">
      <alignment horizontal="center" vertical="center" wrapText="1"/>
    </xf>
    <xf numFmtId="0" fontId="46" fillId="0" borderId="0" xfId="47" applyFont="1"/>
    <xf numFmtId="0" fontId="52" fillId="0" borderId="3" xfId="47" applyFont="1" applyBorder="1" applyAlignment="1">
      <alignment horizontal="center" vertical="center" wrapText="1"/>
    </xf>
    <xf numFmtId="0" fontId="46" fillId="0" borderId="3" xfId="47" applyFont="1" applyBorder="1"/>
    <xf numFmtId="0" fontId="45" fillId="18" borderId="47" xfId="47" applyFont="1" applyFill="1" applyBorder="1" applyAlignment="1">
      <alignment horizontal="center" vertical="center" wrapText="1"/>
    </xf>
    <xf numFmtId="0" fontId="45" fillId="18" borderId="50" xfId="47" applyFont="1" applyFill="1" applyBorder="1" applyAlignment="1">
      <alignment horizontal="center" vertical="center" wrapText="1"/>
    </xf>
    <xf numFmtId="0" fontId="45" fillId="18" borderId="48" xfId="47" applyFont="1" applyFill="1" applyBorder="1" applyAlignment="1">
      <alignment horizontal="center" vertical="center" wrapText="1"/>
    </xf>
    <xf numFmtId="0" fontId="46" fillId="0" borderId="50" xfId="47" applyFont="1" applyBorder="1"/>
    <xf numFmtId="0" fontId="46" fillId="0" borderId="48" xfId="47" applyFont="1" applyBorder="1"/>
    <xf numFmtId="0" fontId="120" fillId="29" borderId="0" xfId="47" applyFont="1" applyFill="1" applyAlignment="1">
      <alignment horizontal="center" vertical="center" wrapText="1"/>
    </xf>
    <xf numFmtId="0" fontId="45" fillId="18" borderId="0" xfId="47" applyFont="1" applyFill="1" applyAlignment="1">
      <alignment horizontal="center" vertical="center" wrapText="1"/>
    </xf>
    <xf numFmtId="0" fontId="45" fillId="18" borderId="60" xfId="47" applyFont="1" applyFill="1" applyBorder="1" applyAlignment="1">
      <alignment horizontal="center" vertical="center" wrapText="1"/>
    </xf>
    <xf numFmtId="0" fontId="23" fillId="3" borderId="0" xfId="0" quotePrefix="1" applyFont="1" applyFill="1" applyAlignment="1">
      <alignment horizontal="left" vertical="center" wrapText="1"/>
    </xf>
    <xf numFmtId="0" fontId="23" fillId="3" borderId="0" xfId="0" applyFont="1" applyFill="1" applyAlignment="1">
      <alignment horizontal="left" vertical="center" wrapText="1"/>
    </xf>
    <xf numFmtId="0" fontId="23" fillId="3" borderId="70" xfId="0" applyFont="1" applyFill="1" applyBorder="1" applyAlignment="1">
      <alignment horizontal="left" vertical="center" wrapText="1"/>
    </xf>
    <xf numFmtId="0" fontId="14" fillId="3" borderId="0" xfId="0" applyFont="1" applyFill="1" applyAlignment="1">
      <alignment horizontal="left" vertical="center" wrapText="1"/>
    </xf>
    <xf numFmtId="0" fontId="23" fillId="3" borderId="0" xfId="0" quotePrefix="1" applyFont="1" applyFill="1" applyAlignment="1">
      <alignment horizontal="left" vertical="top" wrapText="1"/>
    </xf>
    <xf numFmtId="0" fontId="23" fillId="3" borderId="70" xfId="0" quotePrefix="1" applyFont="1" applyFill="1" applyBorder="1" applyAlignment="1">
      <alignment horizontal="left" vertical="center" wrapText="1"/>
    </xf>
    <xf numFmtId="0" fontId="24" fillId="3" borderId="0" xfId="0" quotePrefix="1" applyFont="1" applyFill="1" applyAlignment="1">
      <alignment horizontal="left" vertical="center" wrapText="1"/>
    </xf>
    <xf numFmtId="0" fontId="24" fillId="3" borderId="70" xfId="0" quotePrefix="1" applyFont="1" applyFill="1" applyBorder="1" applyAlignment="1">
      <alignment horizontal="left" vertical="center" wrapText="1"/>
    </xf>
    <xf numFmtId="0" fontId="2" fillId="3" borderId="0" xfId="0" applyFont="1" applyFill="1" applyAlignment="1">
      <alignment horizontal="left" vertical="center" wrapText="1"/>
    </xf>
    <xf numFmtId="0" fontId="2" fillId="3" borderId="70" xfId="0" applyFont="1" applyFill="1" applyBorder="1" applyAlignment="1">
      <alignment horizontal="left" vertical="center" wrapText="1"/>
    </xf>
    <xf numFmtId="0" fontId="14" fillId="3" borderId="0" xfId="0" quotePrefix="1" applyFont="1" applyFill="1" applyAlignment="1">
      <alignment horizontal="left" vertical="center" wrapText="1"/>
    </xf>
    <xf numFmtId="0" fontId="14" fillId="3" borderId="70" xfId="0" quotePrefix="1" applyFont="1" applyFill="1" applyBorder="1" applyAlignment="1">
      <alignment horizontal="left" vertical="center" wrapText="1"/>
    </xf>
    <xf numFmtId="0" fontId="5" fillId="25" borderId="17" xfId="0" applyFont="1" applyFill="1" applyBorder="1" applyAlignment="1">
      <alignment horizontal="center" vertical="center" wrapText="1"/>
    </xf>
    <xf numFmtId="0" fontId="5" fillId="25" borderId="19" xfId="0" applyFont="1" applyFill="1" applyBorder="1" applyAlignment="1">
      <alignment horizontal="center" vertical="center" wrapText="1"/>
    </xf>
    <xf numFmtId="0" fontId="84" fillId="25" borderId="23" xfId="0" applyFont="1" applyFill="1" applyBorder="1" applyAlignment="1">
      <alignment horizontal="center" vertical="center" wrapText="1"/>
    </xf>
    <xf numFmtId="0" fontId="84" fillId="25" borderId="26" xfId="0" applyFont="1" applyFill="1" applyBorder="1" applyAlignment="1">
      <alignment horizontal="center" vertical="center" wrapText="1"/>
    </xf>
    <xf numFmtId="0" fontId="84" fillId="25" borderId="27" xfId="0" applyFont="1" applyFill="1" applyBorder="1" applyAlignment="1">
      <alignment horizontal="center" vertical="center" wrapText="1"/>
    </xf>
    <xf numFmtId="0" fontId="84" fillId="27" borderId="13" xfId="0" applyFont="1" applyFill="1" applyBorder="1" applyAlignment="1">
      <alignment horizontal="center" vertical="center" wrapText="1"/>
    </xf>
    <xf numFmtId="0" fontId="84" fillId="27" borderId="21" xfId="0" applyFont="1" applyFill="1" applyBorder="1" applyAlignment="1">
      <alignment horizontal="center" vertical="center" wrapText="1"/>
    </xf>
    <xf numFmtId="0" fontId="84" fillId="27" borderId="14" xfId="0" applyFont="1" applyFill="1" applyBorder="1" applyAlignment="1">
      <alignment horizontal="center" vertical="center" wrapText="1"/>
    </xf>
    <xf numFmtId="164" fontId="5" fillId="25" borderId="16" xfId="0" applyNumberFormat="1" applyFont="1" applyFill="1" applyBorder="1" applyAlignment="1">
      <alignment horizontal="center" vertical="center" wrapText="1"/>
    </xf>
    <xf numFmtId="164" fontId="5" fillId="25" borderId="18" xfId="0" applyNumberFormat="1" applyFont="1" applyFill="1" applyBorder="1" applyAlignment="1">
      <alignment horizontal="center" vertical="center" wrapText="1"/>
    </xf>
    <xf numFmtId="0" fontId="5" fillId="25" borderId="38" xfId="0" applyFont="1" applyFill="1" applyBorder="1" applyAlignment="1">
      <alignment horizontal="center" vertical="center" wrapText="1"/>
    </xf>
    <xf numFmtId="0" fontId="5" fillId="25" borderId="20" xfId="0" applyFont="1" applyFill="1" applyBorder="1" applyAlignment="1">
      <alignment horizontal="center" vertical="center" wrapText="1"/>
    </xf>
    <xf numFmtId="0" fontId="4" fillId="25" borderId="4" xfId="0" applyFont="1" applyFill="1" applyBorder="1" applyAlignment="1">
      <alignment horizontal="center" vertical="center"/>
    </xf>
    <xf numFmtId="0" fontId="4" fillId="25" borderId="9" xfId="0" applyFont="1" applyFill="1" applyBorder="1" applyAlignment="1">
      <alignment horizontal="center" vertical="center"/>
    </xf>
    <xf numFmtId="0" fontId="4" fillId="25" borderId="5" xfId="0" applyFont="1" applyFill="1" applyBorder="1" applyAlignment="1">
      <alignment horizontal="center" vertical="center"/>
    </xf>
    <xf numFmtId="0" fontId="4" fillId="25" borderId="17"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84" fillId="25" borderId="4" xfId="0" applyFont="1" applyFill="1" applyBorder="1" applyAlignment="1">
      <alignment horizontal="center" vertical="center" wrapText="1"/>
    </xf>
    <xf numFmtId="0" fontId="84" fillId="25" borderId="9" xfId="0" applyFont="1" applyFill="1" applyBorder="1" applyAlignment="1">
      <alignment horizontal="center" vertical="center" wrapText="1"/>
    </xf>
    <xf numFmtId="0" fontId="84" fillId="25" borderId="5" xfId="0" applyFont="1" applyFill="1" applyBorder="1" applyAlignment="1">
      <alignment horizontal="center" vertical="center" wrapText="1"/>
    </xf>
    <xf numFmtId="0" fontId="84" fillId="27" borderId="23" xfId="0" applyFont="1" applyFill="1" applyBorder="1" applyAlignment="1">
      <alignment horizontal="center" vertical="center" wrapText="1"/>
    </xf>
    <xf numFmtId="0" fontId="84" fillId="27" borderId="27" xfId="0" applyFont="1" applyFill="1" applyBorder="1" applyAlignment="1">
      <alignment horizontal="center" vertical="center" wrapText="1"/>
    </xf>
    <xf numFmtId="0" fontId="84" fillId="27" borderId="18" xfId="0" applyFont="1" applyFill="1" applyBorder="1" applyAlignment="1">
      <alignment horizontal="center" vertical="center" wrapText="1"/>
    </xf>
    <xf numFmtId="0" fontId="84" fillId="27" borderId="20" xfId="0" applyFont="1" applyFill="1" applyBorder="1" applyAlignment="1">
      <alignment horizontal="center" vertical="center" wrapText="1"/>
    </xf>
    <xf numFmtId="0" fontId="89" fillId="3" borderId="0" xfId="0" applyFont="1" applyFill="1" applyAlignment="1" applyProtection="1">
      <alignment horizontal="center"/>
      <protection locked="0"/>
    </xf>
    <xf numFmtId="0" fontId="84" fillId="13" borderId="23" xfId="0" applyFont="1" applyFill="1" applyBorder="1" applyAlignment="1">
      <alignment horizontal="center" vertical="center" wrapText="1"/>
    </xf>
    <xf numFmtId="0" fontId="84" fillId="13" borderId="26" xfId="0" applyFont="1" applyFill="1" applyBorder="1" applyAlignment="1">
      <alignment horizontal="center" vertical="center" wrapText="1"/>
    </xf>
    <xf numFmtId="0" fontId="84" fillId="13" borderId="27" xfId="0" applyFont="1" applyFill="1" applyBorder="1" applyAlignment="1">
      <alignment horizontal="center" vertical="center" wrapText="1"/>
    </xf>
    <xf numFmtId="0" fontId="5" fillId="25" borderId="23" xfId="0" applyFont="1" applyFill="1" applyBorder="1" applyAlignment="1">
      <alignment horizontal="center" vertical="center" wrapText="1"/>
    </xf>
    <xf numFmtId="0" fontId="5" fillId="25" borderId="26" xfId="0" applyFont="1" applyFill="1" applyBorder="1" applyAlignment="1">
      <alignment horizontal="center" vertical="center" wrapText="1"/>
    </xf>
    <xf numFmtId="0" fontId="5" fillId="25" borderId="27" xfId="0" applyFont="1" applyFill="1" applyBorder="1" applyAlignment="1">
      <alignment horizontal="center" vertical="center" wrapText="1"/>
    </xf>
    <xf numFmtId="0" fontId="82" fillId="26" borderId="54" xfId="0" applyFont="1" applyFill="1" applyBorder="1" applyAlignment="1">
      <alignment horizontal="center" vertical="center" wrapText="1"/>
    </xf>
    <xf numFmtId="0" fontId="83" fillId="25" borderId="55" xfId="0" applyFont="1" applyFill="1" applyBorder="1"/>
    <xf numFmtId="0" fontId="83" fillId="25" borderId="56" xfId="0" applyFont="1" applyFill="1" applyBorder="1"/>
    <xf numFmtId="0" fontId="84" fillId="27" borderId="4" xfId="0" applyFont="1" applyFill="1" applyBorder="1" applyAlignment="1">
      <alignment horizontal="center" vertical="center" wrapText="1"/>
    </xf>
    <xf numFmtId="0" fontId="84" fillId="27" borderId="9" xfId="0" applyFont="1" applyFill="1" applyBorder="1" applyAlignment="1">
      <alignment horizontal="center" vertical="center" wrapText="1"/>
    </xf>
    <xf numFmtId="0" fontId="84" fillId="27" borderId="5" xfId="0" applyFont="1" applyFill="1" applyBorder="1" applyAlignment="1">
      <alignment horizontal="center" vertical="center" wrapText="1"/>
    </xf>
    <xf numFmtId="0" fontId="84" fillId="27" borderId="12" xfId="0" applyFont="1" applyFill="1" applyBorder="1" applyAlignment="1">
      <alignment horizontal="center" vertical="center" wrapText="1"/>
    </xf>
    <xf numFmtId="0" fontId="84" fillId="25" borderId="37" xfId="0" applyFont="1" applyFill="1" applyBorder="1" applyAlignment="1">
      <alignment horizontal="center" vertical="center" wrapText="1"/>
    </xf>
    <xf numFmtId="0" fontId="84" fillId="25" borderId="20" xfId="0" applyFont="1" applyFill="1" applyBorder="1" applyAlignment="1">
      <alignment horizontal="center" vertical="center" wrapText="1"/>
    </xf>
    <xf numFmtId="0" fontId="84" fillId="25" borderId="13" xfId="0" applyFont="1" applyFill="1" applyBorder="1" applyAlignment="1">
      <alignment horizontal="center" vertical="center" wrapText="1"/>
    </xf>
    <xf numFmtId="0" fontId="84" fillId="25" borderId="21" xfId="0" applyFont="1" applyFill="1" applyBorder="1" applyAlignment="1">
      <alignment horizontal="center" vertical="center" wrapText="1"/>
    </xf>
    <xf numFmtId="0" fontId="84" fillId="25" borderId="0" xfId="0" applyFont="1" applyFill="1" applyAlignment="1">
      <alignment horizontal="center" vertical="center" wrapText="1"/>
    </xf>
    <xf numFmtId="0" fontId="84" fillId="25" borderId="18" xfId="0" applyFont="1" applyFill="1" applyBorder="1" applyAlignment="1">
      <alignment horizontal="center" vertical="center" wrapText="1"/>
    </xf>
    <xf numFmtId="0" fontId="38" fillId="3" borderId="0" xfId="0" quotePrefix="1" applyFont="1" applyFill="1" applyAlignment="1">
      <alignment horizontal="center" vertical="center" wrapText="1"/>
    </xf>
    <xf numFmtId="0" fontId="38" fillId="3" borderId="34" xfId="0" quotePrefix="1" applyFont="1" applyFill="1" applyBorder="1" applyAlignment="1">
      <alignment horizontal="center" vertical="center" wrapText="1"/>
    </xf>
    <xf numFmtId="0" fontId="109" fillId="3" borderId="12" xfId="0" applyFont="1" applyFill="1" applyBorder="1" applyAlignment="1">
      <alignment horizontal="left" vertical="center" wrapText="1"/>
    </xf>
    <xf numFmtId="0" fontId="109" fillId="3" borderId="0" xfId="0" applyFont="1" applyFill="1" applyAlignment="1">
      <alignment horizontal="left" vertical="center" wrapText="1"/>
    </xf>
    <xf numFmtId="0" fontId="37" fillId="0" borderId="0" xfId="0" applyFont="1" applyAlignment="1">
      <alignment horizontal="left" vertical="center" wrapText="1"/>
    </xf>
    <xf numFmtId="0" fontId="38" fillId="4" borderId="4" xfId="0" quotePrefix="1" applyFont="1" applyFill="1" applyBorder="1" applyAlignment="1">
      <alignment horizontal="center" vertical="center" wrapText="1"/>
    </xf>
    <xf numFmtId="0" fontId="38" fillId="4" borderId="5" xfId="0" quotePrefix="1" applyFont="1" applyFill="1" applyBorder="1" applyAlignment="1">
      <alignment horizontal="center" vertical="center" wrapText="1"/>
    </xf>
    <xf numFmtId="0" fontId="5" fillId="25" borderId="29" xfId="0" applyFont="1" applyFill="1" applyBorder="1" applyAlignment="1">
      <alignment horizontal="center" vertical="center" wrapText="1"/>
    </xf>
    <xf numFmtId="0" fontId="5" fillId="25" borderId="30"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34" xfId="0" applyFont="1" applyFill="1" applyBorder="1" applyAlignment="1">
      <alignment horizontal="center" vertical="center" wrapText="1"/>
    </xf>
    <xf numFmtId="0" fontId="5" fillId="25" borderId="71" xfId="0" applyFont="1" applyFill="1" applyBorder="1" applyAlignment="1">
      <alignment horizontal="center" vertical="center" wrapText="1"/>
    </xf>
    <xf numFmtId="0" fontId="5" fillId="25" borderId="72" xfId="0" applyFont="1" applyFill="1" applyBorder="1" applyAlignment="1">
      <alignment horizontal="center" vertical="center" wrapText="1"/>
    </xf>
    <xf numFmtId="0" fontId="5" fillId="25" borderId="73" xfId="0" applyFont="1" applyFill="1" applyBorder="1" applyAlignment="1">
      <alignment horizontal="center" vertical="center" wrapText="1"/>
    </xf>
  </cellXfs>
  <cellStyles count="52">
    <cellStyle name="Comma0" xfId="4" xr:uid="{00000000-0005-0000-0000-000000000000}"/>
    <cellStyle name="Comma0 2" xfId="5" xr:uid="{00000000-0005-0000-0000-000001000000}"/>
    <cellStyle name="Comma0 2 2" xfId="6" xr:uid="{00000000-0005-0000-0000-000002000000}"/>
    <cellStyle name="Currency0" xfId="7" xr:uid="{00000000-0005-0000-0000-000003000000}"/>
    <cellStyle name="Currency0 2" xfId="8" xr:uid="{00000000-0005-0000-0000-000004000000}"/>
    <cellStyle name="Currency0 2 2" xfId="9" xr:uid="{00000000-0005-0000-0000-000005000000}"/>
    <cellStyle name="Date" xfId="10" xr:uid="{00000000-0005-0000-0000-000006000000}"/>
    <cellStyle name="Date 2" xfId="11" xr:uid="{00000000-0005-0000-0000-000007000000}"/>
    <cellStyle name="Date 2 2" xfId="12" xr:uid="{00000000-0005-0000-0000-000008000000}"/>
    <cellStyle name="Euro" xfId="13" xr:uid="{00000000-0005-0000-0000-000009000000}"/>
    <cellStyle name="Euro 2" xfId="14" xr:uid="{00000000-0005-0000-0000-00000A000000}"/>
    <cellStyle name="Euro 2 2" xfId="15" xr:uid="{00000000-0005-0000-0000-00000B000000}"/>
    <cellStyle name="Fixed" xfId="16" xr:uid="{00000000-0005-0000-0000-00000C000000}"/>
    <cellStyle name="Fixed 2" xfId="17" xr:uid="{00000000-0005-0000-0000-00000D000000}"/>
    <cellStyle name="Fixed 2 2" xfId="18" xr:uid="{00000000-0005-0000-0000-00000E000000}"/>
    <cellStyle name="Heading 1" xfId="19" xr:uid="{00000000-0005-0000-0000-00000F000000}"/>
    <cellStyle name="Heading 2" xfId="20" xr:uid="{00000000-0005-0000-0000-000010000000}"/>
    <cellStyle name="Hipervínculo 2" xfId="48" xr:uid="{00000000-0005-0000-0000-000011000000}"/>
    <cellStyle name="Hipervínculo 2 2" xfId="51" xr:uid="{00000000-0005-0000-0000-000012000000}"/>
    <cellStyle name="Millares" xfId="45" builtinId="3"/>
    <cellStyle name="Millares 2" xfId="3" xr:uid="{00000000-0005-0000-0000-000014000000}"/>
    <cellStyle name="Millares 2 2" xfId="21" xr:uid="{00000000-0005-0000-0000-000015000000}"/>
    <cellStyle name="Normal" xfId="0" builtinId="0"/>
    <cellStyle name="Normal 11" xfId="50" xr:uid="{00000000-0005-0000-0000-000017000000}"/>
    <cellStyle name="Normal 2" xfId="1" xr:uid="{00000000-0005-0000-0000-000018000000}"/>
    <cellStyle name="Normal 2 2" xfId="22" xr:uid="{00000000-0005-0000-0000-000019000000}"/>
    <cellStyle name="Normal 2 3" xfId="23" xr:uid="{00000000-0005-0000-0000-00001A000000}"/>
    <cellStyle name="Normal 2 4" xfId="24" xr:uid="{00000000-0005-0000-0000-00001B000000}"/>
    <cellStyle name="Normal 2 5" xfId="25" xr:uid="{00000000-0005-0000-0000-00001C000000}"/>
    <cellStyle name="Normal 2 5 2" xfId="49" xr:uid="{00000000-0005-0000-0000-00001D000000}"/>
    <cellStyle name="Normal 2 6" xfId="44" xr:uid="{00000000-0005-0000-0000-00001E000000}"/>
    <cellStyle name="Normal 3" xfId="2" xr:uid="{00000000-0005-0000-0000-00001F000000}"/>
    <cellStyle name="Normal 3 2" xfId="26" xr:uid="{00000000-0005-0000-0000-000020000000}"/>
    <cellStyle name="Normal 3 3" xfId="27" xr:uid="{00000000-0005-0000-0000-000021000000}"/>
    <cellStyle name="Normal 4" xfId="28" xr:uid="{00000000-0005-0000-0000-000022000000}"/>
    <cellStyle name="Normal 4 2" xfId="29" xr:uid="{00000000-0005-0000-0000-000023000000}"/>
    <cellStyle name="Normal 5" xfId="30" xr:uid="{00000000-0005-0000-0000-000024000000}"/>
    <cellStyle name="Normal 6" xfId="31" xr:uid="{00000000-0005-0000-0000-000025000000}"/>
    <cellStyle name="Normal 7" xfId="32" xr:uid="{00000000-0005-0000-0000-000026000000}"/>
    <cellStyle name="Normal 8" xfId="47" xr:uid="{00000000-0005-0000-0000-000027000000}"/>
    <cellStyle name="Porcentaje" xfId="46" builtinId="5"/>
    <cellStyle name="Porcentaje 2" xfId="33" xr:uid="{00000000-0005-0000-0000-000029000000}"/>
    <cellStyle name="Porcentaje 2 2" xfId="34" xr:uid="{00000000-0005-0000-0000-00002A000000}"/>
    <cellStyle name="Porcentaje 2 3" xfId="35" xr:uid="{00000000-0005-0000-0000-00002B000000}"/>
    <cellStyle name="Porcentaje 3" xfId="36" xr:uid="{00000000-0005-0000-0000-00002C000000}"/>
    <cellStyle name="Porcentaje 4" xfId="37" xr:uid="{00000000-0005-0000-0000-00002D000000}"/>
    <cellStyle name="Porcentaje 5" xfId="38" xr:uid="{00000000-0005-0000-0000-00002E000000}"/>
    <cellStyle name="Porcentaje 6" xfId="39" xr:uid="{00000000-0005-0000-0000-00002F000000}"/>
    <cellStyle name="Porcentaje 7" xfId="40" xr:uid="{00000000-0005-0000-0000-000030000000}"/>
    <cellStyle name="Total 2" xfId="41" xr:uid="{00000000-0005-0000-0000-000031000000}"/>
    <cellStyle name="Total 2 2" xfId="42" xr:uid="{00000000-0005-0000-0000-000032000000}"/>
    <cellStyle name="Total 3" xfId="43" xr:uid="{00000000-0005-0000-0000-000033000000}"/>
  </cellStyles>
  <dxfs count="17">
    <dxf>
      <font>
        <color rgb="FF00B050"/>
      </font>
    </dxf>
    <dxf>
      <font>
        <color rgb="FF9C0006"/>
      </font>
    </dxf>
    <dxf>
      <font>
        <color rgb="FF00B050"/>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theme="1"/>
      </font>
      <fill>
        <patternFill>
          <bgColor rgb="FFFFC000"/>
        </patternFill>
      </fill>
    </dxf>
    <dxf>
      <font>
        <color auto="1"/>
      </font>
      <fill>
        <patternFill>
          <bgColor rgb="FFFFC000"/>
        </patternFill>
      </fill>
    </dxf>
    <dxf>
      <font>
        <color auto="1"/>
      </font>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CC33"/>
      <color rgb="FF00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731763</xdr:colOff>
      <xdr:row>90</xdr:row>
      <xdr:rowOff>54429</xdr:rowOff>
    </xdr:from>
    <xdr:to>
      <xdr:col>20</xdr:col>
      <xdr:colOff>725715</xdr:colOff>
      <xdr:row>108</xdr:row>
      <xdr:rowOff>89203</xdr:rowOff>
    </xdr:to>
    <xdr:pic>
      <xdr:nvPicPr>
        <xdr:cNvPr id="2" name="Imagen 1">
          <a:extLst>
            <a:ext uri="{FF2B5EF4-FFF2-40B4-BE49-F238E27FC236}">
              <a16:creationId xmlns:a16="http://schemas.microsoft.com/office/drawing/2014/main" id="{C26E00C4-E3B8-411B-ADA6-B2BA09B21EA6}"/>
            </a:ext>
          </a:extLst>
        </xdr:cNvPr>
        <xdr:cNvPicPr>
          <a:picLocks noChangeAspect="1"/>
        </xdr:cNvPicPr>
      </xdr:nvPicPr>
      <xdr:blipFill rotWithShape="1">
        <a:blip xmlns:r="http://schemas.openxmlformats.org/officeDocument/2006/relationships" r:embed="rId1"/>
        <a:srcRect l="20420" t="23151" r="22875" b="13039"/>
        <a:stretch/>
      </xdr:blipFill>
      <xdr:spPr>
        <a:xfrm>
          <a:off x="19319120" y="16818429"/>
          <a:ext cx="6851952" cy="46748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emdc01\DNE\DDAEE-Compartido\FEE%20y%20Fondos%20de%20Asistencia%20T&#233;cnica\2%20-%20Resstructura%20FEE%20(2015)\Folleto%20&amp;%20Requisitos\Formulario%20FEE%202015_Com&amp;I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afs.miem.local\dne\Division%20de%20Demanda,%20Acceso%20y%20Eficiencia%20Energetica\DDAEE-Compartido\Premio%20de%20EE\Edici&#243;n%202022\2_Categor&#237;as,%20bases%20y%20formularios\Anexo%203_Formulario_MMEE_2022_V1.0_POSTULA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afs\dne\Division%20de%20Demanda,%20Acceso%20y%20Eficiencia%20Energetica\DDAEE-Compartido\Premio%20de%20EE\Edici&#243;n%202022\2_Categor&#237;as,%20bases%20y%20formularios\Movilidad\Anexo%204_Formulario%20MMEE%20estandarizadas%20movi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dición de Eficiencia"/>
      <sheetName val="Medida 1"/>
      <sheetName val="Medida 1 (2)"/>
      <sheetName val="Medida_otras fuentes"/>
      <sheetName val="Precios Energía"/>
      <sheetName val="Factores Conversión"/>
      <sheetName val="listas desplegables"/>
      <sheetName val="PCI"/>
      <sheetName val="factores redond"/>
      <sheetName val="Hoja1"/>
    </sheetNames>
    <sheetDataSet>
      <sheetData sheetId="0"/>
      <sheetData sheetId="1"/>
      <sheetData sheetId="2"/>
      <sheetData sheetId="3"/>
      <sheetData sheetId="4"/>
      <sheetData sheetId="5"/>
      <sheetData sheetId="6"/>
      <sheetData sheetId="7"/>
      <sheetData sheetId="8"/>
      <sheetData sheetId="9"/>
      <sheetData sheetId="10">
        <row r="3">
          <cell r="B3" t="str">
            <v>EnergiaElectrica</v>
          </cell>
        </row>
        <row r="4">
          <cell r="B4" t="str">
            <v>FuelOilMedio</v>
          </cell>
        </row>
        <row r="5">
          <cell r="B5" t="str">
            <v>FuelOilPesado</v>
          </cell>
        </row>
        <row r="6">
          <cell r="B6" t="str">
            <v>GasNatural</v>
          </cell>
        </row>
        <row r="7">
          <cell r="B7" t="str">
            <v>GasOil</v>
          </cell>
        </row>
        <row r="8">
          <cell r="B8" t="str">
            <v>GLP</v>
          </cell>
        </row>
        <row r="9">
          <cell r="B9" t="str">
            <v>Leña</v>
          </cell>
        </row>
        <row r="10">
          <cell r="B10" t="str">
            <v>Nafta</v>
          </cell>
        </row>
        <row r="11">
          <cell r="B11" t="str">
            <v>Propano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Instalaciones"/>
      <sheetName val="Instrucciones MMEE"/>
      <sheetName val="MMEE"/>
      <sheetName val="Referencias_MMEE"/>
      <sheetName val="Resumen"/>
      <sheetName val="Vidas útiles máx"/>
      <sheetName val="Precios de referencia"/>
    </sheetNames>
    <sheetDataSet>
      <sheetData sheetId="0"/>
      <sheetData sheetId="1"/>
      <sheetData sheetId="2">
        <row r="7">
          <cell r="D7" t="str">
            <v>Nombre de instalación (fija o móvil)</v>
          </cell>
        </row>
        <row r="11">
          <cell r="BE11">
            <v>0</v>
          </cell>
        </row>
        <row r="12">
          <cell r="BE12">
            <v>0</v>
          </cell>
        </row>
        <row r="13">
          <cell r="BE13">
            <v>0</v>
          </cell>
        </row>
        <row r="14">
          <cell r="BE14">
            <v>0</v>
          </cell>
        </row>
        <row r="15">
          <cell r="BE15">
            <v>0</v>
          </cell>
        </row>
        <row r="16">
          <cell r="BE16">
            <v>0</v>
          </cell>
        </row>
        <row r="17">
          <cell r="BE17">
            <v>0</v>
          </cell>
        </row>
        <row r="18">
          <cell r="BE18">
            <v>0</v>
          </cell>
        </row>
        <row r="19">
          <cell r="BE19">
            <v>0</v>
          </cell>
        </row>
        <row r="20">
          <cell r="BE20">
            <v>0</v>
          </cell>
        </row>
        <row r="21">
          <cell r="BE21">
            <v>0</v>
          </cell>
        </row>
        <row r="22">
          <cell r="BE22">
            <v>0</v>
          </cell>
        </row>
        <row r="23">
          <cell r="BE23">
            <v>0</v>
          </cell>
        </row>
        <row r="24">
          <cell r="BE24">
            <v>0</v>
          </cell>
        </row>
        <row r="25">
          <cell r="BE25">
            <v>0</v>
          </cell>
        </row>
        <row r="26">
          <cell r="BE26">
            <v>0</v>
          </cell>
        </row>
        <row r="27">
          <cell r="BE27">
            <v>0</v>
          </cell>
        </row>
        <row r="28">
          <cell r="BE28">
            <v>0</v>
          </cell>
        </row>
        <row r="29">
          <cell r="BE29">
            <v>0</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Datos Instalaciones"/>
      <sheetName val="Instrucciones para hoja MMEE"/>
      <sheetName val="MMEE"/>
      <sheetName val="Vidas útiles máx"/>
      <sheetName val="Precios de referencia"/>
      <sheetName val="Ejemplos medidas"/>
    </sheetNames>
    <sheetDataSet>
      <sheetData sheetId="0"/>
      <sheetData sheetId="1"/>
      <sheetData sheetId="2"/>
      <sheetData sheetId="3">
        <row r="57">
          <cell r="U57">
            <v>7.9350000000000004E-4</v>
          </cell>
        </row>
      </sheetData>
      <sheetData sheetId="4"/>
      <sheetData sheetId="5">
        <row r="18">
          <cell r="D18">
            <v>2.0939999999999999</v>
          </cell>
        </row>
        <row r="57">
          <cell r="C57">
            <v>58.35</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mobility.uy/precios-y-financiacion/" TargetMode="External"/><Relationship Id="rId2" Type="http://schemas.openxmlformats.org/officeDocument/2006/relationships/hyperlink" Target="https://mobility.uy/precios-y-financiacion/" TargetMode="External"/><Relationship Id="rId1" Type="http://schemas.openxmlformats.org/officeDocument/2006/relationships/hyperlink" Target="https://mobility.uy/precios-y-financiacion/" TargetMode="Externa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U131"/>
  <sheetViews>
    <sheetView tabSelected="1" zoomScale="90" zoomScaleNormal="90" workbookViewId="0">
      <pane ySplit="4" topLeftCell="A5" activePane="bottomLeft" state="frozen"/>
      <selection pane="bottomLeft" activeCell="B1" sqref="B1"/>
    </sheetView>
  </sheetViews>
  <sheetFormatPr baseColWidth="10" defaultRowHeight="15" x14ac:dyDescent="0.25"/>
  <cols>
    <col min="1" max="1" width="1.5703125" style="576" customWidth="1"/>
    <col min="2" max="2" width="40.42578125" style="576" customWidth="1"/>
    <col min="3" max="3" width="35.7109375" style="576" customWidth="1"/>
    <col min="4" max="6" width="30.7109375" style="576" customWidth="1"/>
    <col min="7" max="7" width="18.7109375" style="576" customWidth="1"/>
    <col min="8" max="8" width="20.42578125" style="576" customWidth="1"/>
    <col min="9" max="9" width="13.5703125" style="576" customWidth="1"/>
    <col min="10" max="16384" width="11.42578125" style="576"/>
  </cols>
  <sheetData>
    <row r="1" spans="1:21" s="562" customFormat="1" ht="24.95" customHeight="1" x14ac:dyDescent="0.35">
      <c r="A1" s="557"/>
      <c r="B1" s="558" t="s">
        <v>503</v>
      </c>
      <c r="C1" s="559"/>
      <c r="D1" s="559"/>
      <c r="E1" s="559"/>
      <c r="F1" s="559"/>
      <c r="G1" s="560"/>
      <c r="H1" s="561"/>
      <c r="I1" s="561"/>
      <c r="J1" s="561"/>
      <c r="N1" s="561"/>
      <c r="O1" s="561"/>
      <c r="P1" s="561"/>
      <c r="Q1" s="561"/>
      <c r="R1" s="561"/>
      <c r="S1" s="561"/>
      <c r="T1" s="561"/>
      <c r="U1" s="561"/>
    </row>
    <row r="2" spans="1:21" s="567" customFormat="1" ht="5.0999999999999996" customHeight="1" x14ac:dyDescent="0.25">
      <c r="A2" s="563"/>
      <c r="B2" s="564"/>
      <c r="C2" s="564"/>
      <c r="D2" s="564"/>
      <c r="E2" s="564"/>
      <c r="F2" s="564"/>
      <c r="G2" s="565"/>
      <c r="H2" s="566"/>
      <c r="I2" s="566"/>
      <c r="J2" s="566"/>
      <c r="N2" s="566"/>
      <c r="O2" s="566"/>
      <c r="P2" s="566"/>
      <c r="Q2" s="566"/>
      <c r="R2" s="566"/>
      <c r="S2" s="566"/>
      <c r="T2" s="566"/>
      <c r="U2" s="566"/>
    </row>
    <row r="3" spans="1:21" s="571" customFormat="1" ht="15.75" x14ac:dyDescent="0.25">
      <c r="A3" s="568"/>
      <c r="B3" s="569" t="s">
        <v>504</v>
      </c>
      <c r="C3" s="569"/>
      <c r="D3" s="569"/>
      <c r="E3" s="569"/>
      <c r="F3" s="569"/>
      <c r="G3" s="570"/>
    </row>
    <row r="4" spans="1:21" ht="5.0999999999999996" customHeight="1" x14ac:dyDescent="0.25">
      <c r="A4" s="563"/>
      <c r="B4" s="572"/>
      <c r="C4" s="572"/>
      <c r="D4" s="573"/>
      <c r="E4" s="573"/>
      <c r="F4" s="574"/>
      <c r="G4" s="575"/>
    </row>
    <row r="5" spans="1:21" ht="15.75" x14ac:dyDescent="0.25">
      <c r="A5" s="577"/>
      <c r="B5" s="578" t="s">
        <v>505</v>
      </c>
      <c r="C5" s="574"/>
      <c r="D5" s="574"/>
      <c r="E5" s="574"/>
      <c r="F5" s="574"/>
      <c r="G5" s="575"/>
    </row>
    <row r="6" spans="1:21" ht="24.95" customHeight="1" x14ac:dyDescent="0.25">
      <c r="A6" s="575"/>
      <c r="B6" s="579" t="s">
        <v>506</v>
      </c>
      <c r="C6" s="580"/>
      <c r="D6" s="581" t="s">
        <v>507</v>
      </c>
      <c r="E6" s="582"/>
      <c r="G6" s="575"/>
    </row>
    <row r="7" spans="1:21" ht="24.95" customHeight="1" x14ac:dyDescent="0.25">
      <c r="A7" s="575"/>
      <c r="B7" s="579" t="s">
        <v>508</v>
      </c>
      <c r="C7" s="580"/>
      <c r="D7" s="581" t="s">
        <v>509</v>
      </c>
      <c r="E7" s="582"/>
      <c r="G7" s="575"/>
    </row>
    <row r="8" spans="1:21" ht="24.95" customHeight="1" x14ac:dyDescent="0.25">
      <c r="A8" s="575"/>
      <c r="B8" s="579" t="s">
        <v>510</v>
      </c>
      <c r="C8" s="583"/>
      <c r="D8" s="581" t="s">
        <v>511</v>
      </c>
      <c r="E8" s="582"/>
      <c r="G8" s="575"/>
    </row>
    <row r="9" spans="1:21" ht="24.95" customHeight="1" x14ac:dyDescent="0.25">
      <c r="A9" s="575"/>
      <c r="B9" s="579" t="s">
        <v>512</v>
      </c>
      <c r="C9" s="584" t="s">
        <v>17</v>
      </c>
      <c r="D9" s="581" t="s">
        <v>513</v>
      </c>
      <c r="E9" s="582"/>
      <c r="G9" s="575"/>
    </row>
    <row r="10" spans="1:21" ht="24.95" customHeight="1" x14ac:dyDescent="0.25">
      <c r="A10" s="575"/>
      <c r="B10" s="579" t="s">
        <v>514</v>
      </c>
      <c r="C10" s="584" t="s">
        <v>17</v>
      </c>
      <c r="D10" s="581" t="s">
        <v>515</v>
      </c>
      <c r="E10" s="582"/>
      <c r="G10" s="575"/>
    </row>
    <row r="11" spans="1:21" ht="24.95" customHeight="1" x14ac:dyDescent="0.25">
      <c r="A11" s="575"/>
      <c r="B11" s="579" t="s">
        <v>516</v>
      </c>
      <c r="C11" s="584" t="s">
        <v>517</v>
      </c>
      <c r="D11" s="581" t="s">
        <v>518</v>
      </c>
      <c r="E11" s="582"/>
      <c r="G11" s="575"/>
    </row>
    <row r="12" spans="1:21" s="566" customFormat="1" ht="15" customHeight="1" x14ac:dyDescent="0.25">
      <c r="A12" s="585"/>
      <c r="B12" s="586" t="s">
        <v>519</v>
      </c>
      <c r="C12" s="564"/>
      <c r="D12" s="564"/>
      <c r="E12" s="576"/>
      <c r="F12" s="564"/>
      <c r="G12" s="565"/>
    </row>
    <row r="13" spans="1:21" ht="24.95" customHeight="1" x14ac:dyDescent="0.25">
      <c r="A13" s="575"/>
      <c r="B13" s="579" t="s">
        <v>520</v>
      </c>
      <c r="C13" s="587"/>
      <c r="G13" s="575"/>
    </row>
    <row r="14" spans="1:21" ht="24.95" customHeight="1" x14ac:dyDescent="0.25">
      <c r="A14" s="575"/>
      <c r="B14" s="579" t="s">
        <v>521</v>
      </c>
      <c r="C14" s="587"/>
      <c r="G14" s="575"/>
    </row>
    <row r="15" spans="1:21" ht="24.95" customHeight="1" x14ac:dyDescent="0.25">
      <c r="A15" s="575"/>
      <c r="B15" s="579" t="s">
        <v>522</v>
      </c>
      <c r="C15" s="587"/>
      <c r="G15" s="575"/>
    </row>
    <row r="16" spans="1:21" ht="24.95" customHeight="1" x14ac:dyDescent="0.25">
      <c r="A16" s="575"/>
      <c r="B16" s="579" t="s">
        <v>19</v>
      </c>
      <c r="C16" s="588" t="s">
        <v>523</v>
      </c>
      <c r="G16" s="575"/>
    </row>
    <row r="17" spans="1:7" ht="15.75" x14ac:dyDescent="0.25">
      <c r="A17" s="575"/>
      <c r="B17" s="586" t="s">
        <v>524</v>
      </c>
      <c r="C17" s="589"/>
      <c r="D17" s="589"/>
      <c r="E17" s="589"/>
      <c r="F17" s="589"/>
      <c r="G17" s="575"/>
    </row>
    <row r="18" spans="1:7" ht="30" customHeight="1" x14ac:dyDescent="0.25">
      <c r="A18" s="575"/>
      <c r="B18" s="590" t="s">
        <v>525</v>
      </c>
      <c r="C18" s="580"/>
      <c r="D18" s="591"/>
      <c r="G18" s="575"/>
    </row>
    <row r="19" spans="1:7" ht="30" customHeight="1" x14ac:dyDescent="0.25">
      <c r="A19" s="575"/>
      <c r="B19" s="590" t="s">
        <v>526</v>
      </c>
      <c r="C19" s="580"/>
      <c r="D19" s="591"/>
      <c r="G19" s="575"/>
    </row>
    <row r="20" spans="1:7" ht="30" customHeight="1" x14ac:dyDescent="0.25">
      <c r="A20" s="575"/>
      <c r="B20" s="590" t="s">
        <v>527</v>
      </c>
      <c r="C20" s="588" t="s">
        <v>528</v>
      </c>
      <c r="D20" s="592" t="s">
        <v>529</v>
      </c>
      <c r="G20" s="575"/>
    </row>
    <row r="21" spans="1:7" ht="30" customHeight="1" x14ac:dyDescent="0.25">
      <c r="A21" s="575"/>
      <c r="B21" s="590" t="s">
        <v>530</v>
      </c>
      <c r="C21" s="588" t="s">
        <v>528</v>
      </c>
      <c r="D21" s="592" t="s">
        <v>531</v>
      </c>
      <c r="G21" s="575"/>
    </row>
    <row r="22" spans="1:7" ht="30" customHeight="1" x14ac:dyDescent="0.25">
      <c r="A22" s="575"/>
      <c r="B22" s="590" t="s">
        <v>532</v>
      </c>
      <c r="C22" s="588" t="s">
        <v>528</v>
      </c>
      <c r="G22" s="575"/>
    </row>
    <row r="23" spans="1:7" ht="8.1" customHeight="1" x14ac:dyDescent="0.25">
      <c r="A23" s="575"/>
      <c r="B23" s="593"/>
      <c r="C23" s="594"/>
      <c r="G23" s="575"/>
    </row>
    <row r="24" spans="1:7" ht="15.75" x14ac:dyDescent="0.25">
      <c r="A24" s="575"/>
      <c r="B24" s="595" t="s">
        <v>533</v>
      </c>
      <c r="C24" s="589"/>
      <c r="D24" s="589"/>
      <c r="E24" s="589"/>
      <c r="F24" s="589"/>
      <c r="G24" s="575"/>
    </row>
    <row r="25" spans="1:7" ht="6" customHeight="1" x14ac:dyDescent="0.25">
      <c r="A25" s="575"/>
      <c r="B25" s="629"/>
      <c r="C25" s="629"/>
      <c r="D25" s="573"/>
      <c r="E25" s="573"/>
      <c r="F25" s="573"/>
      <c r="G25" s="575"/>
    </row>
    <row r="26" spans="1:7" ht="12.75" customHeight="1" x14ac:dyDescent="0.25">
      <c r="A26" s="575"/>
      <c r="B26" s="564" t="s">
        <v>534</v>
      </c>
      <c r="C26" s="596"/>
      <c r="D26" s="573"/>
      <c r="E26" s="573"/>
      <c r="F26" s="573"/>
      <c r="G26" s="575"/>
    </row>
    <row r="27" spans="1:7" ht="6" customHeight="1" x14ac:dyDescent="0.25">
      <c r="A27" s="575"/>
      <c r="B27" s="629"/>
      <c r="C27" s="629"/>
      <c r="D27" s="573"/>
      <c r="E27" s="573"/>
      <c r="F27" s="573"/>
      <c r="G27" s="575"/>
    </row>
    <row r="28" spans="1:7" ht="20.100000000000001" customHeight="1" x14ac:dyDescent="0.25">
      <c r="A28" s="575"/>
      <c r="B28" s="597"/>
      <c r="C28" s="598" t="s">
        <v>535</v>
      </c>
      <c r="D28" s="598" t="s">
        <v>536</v>
      </c>
      <c r="E28" s="598" t="s">
        <v>537</v>
      </c>
      <c r="F28" s="598" t="s">
        <v>538</v>
      </c>
      <c r="G28" s="575"/>
    </row>
    <row r="29" spans="1:7" s="604" customFormat="1" ht="32.1" customHeight="1" x14ac:dyDescent="0.25">
      <c r="A29" s="599"/>
      <c r="B29" s="600" t="s">
        <v>539</v>
      </c>
      <c r="C29" s="601"/>
      <c r="D29" s="602"/>
      <c r="E29" s="602"/>
      <c r="F29" s="603"/>
      <c r="G29" s="599"/>
    </row>
    <row r="30" spans="1:7" s="604" customFormat="1" ht="32.1" customHeight="1" x14ac:dyDescent="0.25">
      <c r="A30" s="599"/>
      <c r="B30" s="605" t="s">
        <v>540</v>
      </c>
      <c r="C30" s="601"/>
      <c r="D30" s="602"/>
      <c r="E30" s="602"/>
      <c r="F30" s="603"/>
      <c r="G30" s="599"/>
    </row>
    <row r="31" spans="1:7" s="604" customFormat="1" ht="32.1" customHeight="1" x14ac:dyDescent="0.25">
      <c r="A31" s="599"/>
      <c r="B31" s="605" t="s">
        <v>541</v>
      </c>
      <c r="C31" s="601"/>
      <c r="D31" s="602"/>
      <c r="E31" s="602"/>
      <c r="F31" s="603"/>
      <c r="G31" s="599"/>
    </row>
    <row r="32" spans="1:7" s="604" customFormat="1" ht="45" x14ac:dyDescent="0.25">
      <c r="A32" s="599"/>
      <c r="B32" s="605" t="s">
        <v>542</v>
      </c>
      <c r="C32" s="601"/>
      <c r="D32" s="606"/>
      <c r="E32" s="602"/>
      <c r="F32" s="603"/>
      <c r="G32" s="599"/>
    </row>
    <row r="33" spans="1:8" s="604" customFormat="1" ht="45" x14ac:dyDescent="0.25">
      <c r="A33" s="599"/>
      <c r="B33" s="605" t="s">
        <v>543</v>
      </c>
      <c r="C33" s="601"/>
      <c r="D33" s="602"/>
      <c r="E33" s="602"/>
      <c r="F33" s="603"/>
      <c r="G33" s="599"/>
    </row>
    <row r="34" spans="1:8" s="604" customFormat="1" ht="32.1" hidden="1" customHeight="1" x14ac:dyDescent="0.25">
      <c r="A34" s="599"/>
      <c r="B34" s="607" t="s">
        <v>544</v>
      </c>
      <c r="C34" s="608"/>
      <c r="D34" s="609"/>
      <c r="E34" s="610"/>
      <c r="F34" s="611"/>
      <c r="G34" s="599"/>
    </row>
    <row r="35" spans="1:8" ht="12.75" hidden="1" customHeight="1" x14ac:dyDescent="0.25">
      <c r="A35" s="575"/>
      <c r="B35" s="573"/>
      <c r="C35" s="596"/>
      <c r="D35" s="573"/>
      <c r="E35" s="573"/>
      <c r="F35" s="573"/>
      <c r="G35" s="575"/>
    </row>
    <row r="36" spans="1:8" ht="8.1" hidden="1" customHeight="1" x14ac:dyDescent="0.25">
      <c r="A36" s="575"/>
      <c r="B36" s="630"/>
      <c r="C36" s="630"/>
      <c r="G36" s="575"/>
    </row>
    <row r="37" spans="1:8" ht="6" customHeight="1" x14ac:dyDescent="0.25">
      <c r="B37" s="631"/>
      <c r="C37" s="631"/>
    </row>
    <row r="38" spans="1:8" s="612" customFormat="1" x14ac:dyDescent="0.25">
      <c r="B38" s="613" t="s">
        <v>12</v>
      </c>
    </row>
    <row r="39" spans="1:8" s="573" customFormat="1" x14ac:dyDescent="0.25"/>
    <row r="40" spans="1:8" s="573" customFormat="1" x14ac:dyDescent="0.25"/>
    <row r="41" spans="1:8" s="573" customFormat="1" hidden="1" x14ac:dyDescent="0.25">
      <c r="B41" s="614" t="s">
        <v>19</v>
      </c>
      <c r="F41" s="615"/>
      <c r="G41" s="615"/>
      <c r="H41" s="615"/>
    </row>
    <row r="42" spans="1:8" s="573" customFormat="1" hidden="1" x14ac:dyDescent="0.25">
      <c r="B42" s="616" t="s">
        <v>523</v>
      </c>
      <c r="C42" s="614" t="s">
        <v>545</v>
      </c>
      <c r="D42" s="614" t="s">
        <v>546</v>
      </c>
      <c r="E42" s="614" t="s">
        <v>547</v>
      </c>
      <c r="F42" s="617"/>
      <c r="G42" s="617"/>
      <c r="H42" s="617"/>
    </row>
    <row r="43" spans="1:8" s="573" customFormat="1" hidden="1" x14ac:dyDescent="0.25">
      <c r="B43" s="618" t="s">
        <v>27</v>
      </c>
      <c r="C43" s="616" t="s">
        <v>528</v>
      </c>
      <c r="D43" s="616" t="s">
        <v>17</v>
      </c>
      <c r="E43" s="616" t="s">
        <v>517</v>
      </c>
      <c r="F43" s="619"/>
      <c r="G43" s="620"/>
      <c r="H43" s="620"/>
    </row>
    <row r="44" spans="1:8" s="573" customFormat="1" hidden="1" x14ac:dyDescent="0.25">
      <c r="B44" s="618" t="s">
        <v>28</v>
      </c>
      <c r="C44" s="618" t="s">
        <v>548</v>
      </c>
      <c r="D44" s="573" t="s">
        <v>549</v>
      </c>
      <c r="E44" s="618" t="s">
        <v>550</v>
      </c>
      <c r="F44" s="619"/>
      <c r="G44" s="620"/>
      <c r="H44" s="620"/>
    </row>
    <row r="45" spans="1:8" s="573" customFormat="1" hidden="1" x14ac:dyDescent="0.25">
      <c r="B45" s="618" t="s">
        <v>29</v>
      </c>
      <c r="C45" s="618" t="s">
        <v>551</v>
      </c>
      <c r="D45" s="573" t="s">
        <v>552</v>
      </c>
      <c r="E45" s="618" t="s">
        <v>553</v>
      </c>
      <c r="F45" s="619"/>
      <c r="G45" s="620"/>
      <c r="H45" s="621"/>
    </row>
    <row r="46" spans="1:8" s="573" customFormat="1" hidden="1" x14ac:dyDescent="0.25">
      <c r="B46" s="618" t="s">
        <v>30</v>
      </c>
      <c r="C46" s="618" t="s">
        <v>554</v>
      </c>
      <c r="D46" s="573" t="s">
        <v>555</v>
      </c>
      <c r="E46" s="618" t="s">
        <v>556</v>
      </c>
      <c r="F46" s="619"/>
      <c r="G46" s="620"/>
      <c r="H46" s="621"/>
    </row>
    <row r="47" spans="1:8" s="573" customFormat="1" hidden="1" x14ac:dyDescent="0.25">
      <c r="B47" s="618" t="s">
        <v>31</v>
      </c>
      <c r="C47" s="618" t="s">
        <v>557</v>
      </c>
      <c r="D47" s="573" t="s">
        <v>558</v>
      </c>
      <c r="E47" s="618" t="s">
        <v>559</v>
      </c>
      <c r="F47" s="619"/>
      <c r="G47" s="620"/>
      <c r="H47" s="621"/>
    </row>
    <row r="48" spans="1:8" s="573" customFormat="1" hidden="1" x14ac:dyDescent="0.25">
      <c r="B48" s="618" t="s">
        <v>32</v>
      </c>
      <c r="C48" s="622" t="s">
        <v>560</v>
      </c>
      <c r="D48" s="573" t="s">
        <v>561</v>
      </c>
      <c r="E48" s="618" t="s">
        <v>562</v>
      </c>
      <c r="F48" s="619"/>
      <c r="G48" s="620"/>
      <c r="H48" s="621"/>
    </row>
    <row r="49" spans="2:8" s="573" customFormat="1" hidden="1" x14ac:dyDescent="0.25">
      <c r="B49" s="618" t="s">
        <v>33</v>
      </c>
      <c r="C49" s="616" t="s">
        <v>528</v>
      </c>
      <c r="D49" s="573" t="s">
        <v>563</v>
      </c>
      <c r="E49" s="618" t="s">
        <v>564</v>
      </c>
      <c r="F49" s="619"/>
      <c r="G49" s="620"/>
      <c r="H49" s="621"/>
    </row>
    <row r="50" spans="2:8" s="573" customFormat="1" hidden="1" x14ac:dyDescent="0.25">
      <c r="B50" s="618" t="s">
        <v>34</v>
      </c>
      <c r="C50" s="623" t="s">
        <v>565</v>
      </c>
      <c r="D50" s="573" t="s">
        <v>566</v>
      </c>
      <c r="E50" s="618" t="s">
        <v>567</v>
      </c>
      <c r="F50" s="619"/>
      <c r="G50" s="620"/>
      <c r="H50" s="621"/>
    </row>
    <row r="51" spans="2:8" s="573" customFormat="1" hidden="1" x14ac:dyDescent="0.25">
      <c r="B51" s="618" t="s">
        <v>35</v>
      </c>
      <c r="C51" s="623" t="s">
        <v>568</v>
      </c>
      <c r="E51" s="618" t="s">
        <v>569</v>
      </c>
      <c r="F51" s="621"/>
      <c r="G51" s="620"/>
      <c r="H51" s="621"/>
    </row>
    <row r="52" spans="2:8" s="573" customFormat="1" hidden="1" x14ac:dyDescent="0.25">
      <c r="B52" s="618" t="s">
        <v>36</v>
      </c>
      <c r="C52" s="623" t="s">
        <v>570</v>
      </c>
      <c r="D52" s="624" t="s">
        <v>571</v>
      </c>
      <c r="E52" s="618" t="s">
        <v>572</v>
      </c>
      <c r="F52" s="621"/>
      <c r="G52" s="620"/>
      <c r="H52" s="621"/>
    </row>
    <row r="53" spans="2:8" s="573" customFormat="1" hidden="1" x14ac:dyDescent="0.25">
      <c r="B53" s="618" t="s">
        <v>37</v>
      </c>
      <c r="C53" s="623" t="s">
        <v>573</v>
      </c>
      <c r="D53" s="616" t="s">
        <v>17</v>
      </c>
      <c r="E53" s="618" t="s">
        <v>574</v>
      </c>
      <c r="F53" s="621"/>
      <c r="G53" s="620"/>
      <c r="H53" s="621"/>
    </row>
    <row r="54" spans="2:8" s="573" customFormat="1" hidden="1" x14ac:dyDescent="0.25">
      <c r="B54" s="618" t="s">
        <v>38</v>
      </c>
      <c r="C54" s="614" t="s">
        <v>575</v>
      </c>
      <c r="D54" s="573" t="s">
        <v>576</v>
      </c>
      <c r="E54" s="618" t="s">
        <v>577</v>
      </c>
      <c r="F54" s="621"/>
      <c r="G54" s="620"/>
      <c r="H54" s="621"/>
    </row>
    <row r="55" spans="2:8" s="573" customFormat="1" hidden="1" x14ac:dyDescent="0.25">
      <c r="B55" s="618" t="s">
        <v>39</v>
      </c>
      <c r="C55" s="625" t="s">
        <v>528</v>
      </c>
      <c r="D55" s="573" t="s">
        <v>578</v>
      </c>
      <c r="E55" s="618" t="s">
        <v>579</v>
      </c>
      <c r="F55" s="621"/>
      <c r="G55" s="620"/>
      <c r="H55" s="621"/>
    </row>
    <row r="56" spans="2:8" s="573" customFormat="1" hidden="1" x14ac:dyDescent="0.25">
      <c r="B56" s="618" t="s">
        <v>40</v>
      </c>
      <c r="C56" s="626" t="s">
        <v>63</v>
      </c>
      <c r="D56" s="573" t="s">
        <v>580</v>
      </c>
      <c r="E56" s="618" t="s">
        <v>581</v>
      </c>
      <c r="F56" s="621"/>
      <c r="G56" s="620"/>
      <c r="H56" s="621"/>
    </row>
    <row r="57" spans="2:8" s="573" customFormat="1" hidden="1" x14ac:dyDescent="0.25">
      <c r="B57" s="618" t="s">
        <v>41</v>
      </c>
      <c r="C57" s="626" t="s">
        <v>65</v>
      </c>
      <c r="D57" s="573" t="s">
        <v>582</v>
      </c>
      <c r="E57" s="618" t="s">
        <v>583</v>
      </c>
      <c r="F57" s="621"/>
      <c r="G57" s="620"/>
      <c r="H57" s="621"/>
    </row>
    <row r="58" spans="2:8" s="573" customFormat="1" hidden="1" x14ac:dyDescent="0.25">
      <c r="B58" s="618" t="s">
        <v>42</v>
      </c>
      <c r="D58" s="573" t="s">
        <v>584</v>
      </c>
      <c r="E58" s="618" t="s">
        <v>585</v>
      </c>
      <c r="F58" s="621"/>
      <c r="G58" s="620"/>
      <c r="H58" s="621"/>
    </row>
    <row r="59" spans="2:8" s="573" customFormat="1" hidden="1" x14ac:dyDescent="0.25">
      <c r="B59" s="618" t="s">
        <v>43</v>
      </c>
      <c r="E59" s="618" t="s">
        <v>586</v>
      </c>
      <c r="F59" s="621"/>
      <c r="G59" s="620"/>
      <c r="H59" s="621"/>
    </row>
    <row r="60" spans="2:8" s="573" customFormat="1" hidden="1" x14ac:dyDescent="0.25">
      <c r="B60" s="618" t="s">
        <v>44</v>
      </c>
      <c r="E60" s="618" t="s">
        <v>587</v>
      </c>
      <c r="F60" s="621"/>
      <c r="G60" s="620"/>
      <c r="H60" s="621"/>
    </row>
    <row r="61" spans="2:8" s="573" customFormat="1" hidden="1" x14ac:dyDescent="0.25">
      <c r="B61" s="618" t="s">
        <v>45</v>
      </c>
      <c r="E61" s="618" t="s">
        <v>588</v>
      </c>
      <c r="F61" s="621"/>
      <c r="G61" s="620"/>
      <c r="H61" s="621"/>
    </row>
    <row r="62" spans="2:8" s="573" customFormat="1" hidden="1" x14ac:dyDescent="0.25">
      <c r="E62" s="618" t="s">
        <v>589</v>
      </c>
      <c r="F62" s="621"/>
      <c r="G62" s="621"/>
      <c r="H62" s="621"/>
    </row>
    <row r="63" spans="2:8" s="573" customFormat="1" hidden="1" x14ac:dyDescent="0.25">
      <c r="E63" s="618" t="s">
        <v>590</v>
      </c>
      <c r="F63" s="621"/>
      <c r="G63" s="620"/>
      <c r="H63" s="621"/>
    </row>
    <row r="64" spans="2:8" s="573" customFormat="1" hidden="1" x14ac:dyDescent="0.25">
      <c r="E64" s="618" t="s">
        <v>591</v>
      </c>
      <c r="F64" s="621"/>
      <c r="G64" s="620"/>
      <c r="H64" s="621"/>
    </row>
    <row r="65" spans="4:8" s="573" customFormat="1" hidden="1" x14ac:dyDescent="0.25">
      <c r="E65" s="618" t="s">
        <v>592</v>
      </c>
      <c r="F65" s="621"/>
      <c r="G65" s="621"/>
      <c r="H65" s="621"/>
    </row>
    <row r="66" spans="4:8" s="573" customFormat="1" hidden="1" x14ac:dyDescent="0.25">
      <c r="E66" s="618" t="s">
        <v>593</v>
      </c>
      <c r="F66" s="621"/>
      <c r="G66" s="620"/>
      <c r="H66" s="621"/>
    </row>
    <row r="67" spans="4:8" s="573" customFormat="1" hidden="1" x14ac:dyDescent="0.25">
      <c r="E67" s="618" t="s">
        <v>594</v>
      </c>
      <c r="F67" s="621"/>
      <c r="G67" s="620"/>
      <c r="H67" s="621"/>
    </row>
    <row r="68" spans="4:8" s="573" customFormat="1" hidden="1" x14ac:dyDescent="0.25">
      <c r="E68" s="618" t="s">
        <v>595</v>
      </c>
    </row>
    <row r="69" spans="4:8" s="573" customFormat="1" hidden="1" x14ac:dyDescent="0.25">
      <c r="E69" s="618" t="s">
        <v>596</v>
      </c>
    </row>
    <row r="70" spans="4:8" s="573" customFormat="1" hidden="1" x14ac:dyDescent="0.25">
      <c r="D70" s="627"/>
      <c r="E70" s="628" t="s">
        <v>597</v>
      </c>
    </row>
    <row r="71" spans="4:8" s="573" customFormat="1" hidden="1" x14ac:dyDescent="0.25">
      <c r="D71" s="627"/>
      <c r="E71" s="628" t="s">
        <v>598</v>
      </c>
    </row>
    <row r="72" spans="4:8" s="573" customFormat="1" hidden="1" x14ac:dyDescent="0.25">
      <c r="D72" s="627"/>
      <c r="E72" s="628" t="s">
        <v>599</v>
      </c>
    </row>
    <row r="73" spans="4:8" s="573" customFormat="1" hidden="1" x14ac:dyDescent="0.25">
      <c r="D73" s="627"/>
      <c r="E73" s="628" t="s">
        <v>600</v>
      </c>
    </row>
    <row r="74" spans="4:8" s="573" customFormat="1" hidden="1" x14ac:dyDescent="0.25">
      <c r="D74" s="627"/>
      <c r="E74" s="628" t="s">
        <v>601</v>
      </c>
    </row>
    <row r="75" spans="4:8" s="573" customFormat="1" hidden="1" x14ac:dyDescent="0.25">
      <c r="D75" s="627"/>
      <c r="E75" s="628" t="s">
        <v>602</v>
      </c>
    </row>
    <row r="76" spans="4:8" s="573" customFormat="1" hidden="1" x14ac:dyDescent="0.25">
      <c r="D76" s="627"/>
      <c r="E76" s="628" t="s">
        <v>603</v>
      </c>
    </row>
    <row r="77" spans="4:8" s="573" customFormat="1" hidden="1" x14ac:dyDescent="0.25">
      <c r="D77" s="627"/>
      <c r="E77" s="628" t="s">
        <v>604</v>
      </c>
    </row>
    <row r="78" spans="4:8" s="573" customFormat="1" hidden="1" x14ac:dyDescent="0.25">
      <c r="D78" s="627"/>
      <c r="E78" s="628" t="s">
        <v>605</v>
      </c>
    </row>
    <row r="79" spans="4:8" s="573" customFormat="1" hidden="1" x14ac:dyDescent="0.25">
      <c r="D79" s="627"/>
      <c r="E79" s="628" t="s">
        <v>606</v>
      </c>
    </row>
    <row r="80" spans="4:8" s="573" customFormat="1" hidden="1" x14ac:dyDescent="0.25">
      <c r="D80" s="627"/>
      <c r="E80" s="628" t="s">
        <v>607</v>
      </c>
    </row>
    <row r="81" spans="4:5" s="573" customFormat="1" hidden="1" x14ac:dyDescent="0.25">
      <c r="D81" s="627"/>
      <c r="E81" s="628" t="s">
        <v>608</v>
      </c>
    </row>
    <row r="82" spans="4:5" s="573" customFormat="1" hidden="1" x14ac:dyDescent="0.25">
      <c r="D82" s="627"/>
      <c r="E82" s="628" t="s">
        <v>609</v>
      </c>
    </row>
    <row r="83" spans="4:5" s="573" customFormat="1" hidden="1" x14ac:dyDescent="0.25">
      <c r="D83" s="627"/>
      <c r="E83" s="628" t="s">
        <v>610</v>
      </c>
    </row>
    <row r="84" spans="4:5" s="573" customFormat="1" hidden="1" x14ac:dyDescent="0.25">
      <c r="D84" s="627"/>
      <c r="E84" s="628" t="s">
        <v>611</v>
      </c>
    </row>
    <row r="85" spans="4:5" s="573" customFormat="1" hidden="1" x14ac:dyDescent="0.25">
      <c r="D85" s="627"/>
      <c r="E85" s="628" t="s">
        <v>612</v>
      </c>
    </row>
    <row r="86" spans="4:5" s="573" customFormat="1" hidden="1" x14ac:dyDescent="0.25">
      <c r="D86" s="627"/>
      <c r="E86" s="628" t="s">
        <v>613</v>
      </c>
    </row>
    <row r="87" spans="4:5" s="573" customFormat="1" hidden="1" x14ac:dyDescent="0.25">
      <c r="D87" s="627"/>
      <c r="E87" s="628" t="s">
        <v>614</v>
      </c>
    </row>
    <row r="88" spans="4:5" s="573" customFormat="1" hidden="1" x14ac:dyDescent="0.25">
      <c r="D88" s="627"/>
      <c r="E88" s="628" t="s">
        <v>615</v>
      </c>
    </row>
    <row r="89" spans="4:5" s="573" customFormat="1" hidden="1" x14ac:dyDescent="0.25">
      <c r="D89" s="627"/>
      <c r="E89" s="628" t="s">
        <v>616</v>
      </c>
    </row>
    <row r="90" spans="4:5" s="573" customFormat="1" hidden="1" x14ac:dyDescent="0.25">
      <c r="D90" s="627"/>
      <c r="E90" s="628" t="s">
        <v>617</v>
      </c>
    </row>
    <row r="91" spans="4:5" s="573" customFormat="1" hidden="1" x14ac:dyDescent="0.25">
      <c r="D91" s="627"/>
      <c r="E91" s="628" t="s">
        <v>618</v>
      </c>
    </row>
    <row r="92" spans="4:5" s="573" customFormat="1" hidden="1" x14ac:dyDescent="0.25">
      <c r="D92" s="627"/>
      <c r="E92" s="628" t="s">
        <v>619</v>
      </c>
    </row>
    <row r="93" spans="4:5" s="573" customFormat="1" hidden="1" x14ac:dyDescent="0.25">
      <c r="E93" s="618" t="s">
        <v>620</v>
      </c>
    </row>
    <row r="94" spans="4:5" s="573" customFormat="1" hidden="1" x14ac:dyDescent="0.25">
      <c r="E94" s="618" t="s">
        <v>621</v>
      </c>
    </row>
    <row r="95" spans="4:5" s="573" customFormat="1" hidden="1" x14ac:dyDescent="0.25">
      <c r="E95" s="618" t="s">
        <v>622</v>
      </c>
    </row>
    <row r="96" spans="4:5" s="573" customFormat="1" hidden="1" x14ac:dyDescent="0.25">
      <c r="E96" s="618" t="s">
        <v>623</v>
      </c>
    </row>
    <row r="97" spans="5:5" s="573" customFormat="1" hidden="1" x14ac:dyDescent="0.25">
      <c r="E97" s="618" t="s">
        <v>624</v>
      </c>
    </row>
    <row r="98" spans="5:5" s="573" customFormat="1" hidden="1" x14ac:dyDescent="0.25">
      <c r="E98" s="618" t="s">
        <v>625</v>
      </c>
    </row>
    <row r="99" spans="5:5" s="573" customFormat="1" hidden="1" x14ac:dyDescent="0.25">
      <c r="E99" s="618" t="s">
        <v>626</v>
      </c>
    </row>
    <row r="100" spans="5:5" s="573" customFormat="1" hidden="1" x14ac:dyDescent="0.25">
      <c r="E100" s="618" t="s">
        <v>627</v>
      </c>
    </row>
    <row r="101" spans="5:5" s="573" customFormat="1" hidden="1" x14ac:dyDescent="0.25">
      <c r="E101" s="618" t="s">
        <v>628</v>
      </c>
    </row>
    <row r="102" spans="5:5" s="573" customFormat="1" hidden="1" x14ac:dyDescent="0.25">
      <c r="E102" s="618" t="s">
        <v>629</v>
      </c>
    </row>
    <row r="103" spans="5:5" s="573" customFormat="1" hidden="1" x14ac:dyDescent="0.25">
      <c r="E103" s="618" t="s">
        <v>630</v>
      </c>
    </row>
    <row r="104" spans="5:5" s="573" customFormat="1" hidden="1" x14ac:dyDescent="0.25">
      <c r="E104" s="618" t="s">
        <v>631</v>
      </c>
    </row>
    <row r="105" spans="5:5" s="573" customFormat="1" hidden="1" x14ac:dyDescent="0.25">
      <c r="E105" s="618" t="s">
        <v>632</v>
      </c>
    </row>
    <row r="106" spans="5:5" s="573" customFormat="1" hidden="1" x14ac:dyDescent="0.25">
      <c r="E106" s="618" t="s">
        <v>633</v>
      </c>
    </row>
    <row r="107" spans="5:5" s="573" customFormat="1" hidden="1" x14ac:dyDescent="0.25">
      <c r="E107" s="618" t="s">
        <v>634</v>
      </c>
    </row>
    <row r="108" spans="5:5" s="573" customFormat="1" hidden="1" x14ac:dyDescent="0.25">
      <c r="E108" s="618" t="s">
        <v>635</v>
      </c>
    </row>
    <row r="109" spans="5:5" s="573" customFormat="1" hidden="1" x14ac:dyDescent="0.25">
      <c r="E109" s="618" t="s">
        <v>636</v>
      </c>
    </row>
    <row r="110" spans="5:5" s="573" customFormat="1" hidden="1" x14ac:dyDescent="0.25">
      <c r="E110" s="618" t="s">
        <v>637</v>
      </c>
    </row>
    <row r="111" spans="5:5" s="573" customFormat="1" hidden="1" x14ac:dyDescent="0.25">
      <c r="E111" s="618" t="s">
        <v>638</v>
      </c>
    </row>
    <row r="112" spans="5:5" s="573" customFormat="1" hidden="1" x14ac:dyDescent="0.25">
      <c r="E112" s="618" t="s">
        <v>639</v>
      </c>
    </row>
    <row r="113" spans="5:5" s="573" customFormat="1" hidden="1" x14ac:dyDescent="0.25">
      <c r="E113" s="618" t="s">
        <v>640</v>
      </c>
    </row>
    <row r="114" spans="5:5" s="573" customFormat="1" hidden="1" x14ac:dyDescent="0.25">
      <c r="E114" s="618" t="s">
        <v>641</v>
      </c>
    </row>
    <row r="115" spans="5:5" s="573" customFormat="1" hidden="1" x14ac:dyDescent="0.25">
      <c r="E115" s="618" t="s">
        <v>642</v>
      </c>
    </row>
    <row r="116" spans="5:5" s="573" customFormat="1" hidden="1" x14ac:dyDescent="0.25">
      <c r="E116" s="618" t="s">
        <v>643</v>
      </c>
    </row>
    <row r="117" spans="5:5" s="573" customFormat="1" hidden="1" x14ac:dyDescent="0.25">
      <c r="E117" s="618" t="s">
        <v>644</v>
      </c>
    </row>
    <row r="118" spans="5:5" s="573" customFormat="1" hidden="1" x14ac:dyDescent="0.25">
      <c r="E118" s="618" t="s">
        <v>645</v>
      </c>
    </row>
    <row r="119" spans="5:5" s="573" customFormat="1" hidden="1" x14ac:dyDescent="0.25">
      <c r="E119" s="618" t="s">
        <v>646</v>
      </c>
    </row>
    <row r="120" spans="5:5" s="573" customFormat="1" hidden="1" x14ac:dyDescent="0.25">
      <c r="E120" s="618" t="s">
        <v>647</v>
      </c>
    </row>
    <row r="121" spans="5:5" s="573" customFormat="1" hidden="1" x14ac:dyDescent="0.25">
      <c r="E121" s="618" t="s">
        <v>648</v>
      </c>
    </row>
    <row r="122" spans="5:5" s="573" customFormat="1" hidden="1" x14ac:dyDescent="0.25">
      <c r="E122" s="618" t="s">
        <v>649</v>
      </c>
    </row>
    <row r="123" spans="5:5" s="573" customFormat="1" hidden="1" x14ac:dyDescent="0.25">
      <c r="E123" s="618" t="s">
        <v>650</v>
      </c>
    </row>
    <row r="124" spans="5:5" s="573" customFormat="1" hidden="1" x14ac:dyDescent="0.25">
      <c r="E124" s="618" t="s">
        <v>651</v>
      </c>
    </row>
    <row r="125" spans="5:5" s="573" customFormat="1" hidden="1" x14ac:dyDescent="0.25">
      <c r="E125" s="618" t="s">
        <v>652</v>
      </c>
    </row>
    <row r="126" spans="5:5" s="573" customFormat="1" hidden="1" x14ac:dyDescent="0.25">
      <c r="E126" s="618" t="s">
        <v>653</v>
      </c>
    </row>
    <row r="127" spans="5:5" s="573" customFormat="1" hidden="1" x14ac:dyDescent="0.25">
      <c r="E127" s="618" t="s">
        <v>654</v>
      </c>
    </row>
    <row r="128" spans="5:5" s="573" customFormat="1" hidden="1" x14ac:dyDescent="0.25">
      <c r="E128" s="618" t="s">
        <v>655</v>
      </c>
    </row>
    <row r="129" spans="5:5" s="573" customFormat="1" hidden="1" x14ac:dyDescent="0.25">
      <c r="E129" s="618" t="s">
        <v>656</v>
      </c>
    </row>
    <row r="130" spans="5:5" s="573" customFormat="1" hidden="1" x14ac:dyDescent="0.25">
      <c r="E130" s="618" t="s">
        <v>657</v>
      </c>
    </row>
    <row r="131" spans="5:5" s="573" customFormat="1" hidden="1" x14ac:dyDescent="0.25">
      <c r="E131" s="618" t="s">
        <v>658</v>
      </c>
    </row>
  </sheetData>
  <sheetProtection algorithmName="SHA-512" hashValue="4E+fwe1Z14zQPrFS/+JRvxFlXrtxsy7m2Z6cf8qDz0vt6hEjCvE6R5F0DMUekR6kbHb36E99kF9ocuBMsC7T7Q==" saltValue="Kn7Ia4JZQvN+vRixW7wMwQ==" spinCount="100000" sheet="1" objects="1" scenarios="1"/>
  <mergeCells count="4">
    <mergeCell ref="B25:C25"/>
    <mergeCell ref="B27:C27"/>
    <mergeCell ref="B36:C36"/>
    <mergeCell ref="B37:C37"/>
  </mergeCells>
  <dataValidations count="7">
    <dataValidation type="list" allowBlank="1" showInputMessage="1" showErrorMessage="1" sqref="C22" xr:uid="{00000000-0002-0000-0000-000000000000}">
      <formula1>$C$55:$C$57</formula1>
    </dataValidation>
    <dataValidation type="list" allowBlank="1" showInputMessage="1" showErrorMessage="1" sqref="C20" xr:uid="{00000000-0002-0000-0000-000001000000}">
      <formula1>$C$49:$C$53</formula1>
    </dataValidation>
    <dataValidation type="list" allowBlank="1" showInputMessage="1" showErrorMessage="1" sqref="C21" xr:uid="{00000000-0002-0000-0000-000002000000}">
      <formula1>$C$43:$C$47</formula1>
    </dataValidation>
    <dataValidation type="list" allowBlank="1" showInputMessage="1" showErrorMessage="1" sqref="C16" xr:uid="{00000000-0002-0000-0000-000003000000}">
      <formula1>$B$42:$B$61</formula1>
    </dataValidation>
    <dataValidation type="list" allowBlank="1" showInputMessage="1" showErrorMessage="1" sqref="C11" xr:uid="{00000000-0002-0000-0000-000004000000}">
      <formula1>$E$43:$E$131</formula1>
    </dataValidation>
    <dataValidation type="list" allowBlank="1" showInputMessage="1" showErrorMessage="1" sqref="C9" xr:uid="{00000000-0002-0000-0000-000005000000}">
      <formula1>$D$43:$D$50</formula1>
    </dataValidation>
    <dataValidation type="list" allowBlank="1" showInputMessage="1" showErrorMessage="1" sqref="C10" xr:uid="{00000000-0002-0000-0000-000006000000}">
      <formula1>$D$53:$D$58</formula1>
    </dataValidation>
  </dataValidations>
  <pageMargins left="0.7" right="0.7" top="0.75" bottom="0.75" header="0.3" footer="0.3"/>
  <pageSetup paperSize="9" scale="51"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D77"/>
  <sheetViews>
    <sheetView zoomScale="80" zoomScaleNormal="80" workbookViewId="0">
      <pane xSplit="5" topLeftCell="F1" activePane="topRight" state="frozen"/>
      <selection pane="topRight" activeCell="B1" sqref="B1"/>
    </sheetView>
  </sheetViews>
  <sheetFormatPr baseColWidth="10" defaultColWidth="14.42578125" defaultRowHeight="15" customHeight="1" x14ac:dyDescent="0.2"/>
  <cols>
    <col min="1" max="1" width="1.5703125" style="107" customWidth="1"/>
    <col min="2" max="2" width="26.7109375" style="107" customWidth="1"/>
    <col min="3" max="3" width="20.85546875" style="107" customWidth="1"/>
    <col min="4" max="4" width="18.28515625" style="107" customWidth="1"/>
    <col min="5" max="5" width="30.42578125" style="107" customWidth="1"/>
    <col min="6" max="6" width="20.7109375" style="107" customWidth="1"/>
    <col min="7" max="7" width="15.7109375" style="107" customWidth="1"/>
    <col min="8" max="8" width="25.7109375" style="107" customWidth="1"/>
    <col min="9" max="9" width="10.7109375" style="107" customWidth="1"/>
    <col min="10" max="11" width="13.28515625" style="107" customWidth="1"/>
    <col min="12" max="12" width="11.7109375" style="107" customWidth="1"/>
    <col min="13" max="13" width="12" style="107" customWidth="1"/>
    <col min="14" max="14" width="14.140625" style="107" customWidth="1"/>
    <col min="15" max="16" width="10.7109375" style="107" customWidth="1"/>
    <col min="17" max="17" width="12" style="107" customWidth="1"/>
    <col min="18" max="18" width="13" style="107" customWidth="1"/>
    <col min="19" max="20" width="10.7109375" style="107" customWidth="1"/>
    <col min="21" max="21" width="11.85546875" style="107" customWidth="1"/>
    <col min="22" max="22" width="13.5703125" style="107" customWidth="1"/>
    <col min="23" max="24" width="10.7109375" style="107" customWidth="1"/>
    <col min="25" max="25" width="12.5703125" style="107" customWidth="1"/>
    <col min="26" max="26" width="13.5703125" style="107" customWidth="1"/>
    <col min="27" max="29" width="10.7109375" style="107" customWidth="1"/>
    <col min="30" max="30" width="14.42578125" style="107"/>
    <col min="31" max="31" width="4.7109375" style="107" customWidth="1"/>
    <col min="32" max="16384" width="14.42578125" style="107"/>
  </cols>
  <sheetData>
    <row r="1" spans="1:30" ht="21" x14ac:dyDescent="0.35">
      <c r="A1" s="112"/>
      <c r="B1" s="108" t="s">
        <v>478</v>
      </c>
      <c r="C1" s="108"/>
      <c r="D1" s="108"/>
      <c r="E1" s="108"/>
      <c r="F1" s="108"/>
      <c r="G1" s="108"/>
      <c r="H1" s="108"/>
      <c r="I1" s="108"/>
      <c r="J1" s="108"/>
      <c r="K1" s="108"/>
      <c r="L1" s="113"/>
      <c r="M1" s="113"/>
      <c r="N1" s="109"/>
      <c r="O1" s="109"/>
      <c r="P1" s="109"/>
      <c r="Q1" s="113"/>
      <c r="R1" s="113"/>
      <c r="S1" s="113"/>
      <c r="T1" s="113"/>
      <c r="U1" s="113"/>
      <c r="V1" s="113"/>
      <c r="W1" s="113"/>
      <c r="X1" s="113"/>
      <c r="Y1" s="113"/>
      <c r="Z1" s="113"/>
      <c r="AA1" s="113"/>
      <c r="AB1" s="113"/>
      <c r="AC1" s="113"/>
      <c r="AD1" s="113"/>
    </row>
    <row r="2" spans="1:30" ht="2.1" customHeight="1" x14ac:dyDescent="0.25">
      <c r="A2" s="114"/>
      <c r="B2" s="115"/>
      <c r="C2" s="115"/>
      <c r="D2" s="115"/>
      <c r="E2" s="115"/>
      <c r="F2" s="115"/>
      <c r="G2" s="115"/>
      <c r="H2" s="116"/>
      <c r="I2" s="116"/>
      <c r="J2" s="116"/>
      <c r="K2" s="116"/>
      <c r="L2" s="116"/>
      <c r="M2" s="116"/>
      <c r="N2" s="116"/>
      <c r="O2" s="116"/>
      <c r="P2" s="116"/>
      <c r="Q2" s="116"/>
      <c r="R2" s="116"/>
      <c r="S2" s="116"/>
      <c r="T2" s="116"/>
      <c r="U2" s="116"/>
      <c r="V2" s="116"/>
      <c r="W2" s="116"/>
      <c r="X2" s="116"/>
      <c r="Y2" s="116"/>
      <c r="Z2" s="116"/>
      <c r="AA2" s="116"/>
      <c r="AB2" s="116"/>
      <c r="AC2" s="116"/>
      <c r="AD2" s="134"/>
    </row>
    <row r="3" spans="1:30" ht="18.75" hidden="1" x14ac:dyDescent="0.3">
      <c r="A3" s="117"/>
      <c r="B3" s="118" t="s">
        <v>212</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34"/>
    </row>
    <row r="4" spans="1:30" ht="2.1" customHeight="1" thickBot="1" x14ac:dyDescent="0.3">
      <c r="A4" s="114"/>
      <c r="B4" s="115"/>
      <c r="C4" s="115"/>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34"/>
    </row>
    <row r="5" spans="1:30" customFormat="1" ht="17.100000000000001" customHeight="1" thickBot="1" x14ac:dyDescent="0.3">
      <c r="A5" s="375"/>
      <c r="B5" s="376" t="s">
        <v>429</v>
      </c>
      <c r="C5" s="377"/>
      <c r="D5" s="378"/>
      <c r="E5" s="378"/>
      <c r="F5" s="378"/>
      <c r="G5" s="378"/>
      <c r="H5" s="378"/>
      <c r="I5" s="378"/>
      <c r="J5" s="378"/>
      <c r="K5" s="379"/>
      <c r="L5" s="231"/>
      <c r="M5" s="231"/>
      <c r="N5" s="231"/>
      <c r="O5" s="231"/>
      <c r="P5" s="231"/>
      <c r="Q5" s="231"/>
      <c r="R5" s="231"/>
      <c r="S5" s="231"/>
      <c r="T5" s="231"/>
      <c r="U5" s="231"/>
      <c r="V5" s="231"/>
      <c r="W5" s="231"/>
      <c r="X5" s="231"/>
      <c r="Y5" s="231"/>
      <c r="Z5" s="231"/>
      <c r="AA5" s="231"/>
      <c r="AB5" s="231"/>
      <c r="AC5" s="231"/>
      <c r="AD5" s="231"/>
    </row>
    <row r="6" spans="1:30" ht="20.100000000000001" customHeight="1" x14ac:dyDescent="0.25">
      <c r="A6" s="114"/>
      <c r="B6" s="385" t="s">
        <v>430</v>
      </c>
      <c r="C6" s="386"/>
      <c r="D6" s="386"/>
      <c r="E6" s="386"/>
      <c r="F6" s="386"/>
      <c r="G6" s="386"/>
      <c r="H6" s="386"/>
      <c r="I6" s="386"/>
      <c r="J6" s="386"/>
      <c r="K6" s="387"/>
      <c r="L6" s="106"/>
      <c r="M6" s="106"/>
      <c r="N6" s="106"/>
      <c r="O6" s="106"/>
      <c r="P6" s="106"/>
      <c r="Q6" s="106"/>
      <c r="R6" s="106"/>
      <c r="S6" s="106"/>
      <c r="T6" s="106"/>
      <c r="U6" s="106"/>
      <c r="V6" s="106"/>
      <c r="W6" s="106"/>
      <c r="X6" s="106"/>
      <c r="Y6" s="106"/>
      <c r="Z6" s="106"/>
      <c r="AA6" s="106"/>
      <c r="AB6" s="106"/>
      <c r="AC6" s="106"/>
      <c r="AD6" s="134"/>
    </row>
    <row r="7" spans="1:30" ht="20.100000000000001" hidden="1" customHeight="1" x14ac:dyDescent="0.25">
      <c r="A7" s="114"/>
      <c r="B7" s="381" t="s">
        <v>431</v>
      </c>
      <c r="C7" s="388"/>
      <c r="D7" s="389"/>
      <c r="E7" s="389"/>
      <c r="F7" s="389"/>
      <c r="G7" s="389"/>
      <c r="H7" s="389"/>
      <c r="I7" s="389"/>
      <c r="J7" s="389"/>
      <c r="K7" s="390"/>
      <c r="L7" s="116"/>
      <c r="M7" s="116"/>
      <c r="N7" s="116"/>
      <c r="O7" s="116"/>
      <c r="P7" s="116"/>
      <c r="Q7" s="116"/>
      <c r="R7" s="116"/>
      <c r="S7" s="116"/>
      <c r="T7" s="116"/>
      <c r="U7" s="116"/>
      <c r="V7" s="116"/>
      <c r="W7" s="116"/>
      <c r="X7" s="116"/>
      <c r="Y7" s="116"/>
      <c r="Z7" s="116"/>
      <c r="AA7" s="116"/>
      <c r="AB7" s="116"/>
      <c r="AC7" s="116"/>
      <c r="AD7" s="134"/>
    </row>
    <row r="8" spans="1:30" ht="30.95" customHeight="1" x14ac:dyDescent="0.25">
      <c r="A8" s="114"/>
      <c r="B8" s="632" t="s">
        <v>434</v>
      </c>
      <c r="C8" s="633"/>
      <c r="D8" s="633"/>
      <c r="E8" s="633"/>
      <c r="F8" s="633"/>
      <c r="G8" s="633"/>
      <c r="H8" s="633"/>
      <c r="I8" s="633"/>
      <c r="J8" s="633"/>
      <c r="K8" s="634"/>
      <c r="L8" s="380"/>
      <c r="M8" s="380"/>
      <c r="N8" s="380"/>
      <c r="O8" s="380"/>
      <c r="P8" s="380"/>
      <c r="Q8" s="380"/>
      <c r="R8" s="380"/>
      <c r="S8" s="380"/>
      <c r="T8" s="106"/>
      <c r="U8" s="106"/>
      <c r="V8" s="106"/>
      <c r="W8" s="106"/>
      <c r="X8" s="106"/>
      <c r="Y8" s="106"/>
      <c r="Z8" s="106"/>
      <c r="AA8" s="106"/>
      <c r="AB8" s="106"/>
      <c r="AC8" s="134"/>
    </row>
    <row r="9" spans="1:30" ht="19.5" customHeight="1" x14ac:dyDescent="0.25">
      <c r="A9" s="114"/>
      <c r="B9" s="384" t="s">
        <v>435</v>
      </c>
      <c r="C9" s="391"/>
      <c r="D9" s="391"/>
      <c r="E9" s="391"/>
      <c r="F9" s="391"/>
      <c r="G9" s="391"/>
      <c r="H9" s="391"/>
      <c r="I9" s="391"/>
      <c r="J9" s="391"/>
      <c r="K9" s="392"/>
      <c r="L9" s="383"/>
      <c r="M9" s="383"/>
      <c r="N9" s="383"/>
      <c r="O9" s="383"/>
      <c r="P9" s="383"/>
      <c r="Q9" s="383"/>
      <c r="R9" s="383"/>
      <c r="S9" s="383"/>
      <c r="T9" s="106"/>
      <c r="U9" s="106"/>
      <c r="V9" s="106"/>
      <c r="W9" s="106"/>
      <c r="X9" s="106"/>
      <c r="Y9" s="106"/>
      <c r="Z9" s="106"/>
      <c r="AA9" s="106"/>
      <c r="AB9" s="106"/>
      <c r="AC9" s="134"/>
    </row>
    <row r="10" spans="1:30" ht="50.1" customHeight="1" thickBot="1" x14ac:dyDescent="0.3">
      <c r="A10" s="114"/>
      <c r="B10" s="635" t="s">
        <v>438</v>
      </c>
      <c r="C10" s="636"/>
      <c r="D10" s="636"/>
      <c r="E10" s="636"/>
      <c r="F10" s="636"/>
      <c r="G10" s="636"/>
      <c r="H10" s="636"/>
      <c r="I10" s="636"/>
      <c r="J10" s="636"/>
      <c r="K10" s="637"/>
      <c r="L10" s="382"/>
      <c r="M10" s="382"/>
      <c r="N10" s="382"/>
      <c r="O10" s="382"/>
      <c r="P10" s="382"/>
      <c r="Q10" s="382"/>
      <c r="R10" s="382"/>
      <c r="S10" s="382"/>
      <c r="T10" s="106"/>
      <c r="U10" s="106"/>
      <c r="V10" s="106"/>
      <c r="W10" s="106"/>
      <c r="X10" s="106"/>
      <c r="Y10" s="106"/>
      <c r="Z10" s="106"/>
      <c r="AA10" s="106"/>
      <c r="AB10" s="106"/>
      <c r="AC10" s="134"/>
    </row>
    <row r="11" spans="1:30" ht="6" customHeight="1" x14ac:dyDescent="0.25">
      <c r="A11" s="114"/>
      <c r="B11" s="115"/>
      <c r="C11" s="115"/>
      <c r="D11" s="115"/>
      <c r="E11" s="115"/>
      <c r="F11" s="115"/>
      <c r="G11" s="115"/>
      <c r="H11" s="116"/>
      <c r="I11" s="116"/>
      <c r="J11" s="116"/>
      <c r="K11" s="116"/>
      <c r="L11" s="116"/>
      <c r="M11" s="116"/>
      <c r="N11" s="116"/>
      <c r="O11" s="116"/>
      <c r="P11" s="116"/>
      <c r="Q11" s="116"/>
      <c r="R11" s="116"/>
      <c r="S11" s="116"/>
      <c r="T11" s="116"/>
      <c r="U11" s="116"/>
      <c r="V11" s="116"/>
      <c r="W11" s="116"/>
      <c r="X11" s="116"/>
      <c r="Y11" s="116"/>
      <c r="Z11" s="116"/>
      <c r="AA11" s="116"/>
      <c r="AB11" s="116"/>
      <c r="AC11" s="116"/>
      <c r="AD11" s="134"/>
    </row>
    <row r="12" spans="1:30" ht="27" customHeight="1" x14ac:dyDescent="0.2">
      <c r="A12" s="120"/>
      <c r="B12" s="649" t="s">
        <v>436</v>
      </c>
      <c r="C12" s="649"/>
      <c r="D12" s="555" t="s">
        <v>17</v>
      </c>
      <c r="E12" s="556" t="s">
        <v>437</v>
      </c>
      <c r="F12" s="121"/>
      <c r="G12" s="122" t="s">
        <v>659</v>
      </c>
      <c r="H12" s="123"/>
      <c r="I12" s="123"/>
      <c r="J12" s="123"/>
      <c r="K12" s="123"/>
      <c r="L12" s="123"/>
      <c r="M12" s="124"/>
      <c r="N12" s="124"/>
      <c r="O12" s="124"/>
      <c r="P12" s="124"/>
      <c r="Q12" s="124"/>
      <c r="R12" s="124"/>
      <c r="S12" s="124"/>
      <c r="T12" s="124"/>
      <c r="U12" s="124"/>
      <c r="V12" s="124"/>
      <c r="W12" s="124"/>
      <c r="X12" s="124"/>
      <c r="Y12" s="124"/>
      <c r="Z12" s="124"/>
      <c r="AA12" s="124"/>
      <c r="AB12" s="124"/>
      <c r="AC12" s="125"/>
      <c r="AD12" s="135"/>
    </row>
    <row r="13" spans="1:30" ht="30.75" customHeight="1" x14ac:dyDescent="0.2">
      <c r="A13" s="126"/>
      <c r="B13" s="127"/>
      <c r="C13" s="127"/>
      <c r="D13" s="127"/>
      <c r="E13" s="127"/>
      <c r="F13" s="127"/>
      <c r="G13" s="650" t="s">
        <v>213</v>
      </c>
      <c r="H13" s="650"/>
      <c r="I13" s="650"/>
      <c r="J13" s="651"/>
      <c r="K13" s="644" t="s">
        <v>214</v>
      </c>
      <c r="L13" s="645"/>
      <c r="M13" s="646"/>
      <c r="N13" s="644" t="s">
        <v>215</v>
      </c>
      <c r="O13" s="647"/>
      <c r="P13" s="647"/>
      <c r="Q13" s="648"/>
      <c r="R13" s="644" t="s">
        <v>216</v>
      </c>
      <c r="S13" s="647"/>
      <c r="T13" s="647"/>
      <c r="U13" s="648"/>
      <c r="V13" s="644" t="s">
        <v>217</v>
      </c>
      <c r="W13" s="647"/>
      <c r="X13" s="647"/>
      <c r="Y13" s="648"/>
      <c r="Z13" s="644" t="s">
        <v>218</v>
      </c>
      <c r="AA13" s="647"/>
      <c r="AB13" s="647"/>
      <c r="AC13" s="648"/>
      <c r="AD13" s="638" t="s">
        <v>171</v>
      </c>
    </row>
    <row r="14" spans="1:30" ht="45" x14ac:dyDescent="0.2">
      <c r="A14" s="126"/>
      <c r="B14" s="215" t="s">
        <v>432</v>
      </c>
      <c r="C14" s="215" t="s">
        <v>433</v>
      </c>
      <c r="D14" s="368" t="s">
        <v>370</v>
      </c>
      <c r="E14" s="370" t="s">
        <v>423</v>
      </c>
      <c r="F14" s="371" t="s">
        <v>19</v>
      </c>
      <c r="G14" s="370" t="s">
        <v>422</v>
      </c>
      <c r="H14" s="367" t="s">
        <v>170</v>
      </c>
      <c r="I14" s="128" t="s">
        <v>219</v>
      </c>
      <c r="J14" s="128" t="s">
        <v>130</v>
      </c>
      <c r="K14" s="128" t="s">
        <v>231</v>
      </c>
      <c r="L14" s="128" t="s">
        <v>219</v>
      </c>
      <c r="M14" s="128" t="s">
        <v>130</v>
      </c>
      <c r="N14" s="129" t="s">
        <v>220</v>
      </c>
      <c r="O14" s="128" t="s">
        <v>10</v>
      </c>
      <c r="P14" s="128" t="s">
        <v>78</v>
      </c>
      <c r="Q14" s="128" t="s">
        <v>130</v>
      </c>
      <c r="R14" s="129" t="s">
        <v>72</v>
      </c>
      <c r="S14" s="128" t="s">
        <v>10</v>
      </c>
      <c r="T14" s="128" t="s">
        <v>221</v>
      </c>
      <c r="U14" s="128" t="s">
        <v>130</v>
      </c>
      <c r="V14" s="129" t="s">
        <v>222</v>
      </c>
      <c r="W14" s="128" t="s">
        <v>10</v>
      </c>
      <c r="X14" s="128" t="s">
        <v>221</v>
      </c>
      <c r="Y14" s="128" t="s">
        <v>130</v>
      </c>
      <c r="Z14" s="129" t="s">
        <v>223</v>
      </c>
      <c r="AA14" s="128" t="s">
        <v>10</v>
      </c>
      <c r="AB14" s="128" t="s">
        <v>221</v>
      </c>
      <c r="AC14" s="128" t="s">
        <v>130</v>
      </c>
      <c r="AD14" s="639"/>
    </row>
    <row r="15" spans="1:30" ht="24.75" customHeight="1" x14ac:dyDescent="0.2">
      <c r="A15" s="120"/>
      <c r="B15" s="236"/>
      <c r="C15" s="374"/>
      <c r="D15" s="448">
        <v>1</v>
      </c>
      <c r="E15" s="372"/>
      <c r="F15" s="452" t="s">
        <v>17</v>
      </c>
      <c r="G15" s="369"/>
      <c r="H15" s="452" t="s">
        <v>17</v>
      </c>
      <c r="I15" s="365"/>
      <c r="J15" s="449">
        <f t="shared" ref="J15:J34" si="0">+I15*$P$56</f>
        <v>0</v>
      </c>
      <c r="K15" s="452" t="s">
        <v>17</v>
      </c>
      <c r="L15" s="366"/>
      <c r="M15" s="449">
        <f t="shared" ref="M15:M34" si="1">+L15*$P$56</f>
        <v>0</v>
      </c>
      <c r="N15" s="452" t="s">
        <v>17</v>
      </c>
      <c r="O15" s="236"/>
      <c r="P15" s="449" t="str">
        <f t="shared" ref="P15:P34" si="2">+IF(N15="Seleccione","",VLOOKUP(N15,$M$42:$N$74,2,FALSE))</f>
        <v/>
      </c>
      <c r="Q15" s="449">
        <f t="shared" ref="Q15:Q34" si="3">+IF(O15="",0,O15*VLOOKUP(N15,$M$40:$P$70,4,FALSE))</f>
        <v>0</v>
      </c>
      <c r="R15" s="452" t="s">
        <v>17</v>
      </c>
      <c r="S15" s="236"/>
      <c r="T15" s="449" t="str">
        <f t="shared" ref="T15:T34" si="4">+IF(R15="Seleccione","",VLOOKUP(R15,$M$42:$N$74,2,FALSE))</f>
        <v/>
      </c>
      <c r="U15" s="449">
        <f t="shared" ref="U15:U34" si="5">+IF(S15="",0,S15*VLOOKUP(R15,$M$40:$P$70,4,FALSE))</f>
        <v>0</v>
      </c>
      <c r="V15" s="452" t="s">
        <v>17</v>
      </c>
      <c r="W15" s="236"/>
      <c r="X15" s="449" t="str">
        <f t="shared" ref="X15:X34" si="6">+IF(V15="Seleccione","",VLOOKUP(V15,$M$42:$N$74,2,FALSE))</f>
        <v/>
      </c>
      <c r="Y15" s="449">
        <f t="shared" ref="Y15:Y34" si="7">+IF(W15="",0,W15*VLOOKUP(V15,$M$40:$P$70,4,FALSE))</f>
        <v>0</v>
      </c>
      <c r="Z15" s="452" t="s">
        <v>17</v>
      </c>
      <c r="AA15" s="236"/>
      <c r="AB15" s="449" t="str">
        <f t="shared" ref="AB15:AB34" si="8">+IF(Z15="Seleccione","",VLOOKUP(Z15,$M$42:$N$74,2,FALSE))</f>
        <v/>
      </c>
      <c r="AC15" s="449">
        <f t="shared" ref="AC15:AC34" si="9">+IF(AA15="",0,AA15*VLOOKUP(Z15,$M$40:$P$70,4,FALSE))</f>
        <v>0</v>
      </c>
      <c r="AD15" s="450">
        <f t="shared" ref="AD15:AD34" si="10">+SUM(J15,M15,Q15,U15,Y15,AC15)</f>
        <v>0</v>
      </c>
    </row>
    <row r="16" spans="1:30" ht="24.75" customHeight="1" x14ac:dyDescent="0.2">
      <c r="A16" s="120"/>
      <c r="B16" s="446">
        <f>B15</f>
        <v>0</v>
      </c>
      <c r="C16" s="447">
        <f>C15</f>
        <v>0</v>
      </c>
      <c r="D16" s="448">
        <v>2</v>
      </c>
      <c r="E16" s="372"/>
      <c r="F16" s="452" t="s">
        <v>17</v>
      </c>
      <c r="G16" s="236"/>
      <c r="H16" s="452" t="s">
        <v>17</v>
      </c>
      <c r="I16" s="365"/>
      <c r="J16" s="449">
        <f t="shared" si="0"/>
        <v>0</v>
      </c>
      <c r="K16" s="452" t="s">
        <v>17</v>
      </c>
      <c r="L16" s="366"/>
      <c r="M16" s="449">
        <f t="shared" si="1"/>
        <v>0</v>
      </c>
      <c r="N16" s="452" t="s">
        <v>17</v>
      </c>
      <c r="O16" s="236"/>
      <c r="P16" s="449" t="str">
        <f t="shared" si="2"/>
        <v/>
      </c>
      <c r="Q16" s="449">
        <f t="shared" si="3"/>
        <v>0</v>
      </c>
      <c r="R16" s="452" t="s">
        <v>17</v>
      </c>
      <c r="S16" s="236"/>
      <c r="T16" s="449" t="str">
        <f t="shared" si="4"/>
        <v/>
      </c>
      <c r="U16" s="449">
        <f t="shared" si="5"/>
        <v>0</v>
      </c>
      <c r="V16" s="452" t="s">
        <v>17</v>
      </c>
      <c r="W16" s="236"/>
      <c r="X16" s="449" t="str">
        <f t="shared" si="6"/>
        <v/>
      </c>
      <c r="Y16" s="449">
        <f t="shared" si="7"/>
        <v>0</v>
      </c>
      <c r="Z16" s="452" t="s">
        <v>17</v>
      </c>
      <c r="AA16" s="236"/>
      <c r="AB16" s="449" t="str">
        <f t="shared" si="8"/>
        <v/>
      </c>
      <c r="AC16" s="449">
        <f t="shared" si="9"/>
        <v>0</v>
      </c>
      <c r="AD16" s="450">
        <f t="shared" si="10"/>
        <v>0</v>
      </c>
    </row>
    <row r="17" spans="1:30" ht="24.75" customHeight="1" x14ac:dyDescent="0.2">
      <c r="A17" s="120"/>
      <c r="B17" s="446">
        <f t="shared" ref="B17:B34" si="11">B16</f>
        <v>0</v>
      </c>
      <c r="C17" s="447">
        <f t="shared" ref="C17:C34" si="12">C16</f>
        <v>0</v>
      </c>
      <c r="D17" s="448">
        <v>3</v>
      </c>
      <c r="E17" s="372"/>
      <c r="F17" s="452" t="s">
        <v>17</v>
      </c>
      <c r="G17" s="236"/>
      <c r="H17" s="452" t="s">
        <v>17</v>
      </c>
      <c r="I17" s="365"/>
      <c r="J17" s="449">
        <f t="shared" si="0"/>
        <v>0</v>
      </c>
      <c r="K17" s="452" t="s">
        <v>17</v>
      </c>
      <c r="L17" s="366"/>
      <c r="M17" s="449">
        <f t="shared" si="1"/>
        <v>0</v>
      </c>
      <c r="N17" s="452" t="s">
        <v>17</v>
      </c>
      <c r="O17" s="236"/>
      <c r="P17" s="449" t="str">
        <f t="shared" si="2"/>
        <v/>
      </c>
      <c r="Q17" s="449">
        <f t="shared" si="3"/>
        <v>0</v>
      </c>
      <c r="R17" s="452" t="s">
        <v>17</v>
      </c>
      <c r="S17" s="236"/>
      <c r="T17" s="449" t="str">
        <f t="shared" si="4"/>
        <v/>
      </c>
      <c r="U17" s="449">
        <f t="shared" si="5"/>
        <v>0</v>
      </c>
      <c r="V17" s="452" t="s">
        <v>17</v>
      </c>
      <c r="W17" s="236"/>
      <c r="X17" s="449" t="str">
        <f t="shared" si="6"/>
        <v/>
      </c>
      <c r="Y17" s="449">
        <f t="shared" si="7"/>
        <v>0</v>
      </c>
      <c r="Z17" s="452" t="s">
        <v>17</v>
      </c>
      <c r="AA17" s="236"/>
      <c r="AB17" s="449" t="str">
        <f t="shared" si="8"/>
        <v/>
      </c>
      <c r="AC17" s="449">
        <f t="shared" si="9"/>
        <v>0</v>
      </c>
      <c r="AD17" s="450">
        <f t="shared" si="10"/>
        <v>0</v>
      </c>
    </row>
    <row r="18" spans="1:30" ht="24.75" customHeight="1" x14ac:dyDescent="0.2">
      <c r="A18" s="120"/>
      <c r="B18" s="446">
        <f t="shared" si="11"/>
        <v>0</v>
      </c>
      <c r="C18" s="447">
        <f t="shared" si="12"/>
        <v>0</v>
      </c>
      <c r="D18" s="448">
        <v>4</v>
      </c>
      <c r="E18" s="372"/>
      <c r="F18" s="452" t="s">
        <v>17</v>
      </c>
      <c r="G18" s="236"/>
      <c r="H18" s="452" t="s">
        <v>17</v>
      </c>
      <c r="I18" s="365"/>
      <c r="J18" s="449">
        <f t="shared" si="0"/>
        <v>0</v>
      </c>
      <c r="K18" s="452" t="s">
        <v>17</v>
      </c>
      <c r="L18" s="366"/>
      <c r="M18" s="449">
        <f t="shared" si="1"/>
        <v>0</v>
      </c>
      <c r="N18" s="452" t="s">
        <v>17</v>
      </c>
      <c r="O18" s="236"/>
      <c r="P18" s="449" t="str">
        <f t="shared" si="2"/>
        <v/>
      </c>
      <c r="Q18" s="449">
        <f t="shared" si="3"/>
        <v>0</v>
      </c>
      <c r="R18" s="452" t="s">
        <v>17</v>
      </c>
      <c r="S18" s="236"/>
      <c r="T18" s="449" t="str">
        <f t="shared" si="4"/>
        <v/>
      </c>
      <c r="U18" s="449">
        <f t="shared" si="5"/>
        <v>0</v>
      </c>
      <c r="V18" s="452" t="s">
        <v>17</v>
      </c>
      <c r="W18" s="236"/>
      <c r="X18" s="449" t="str">
        <f t="shared" si="6"/>
        <v/>
      </c>
      <c r="Y18" s="449">
        <f t="shared" si="7"/>
        <v>0</v>
      </c>
      <c r="Z18" s="452" t="s">
        <v>17</v>
      </c>
      <c r="AA18" s="236"/>
      <c r="AB18" s="449" t="str">
        <f t="shared" si="8"/>
        <v/>
      </c>
      <c r="AC18" s="449">
        <f t="shared" si="9"/>
        <v>0</v>
      </c>
      <c r="AD18" s="450">
        <f t="shared" si="10"/>
        <v>0</v>
      </c>
    </row>
    <row r="19" spans="1:30" ht="24.75" customHeight="1" x14ac:dyDescent="0.25">
      <c r="A19" s="130"/>
      <c r="B19" s="446">
        <f t="shared" si="11"/>
        <v>0</v>
      </c>
      <c r="C19" s="447">
        <f t="shared" si="12"/>
        <v>0</v>
      </c>
      <c r="D19" s="448">
        <v>5</v>
      </c>
      <c r="E19" s="372"/>
      <c r="F19" s="452" t="s">
        <v>17</v>
      </c>
      <c r="G19" s="236"/>
      <c r="H19" s="452" t="s">
        <v>17</v>
      </c>
      <c r="I19" s="365"/>
      <c r="J19" s="449">
        <f t="shared" si="0"/>
        <v>0</v>
      </c>
      <c r="K19" s="452" t="s">
        <v>17</v>
      </c>
      <c r="L19" s="366"/>
      <c r="M19" s="449">
        <f t="shared" si="1"/>
        <v>0</v>
      </c>
      <c r="N19" s="452" t="s">
        <v>17</v>
      </c>
      <c r="O19" s="236"/>
      <c r="P19" s="449" t="str">
        <f t="shared" si="2"/>
        <v/>
      </c>
      <c r="Q19" s="449">
        <f t="shared" si="3"/>
        <v>0</v>
      </c>
      <c r="R19" s="452" t="s">
        <v>17</v>
      </c>
      <c r="S19" s="236"/>
      <c r="T19" s="449" t="str">
        <f t="shared" si="4"/>
        <v/>
      </c>
      <c r="U19" s="449">
        <f t="shared" si="5"/>
        <v>0</v>
      </c>
      <c r="V19" s="452" t="s">
        <v>17</v>
      </c>
      <c r="W19" s="236"/>
      <c r="X19" s="449" t="str">
        <f t="shared" si="6"/>
        <v/>
      </c>
      <c r="Y19" s="449">
        <f t="shared" si="7"/>
        <v>0</v>
      </c>
      <c r="Z19" s="452" t="s">
        <v>17</v>
      </c>
      <c r="AA19" s="236"/>
      <c r="AB19" s="449" t="str">
        <f t="shared" si="8"/>
        <v/>
      </c>
      <c r="AC19" s="449">
        <f t="shared" si="9"/>
        <v>0</v>
      </c>
      <c r="AD19" s="450">
        <f t="shared" si="10"/>
        <v>0</v>
      </c>
    </row>
    <row r="20" spans="1:30" ht="24.75" customHeight="1" x14ac:dyDescent="0.25">
      <c r="A20" s="130"/>
      <c r="B20" s="446">
        <f t="shared" si="11"/>
        <v>0</v>
      </c>
      <c r="C20" s="447">
        <f t="shared" si="12"/>
        <v>0</v>
      </c>
      <c r="D20" s="448">
        <v>6</v>
      </c>
      <c r="E20" s="372"/>
      <c r="F20" s="452" t="s">
        <v>17</v>
      </c>
      <c r="G20" s="236"/>
      <c r="H20" s="452" t="s">
        <v>17</v>
      </c>
      <c r="I20" s="365"/>
      <c r="J20" s="449">
        <f t="shared" si="0"/>
        <v>0</v>
      </c>
      <c r="K20" s="452" t="s">
        <v>17</v>
      </c>
      <c r="L20" s="366"/>
      <c r="M20" s="449">
        <f t="shared" si="1"/>
        <v>0</v>
      </c>
      <c r="N20" s="452" t="s">
        <v>17</v>
      </c>
      <c r="O20" s="236"/>
      <c r="P20" s="449" t="str">
        <f t="shared" si="2"/>
        <v/>
      </c>
      <c r="Q20" s="449">
        <f t="shared" si="3"/>
        <v>0</v>
      </c>
      <c r="R20" s="452" t="s">
        <v>17</v>
      </c>
      <c r="S20" s="236"/>
      <c r="T20" s="449" t="str">
        <f t="shared" si="4"/>
        <v/>
      </c>
      <c r="U20" s="449">
        <f t="shared" si="5"/>
        <v>0</v>
      </c>
      <c r="V20" s="452" t="s">
        <v>17</v>
      </c>
      <c r="W20" s="236"/>
      <c r="X20" s="449" t="str">
        <f t="shared" si="6"/>
        <v/>
      </c>
      <c r="Y20" s="449">
        <f t="shared" si="7"/>
        <v>0</v>
      </c>
      <c r="Z20" s="452" t="s">
        <v>17</v>
      </c>
      <c r="AA20" s="236"/>
      <c r="AB20" s="449" t="str">
        <f t="shared" si="8"/>
        <v/>
      </c>
      <c r="AC20" s="449">
        <f t="shared" si="9"/>
        <v>0</v>
      </c>
      <c r="AD20" s="450">
        <f t="shared" si="10"/>
        <v>0</v>
      </c>
    </row>
    <row r="21" spans="1:30" ht="24.75" customHeight="1" x14ac:dyDescent="0.25">
      <c r="A21" s="130"/>
      <c r="B21" s="446">
        <f t="shared" si="11"/>
        <v>0</v>
      </c>
      <c r="C21" s="447">
        <f t="shared" si="12"/>
        <v>0</v>
      </c>
      <c r="D21" s="448">
        <v>7</v>
      </c>
      <c r="E21" s="372"/>
      <c r="F21" s="452" t="s">
        <v>17</v>
      </c>
      <c r="G21" s="236"/>
      <c r="H21" s="452" t="s">
        <v>17</v>
      </c>
      <c r="I21" s="365"/>
      <c r="J21" s="449">
        <f t="shared" si="0"/>
        <v>0</v>
      </c>
      <c r="K21" s="452" t="s">
        <v>17</v>
      </c>
      <c r="L21" s="366"/>
      <c r="M21" s="449">
        <f t="shared" si="1"/>
        <v>0</v>
      </c>
      <c r="N21" s="452" t="s">
        <v>17</v>
      </c>
      <c r="O21" s="236"/>
      <c r="P21" s="449" t="str">
        <f t="shared" si="2"/>
        <v/>
      </c>
      <c r="Q21" s="449">
        <f t="shared" si="3"/>
        <v>0</v>
      </c>
      <c r="R21" s="452" t="s">
        <v>17</v>
      </c>
      <c r="S21" s="236"/>
      <c r="T21" s="449" t="str">
        <f t="shared" si="4"/>
        <v/>
      </c>
      <c r="U21" s="449">
        <f t="shared" si="5"/>
        <v>0</v>
      </c>
      <c r="V21" s="452" t="s">
        <v>17</v>
      </c>
      <c r="W21" s="236"/>
      <c r="X21" s="449" t="str">
        <f t="shared" si="6"/>
        <v/>
      </c>
      <c r="Y21" s="449">
        <f t="shared" si="7"/>
        <v>0</v>
      </c>
      <c r="Z21" s="452" t="s">
        <v>17</v>
      </c>
      <c r="AA21" s="236"/>
      <c r="AB21" s="449" t="str">
        <f t="shared" si="8"/>
        <v/>
      </c>
      <c r="AC21" s="449">
        <f t="shared" si="9"/>
        <v>0</v>
      </c>
      <c r="AD21" s="450">
        <f t="shared" si="10"/>
        <v>0</v>
      </c>
    </row>
    <row r="22" spans="1:30" ht="24.75" customHeight="1" x14ac:dyDescent="0.25">
      <c r="A22" s="130"/>
      <c r="B22" s="446">
        <f t="shared" si="11"/>
        <v>0</v>
      </c>
      <c r="C22" s="447">
        <f t="shared" si="12"/>
        <v>0</v>
      </c>
      <c r="D22" s="448">
        <v>8</v>
      </c>
      <c r="E22" s="372"/>
      <c r="F22" s="452" t="s">
        <v>17</v>
      </c>
      <c r="G22" s="236"/>
      <c r="H22" s="452" t="s">
        <v>17</v>
      </c>
      <c r="I22" s="365"/>
      <c r="J22" s="449">
        <f t="shared" si="0"/>
        <v>0</v>
      </c>
      <c r="K22" s="452" t="s">
        <v>17</v>
      </c>
      <c r="L22" s="366"/>
      <c r="M22" s="449">
        <f t="shared" si="1"/>
        <v>0</v>
      </c>
      <c r="N22" s="452" t="s">
        <v>17</v>
      </c>
      <c r="O22" s="236"/>
      <c r="P22" s="449" t="str">
        <f t="shared" si="2"/>
        <v/>
      </c>
      <c r="Q22" s="449">
        <f t="shared" si="3"/>
        <v>0</v>
      </c>
      <c r="R22" s="452" t="s">
        <v>17</v>
      </c>
      <c r="S22" s="236"/>
      <c r="T22" s="449" t="str">
        <f t="shared" si="4"/>
        <v/>
      </c>
      <c r="U22" s="449">
        <f t="shared" si="5"/>
        <v>0</v>
      </c>
      <c r="V22" s="452" t="s">
        <v>17</v>
      </c>
      <c r="W22" s="236"/>
      <c r="X22" s="449" t="str">
        <f t="shared" si="6"/>
        <v/>
      </c>
      <c r="Y22" s="449">
        <f t="shared" si="7"/>
        <v>0</v>
      </c>
      <c r="Z22" s="452" t="s">
        <v>17</v>
      </c>
      <c r="AA22" s="236"/>
      <c r="AB22" s="449" t="str">
        <f t="shared" si="8"/>
        <v/>
      </c>
      <c r="AC22" s="449">
        <f t="shared" si="9"/>
        <v>0</v>
      </c>
      <c r="AD22" s="450">
        <f t="shared" si="10"/>
        <v>0</v>
      </c>
    </row>
    <row r="23" spans="1:30" ht="24.75" customHeight="1" x14ac:dyDescent="0.25">
      <c r="A23" s="130"/>
      <c r="B23" s="446">
        <f t="shared" si="11"/>
        <v>0</v>
      </c>
      <c r="C23" s="447">
        <f t="shared" si="12"/>
        <v>0</v>
      </c>
      <c r="D23" s="448">
        <v>9</v>
      </c>
      <c r="E23" s="372"/>
      <c r="F23" s="452" t="s">
        <v>17</v>
      </c>
      <c r="G23" s="236"/>
      <c r="H23" s="452" t="s">
        <v>17</v>
      </c>
      <c r="I23" s="365"/>
      <c r="J23" s="449">
        <f t="shared" si="0"/>
        <v>0</v>
      </c>
      <c r="K23" s="452" t="s">
        <v>17</v>
      </c>
      <c r="L23" s="366"/>
      <c r="M23" s="449">
        <f t="shared" si="1"/>
        <v>0</v>
      </c>
      <c r="N23" s="452" t="s">
        <v>17</v>
      </c>
      <c r="O23" s="236"/>
      <c r="P23" s="449" t="str">
        <f t="shared" si="2"/>
        <v/>
      </c>
      <c r="Q23" s="449">
        <f t="shared" si="3"/>
        <v>0</v>
      </c>
      <c r="R23" s="452" t="s">
        <v>17</v>
      </c>
      <c r="S23" s="236"/>
      <c r="T23" s="449" t="str">
        <f t="shared" si="4"/>
        <v/>
      </c>
      <c r="U23" s="449">
        <f t="shared" si="5"/>
        <v>0</v>
      </c>
      <c r="V23" s="452" t="s">
        <v>17</v>
      </c>
      <c r="W23" s="236"/>
      <c r="X23" s="449" t="str">
        <f t="shared" si="6"/>
        <v/>
      </c>
      <c r="Y23" s="449">
        <f t="shared" si="7"/>
        <v>0</v>
      </c>
      <c r="Z23" s="452" t="s">
        <v>17</v>
      </c>
      <c r="AA23" s="236"/>
      <c r="AB23" s="449" t="str">
        <f t="shared" si="8"/>
        <v/>
      </c>
      <c r="AC23" s="449">
        <f t="shared" si="9"/>
        <v>0</v>
      </c>
      <c r="AD23" s="450">
        <f t="shared" si="10"/>
        <v>0</v>
      </c>
    </row>
    <row r="24" spans="1:30" ht="30" customHeight="1" x14ac:dyDescent="0.25">
      <c r="A24" s="130"/>
      <c r="B24" s="446">
        <f t="shared" si="11"/>
        <v>0</v>
      </c>
      <c r="C24" s="447">
        <f t="shared" si="12"/>
        <v>0</v>
      </c>
      <c r="D24" s="448">
        <v>10</v>
      </c>
      <c r="E24" s="372"/>
      <c r="F24" s="452" t="s">
        <v>17</v>
      </c>
      <c r="G24" s="236"/>
      <c r="H24" s="452" t="s">
        <v>17</v>
      </c>
      <c r="I24" s="365"/>
      <c r="J24" s="449">
        <f t="shared" si="0"/>
        <v>0</v>
      </c>
      <c r="K24" s="452" t="s">
        <v>17</v>
      </c>
      <c r="L24" s="366"/>
      <c r="M24" s="449">
        <f t="shared" si="1"/>
        <v>0</v>
      </c>
      <c r="N24" s="452" t="s">
        <v>17</v>
      </c>
      <c r="O24" s="236"/>
      <c r="P24" s="449" t="str">
        <f t="shared" si="2"/>
        <v/>
      </c>
      <c r="Q24" s="449">
        <f t="shared" si="3"/>
        <v>0</v>
      </c>
      <c r="R24" s="452" t="s">
        <v>17</v>
      </c>
      <c r="S24" s="236"/>
      <c r="T24" s="449" t="str">
        <f t="shared" si="4"/>
        <v/>
      </c>
      <c r="U24" s="449">
        <f t="shared" si="5"/>
        <v>0</v>
      </c>
      <c r="V24" s="452" t="s">
        <v>17</v>
      </c>
      <c r="W24" s="236"/>
      <c r="X24" s="449" t="str">
        <f t="shared" si="6"/>
        <v/>
      </c>
      <c r="Y24" s="449">
        <f t="shared" si="7"/>
        <v>0</v>
      </c>
      <c r="Z24" s="452" t="s">
        <v>17</v>
      </c>
      <c r="AA24" s="236"/>
      <c r="AB24" s="449" t="str">
        <f t="shared" si="8"/>
        <v/>
      </c>
      <c r="AC24" s="449">
        <f t="shared" si="9"/>
        <v>0</v>
      </c>
      <c r="AD24" s="450">
        <f t="shared" si="10"/>
        <v>0</v>
      </c>
    </row>
    <row r="25" spans="1:30" ht="30" customHeight="1" x14ac:dyDescent="0.25">
      <c r="A25" s="130"/>
      <c r="B25" s="446">
        <f t="shared" si="11"/>
        <v>0</v>
      </c>
      <c r="C25" s="447">
        <f t="shared" si="12"/>
        <v>0</v>
      </c>
      <c r="D25" s="448">
        <v>11</v>
      </c>
      <c r="E25" s="372"/>
      <c r="F25" s="452" t="s">
        <v>17</v>
      </c>
      <c r="G25" s="236"/>
      <c r="H25" s="452" t="s">
        <v>17</v>
      </c>
      <c r="I25" s="365"/>
      <c r="J25" s="449">
        <f t="shared" si="0"/>
        <v>0</v>
      </c>
      <c r="K25" s="452" t="s">
        <v>17</v>
      </c>
      <c r="L25" s="366"/>
      <c r="M25" s="449">
        <f t="shared" si="1"/>
        <v>0</v>
      </c>
      <c r="N25" s="452" t="s">
        <v>17</v>
      </c>
      <c r="O25" s="236"/>
      <c r="P25" s="449" t="str">
        <f t="shared" si="2"/>
        <v/>
      </c>
      <c r="Q25" s="449">
        <f t="shared" si="3"/>
        <v>0</v>
      </c>
      <c r="R25" s="452" t="s">
        <v>17</v>
      </c>
      <c r="S25" s="236"/>
      <c r="T25" s="449" t="str">
        <f t="shared" si="4"/>
        <v/>
      </c>
      <c r="U25" s="449">
        <f t="shared" si="5"/>
        <v>0</v>
      </c>
      <c r="V25" s="452" t="s">
        <v>17</v>
      </c>
      <c r="W25" s="236"/>
      <c r="X25" s="449" t="str">
        <f t="shared" si="6"/>
        <v/>
      </c>
      <c r="Y25" s="449">
        <f t="shared" si="7"/>
        <v>0</v>
      </c>
      <c r="Z25" s="452" t="s">
        <v>17</v>
      </c>
      <c r="AA25" s="236"/>
      <c r="AB25" s="449" t="str">
        <f t="shared" si="8"/>
        <v/>
      </c>
      <c r="AC25" s="449">
        <f t="shared" si="9"/>
        <v>0</v>
      </c>
      <c r="AD25" s="450">
        <f t="shared" si="10"/>
        <v>0</v>
      </c>
    </row>
    <row r="26" spans="1:30" ht="30" customHeight="1" x14ac:dyDescent="0.25">
      <c r="A26" s="130"/>
      <c r="B26" s="446">
        <f t="shared" si="11"/>
        <v>0</v>
      </c>
      <c r="C26" s="447">
        <f t="shared" si="12"/>
        <v>0</v>
      </c>
      <c r="D26" s="448">
        <v>12</v>
      </c>
      <c r="E26" s="372"/>
      <c r="F26" s="452" t="s">
        <v>17</v>
      </c>
      <c r="G26" s="236"/>
      <c r="H26" s="452" t="s">
        <v>17</v>
      </c>
      <c r="I26" s="365"/>
      <c r="J26" s="449">
        <f t="shared" si="0"/>
        <v>0</v>
      </c>
      <c r="K26" s="452" t="s">
        <v>17</v>
      </c>
      <c r="L26" s="366"/>
      <c r="M26" s="449">
        <f t="shared" si="1"/>
        <v>0</v>
      </c>
      <c r="N26" s="452" t="s">
        <v>17</v>
      </c>
      <c r="O26" s="236"/>
      <c r="P26" s="449" t="str">
        <f t="shared" si="2"/>
        <v/>
      </c>
      <c r="Q26" s="449">
        <f t="shared" si="3"/>
        <v>0</v>
      </c>
      <c r="R26" s="452" t="s">
        <v>17</v>
      </c>
      <c r="S26" s="236"/>
      <c r="T26" s="449" t="str">
        <f t="shared" si="4"/>
        <v/>
      </c>
      <c r="U26" s="449">
        <f t="shared" si="5"/>
        <v>0</v>
      </c>
      <c r="V26" s="452" t="s">
        <v>17</v>
      </c>
      <c r="W26" s="236"/>
      <c r="X26" s="449" t="str">
        <f t="shared" si="6"/>
        <v/>
      </c>
      <c r="Y26" s="449">
        <f t="shared" si="7"/>
        <v>0</v>
      </c>
      <c r="Z26" s="452" t="s">
        <v>17</v>
      </c>
      <c r="AA26" s="236"/>
      <c r="AB26" s="449" t="str">
        <f t="shared" si="8"/>
        <v/>
      </c>
      <c r="AC26" s="449">
        <f t="shared" si="9"/>
        <v>0</v>
      </c>
      <c r="AD26" s="450">
        <f t="shared" si="10"/>
        <v>0</v>
      </c>
    </row>
    <row r="27" spans="1:30" ht="30" customHeight="1" x14ac:dyDescent="0.25">
      <c r="A27" s="130"/>
      <c r="B27" s="446">
        <f t="shared" si="11"/>
        <v>0</v>
      </c>
      <c r="C27" s="447">
        <f t="shared" si="12"/>
        <v>0</v>
      </c>
      <c r="D27" s="448">
        <v>13</v>
      </c>
      <c r="E27" s="372"/>
      <c r="F27" s="452" t="s">
        <v>17</v>
      </c>
      <c r="G27" s="236"/>
      <c r="H27" s="452" t="s">
        <v>17</v>
      </c>
      <c r="I27" s="365"/>
      <c r="J27" s="449">
        <f t="shared" si="0"/>
        <v>0</v>
      </c>
      <c r="K27" s="452" t="s">
        <v>17</v>
      </c>
      <c r="L27" s="366"/>
      <c r="M27" s="449">
        <f t="shared" si="1"/>
        <v>0</v>
      </c>
      <c r="N27" s="452" t="s">
        <v>17</v>
      </c>
      <c r="O27" s="236"/>
      <c r="P27" s="449" t="str">
        <f t="shared" si="2"/>
        <v/>
      </c>
      <c r="Q27" s="449">
        <f t="shared" si="3"/>
        <v>0</v>
      </c>
      <c r="R27" s="452" t="s">
        <v>17</v>
      </c>
      <c r="S27" s="236"/>
      <c r="T27" s="449" t="str">
        <f t="shared" si="4"/>
        <v/>
      </c>
      <c r="U27" s="449">
        <f t="shared" si="5"/>
        <v>0</v>
      </c>
      <c r="V27" s="452" t="s">
        <v>17</v>
      </c>
      <c r="W27" s="236"/>
      <c r="X27" s="449" t="str">
        <f t="shared" si="6"/>
        <v/>
      </c>
      <c r="Y27" s="449">
        <f t="shared" si="7"/>
        <v>0</v>
      </c>
      <c r="Z27" s="452" t="s">
        <v>17</v>
      </c>
      <c r="AA27" s="236"/>
      <c r="AB27" s="449" t="str">
        <f t="shared" si="8"/>
        <v/>
      </c>
      <c r="AC27" s="449">
        <f t="shared" si="9"/>
        <v>0</v>
      </c>
      <c r="AD27" s="450">
        <f t="shared" si="10"/>
        <v>0</v>
      </c>
    </row>
    <row r="28" spans="1:30" ht="30" customHeight="1" x14ac:dyDescent="0.25">
      <c r="A28" s="130"/>
      <c r="B28" s="446">
        <f t="shared" si="11"/>
        <v>0</v>
      </c>
      <c r="C28" s="447">
        <f t="shared" si="12"/>
        <v>0</v>
      </c>
      <c r="D28" s="448">
        <v>14</v>
      </c>
      <c r="E28" s="372"/>
      <c r="F28" s="452" t="s">
        <v>17</v>
      </c>
      <c r="G28" s="236"/>
      <c r="H28" s="452" t="s">
        <v>17</v>
      </c>
      <c r="I28" s="365"/>
      <c r="J28" s="449">
        <f t="shared" si="0"/>
        <v>0</v>
      </c>
      <c r="K28" s="452" t="s">
        <v>17</v>
      </c>
      <c r="L28" s="366"/>
      <c r="M28" s="449">
        <f t="shared" si="1"/>
        <v>0</v>
      </c>
      <c r="N28" s="452" t="s">
        <v>17</v>
      </c>
      <c r="O28" s="236"/>
      <c r="P28" s="449" t="str">
        <f t="shared" si="2"/>
        <v/>
      </c>
      <c r="Q28" s="449">
        <f t="shared" si="3"/>
        <v>0</v>
      </c>
      <c r="R28" s="452" t="s">
        <v>17</v>
      </c>
      <c r="S28" s="236"/>
      <c r="T28" s="449" t="str">
        <f t="shared" si="4"/>
        <v/>
      </c>
      <c r="U28" s="449">
        <f t="shared" si="5"/>
        <v>0</v>
      </c>
      <c r="V28" s="452" t="s">
        <v>17</v>
      </c>
      <c r="W28" s="236"/>
      <c r="X28" s="449" t="str">
        <f t="shared" si="6"/>
        <v/>
      </c>
      <c r="Y28" s="449">
        <f t="shared" si="7"/>
        <v>0</v>
      </c>
      <c r="Z28" s="452" t="s">
        <v>17</v>
      </c>
      <c r="AA28" s="236"/>
      <c r="AB28" s="449" t="str">
        <f t="shared" si="8"/>
        <v/>
      </c>
      <c r="AC28" s="449">
        <f t="shared" si="9"/>
        <v>0</v>
      </c>
      <c r="AD28" s="450">
        <f t="shared" si="10"/>
        <v>0</v>
      </c>
    </row>
    <row r="29" spans="1:30" ht="30" customHeight="1" x14ac:dyDescent="0.25">
      <c r="A29" s="130"/>
      <c r="B29" s="446">
        <f t="shared" si="11"/>
        <v>0</v>
      </c>
      <c r="C29" s="447">
        <f t="shared" si="12"/>
        <v>0</v>
      </c>
      <c r="D29" s="448">
        <v>15</v>
      </c>
      <c r="E29" s="372"/>
      <c r="F29" s="452" t="s">
        <v>17</v>
      </c>
      <c r="G29" s="236"/>
      <c r="H29" s="452" t="s">
        <v>17</v>
      </c>
      <c r="I29" s="365"/>
      <c r="J29" s="449">
        <f t="shared" si="0"/>
        <v>0</v>
      </c>
      <c r="K29" s="452" t="s">
        <v>17</v>
      </c>
      <c r="L29" s="366"/>
      <c r="M29" s="449">
        <f t="shared" si="1"/>
        <v>0</v>
      </c>
      <c r="N29" s="452" t="s">
        <v>17</v>
      </c>
      <c r="O29" s="236"/>
      <c r="P29" s="449" t="str">
        <f t="shared" si="2"/>
        <v/>
      </c>
      <c r="Q29" s="449">
        <f t="shared" si="3"/>
        <v>0</v>
      </c>
      <c r="R29" s="452" t="s">
        <v>17</v>
      </c>
      <c r="S29" s="236"/>
      <c r="T29" s="449" t="str">
        <f t="shared" si="4"/>
        <v/>
      </c>
      <c r="U29" s="449">
        <f t="shared" si="5"/>
        <v>0</v>
      </c>
      <c r="V29" s="452" t="s">
        <v>17</v>
      </c>
      <c r="W29" s="236"/>
      <c r="X29" s="449" t="str">
        <f t="shared" si="6"/>
        <v/>
      </c>
      <c r="Y29" s="449">
        <f t="shared" si="7"/>
        <v>0</v>
      </c>
      <c r="Z29" s="452" t="s">
        <v>17</v>
      </c>
      <c r="AA29" s="236"/>
      <c r="AB29" s="449" t="str">
        <f t="shared" si="8"/>
        <v/>
      </c>
      <c r="AC29" s="449">
        <f t="shared" si="9"/>
        <v>0</v>
      </c>
      <c r="AD29" s="450">
        <f t="shared" si="10"/>
        <v>0</v>
      </c>
    </row>
    <row r="30" spans="1:30" ht="30" customHeight="1" x14ac:dyDescent="0.25">
      <c r="A30" s="130"/>
      <c r="B30" s="446">
        <f t="shared" si="11"/>
        <v>0</v>
      </c>
      <c r="C30" s="447">
        <f t="shared" si="12"/>
        <v>0</v>
      </c>
      <c r="D30" s="448">
        <v>16</v>
      </c>
      <c r="E30" s="372"/>
      <c r="F30" s="452" t="s">
        <v>17</v>
      </c>
      <c r="G30" s="236"/>
      <c r="H30" s="452" t="s">
        <v>17</v>
      </c>
      <c r="I30" s="365"/>
      <c r="J30" s="449">
        <f t="shared" si="0"/>
        <v>0</v>
      </c>
      <c r="K30" s="452" t="s">
        <v>17</v>
      </c>
      <c r="L30" s="366"/>
      <c r="M30" s="449">
        <f t="shared" si="1"/>
        <v>0</v>
      </c>
      <c r="N30" s="452" t="s">
        <v>17</v>
      </c>
      <c r="O30" s="236"/>
      <c r="P30" s="449" t="str">
        <f t="shared" si="2"/>
        <v/>
      </c>
      <c r="Q30" s="449">
        <f t="shared" si="3"/>
        <v>0</v>
      </c>
      <c r="R30" s="452" t="s">
        <v>17</v>
      </c>
      <c r="S30" s="236"/>
      <c r="T30" s="449" t="str">
        <f t="shared" si="4"/>
        <v/>
      </c>
      <c r="U30" s="449">
        <f t="shared" si="5"/>
        <v>0</v>
      </c>
      <c r="V30" s="452" t="s">
        <v>17</v>
      </c>
      <c r="W30" s="236"/>
      <c r="X30" s="449" t="str">
        <f t="shared" si="6"/>
        <v/>
      </c>
      <c r="Y30" s="449">
        <f t="shared" si="7"/>
        <v>0</v>
      </c>
      <c r="Z30" s="452" t="s">
        <v>17</v>
      </c>
      <c r="AA30" s="236"/>
      <c r="AB30" s="449" t="str">
        <f t="shared" si="8"/>
        <v/>
      </c>
      <c r="AC30" s="449">
        <f t="shared" si="9"/>
        <v>0</v>
      </c>
      <c r="AD30" s="450">
        <f t="shared" si="10"/>
        <v>0</v>
      </c>
    </row>
    <row r="31" spans="1:30" ht="30" customHeight="1" x14ac:dyDescent="0.25">
      <c r="A31" s="130"/>
      <c r="B31" s="446">
        <f t="shared" si="11"/>
        <v>0</v>
      </c>
      <c r="C31" s="447">
        <f t="shared" si="12"/>
        <v>0</v>
      </c>
      <c r="D31" s="448">
        <v>17</v>
      </c>
      <c r="E31" s="372"/>
      <c r="F31" s="452" t="s">
        <v>17</v>
      </c>
      <c r="G31" s="236"/>
      <c r="H31" s="452" t="s">
        <v>17</v>
      </c>
      <c r="I31" s="365"/>
      <c r="J31" s="449">
        <f t="shared" si="0"/>
        <v>0</v>
      </c>
      <c r="K31" s="452" t="s">
        <v>17</v>
      </c>
      <c r="L31" s="366"/>
      <c r="M31" s="449">
        <f t="shared" si="1"/>
        <v>0</v>
      </c>
      <c r="N31" s="452" t="s">
        <v>17</v>
      </c>
      <c r="O31" s="236"/>
      <c r="P31" s="449" t="str">
        <f t="shared" si="2"/>
        <v/>
      </c>
      <c r="Q31" s="449">
        <f t="shared" si="3"/>
        <v>0</v>
      </c>
      <c r="R31" s="452" t="s">
        <v>17</v>
      </c>
      <c r="S31" s="236"/>
      <c r="T31" s="449" t="str">
        <f t="shared" si="4"/>
        <v/>
      </c>
      <c r="U31" s="449">
        <f t="shared" si="5"/>
        <v>0</v>
      </c>
      <c r="V31" s="452" t="s">
        <v>17</v>
      </c>
      <c r="W31" s="236"/>
      <c r="X31" s="449" t="str">
        <f t="shared" si="6"/>
        <v/>
      </c>
      <c r="Y31" s="449">
        <f t="shared" si="7"/>
        <v>0</v>
      </c>
      <c r="Z31" s="452" t="s">
        <v>17</v>
      </c>
      <c r="AA31" s="236"/>
      <c r="AB31" s="449" t="str">
        <f t="shared" si="8"/>
        <v/>
      </c>
      <c r="AC31" s="449">
        <f t="shared" si="9"/>
        <v>0</v>
      </c>
      <c r="AD31" s="450">
        <f t="shared" si="10"/>
        <v>0</v>
      </c>
    </row>
    <row r="32" spans="1:30" ht="30" customHeight="1" x14ac:dyDescent="0.25">
      <c r="A32" s="130"/>
      <c r="B32" s="446">
        <f t="shared" si="11"/>
        <v>0</v>
      </c>
      <c r="C32" s="447">
        <f t="shared" si="12"/>
        <v>0</v>
      </c>
      <c r="D32" s="448">
        <v>18</v>
      </c>
      <c r="E32" s="372"/>
      <c r="F32" s="452" t="s">
        <v>17</v>
      </c>
      <c r="G32" s="236"/>
      <c r="H32" s="452" t="s">
        <v>17</v>
      </c>
      <c r="I32" s="365"/>
      <c r="J32" s="449">
        <f t="shared" si="0"/>
        <v>0</v>
      </c>
      <c r="K32" s="452" t="s">
        <v>17</v>
      </c>
      <c r="L32" s="366"/>
      <c r="M32" s="449">
        <f t="shared" si="1"/>
        <v>0</v>
      </c>
      <c r="N32" s="452" t="s">
        <v>17</v>
      </c>
      <c r="O32" s="236"/>
      <c r="P32" s="449" t="str">
        <f t="shared" si="2"/>
        <v/>
      </c>
      <c r="Q32" s="449">
        <f t="shared" si="3"/>
        <v>0</v>
      </c>
      <c r="R32" s="452" t="s">
        <v>17</v>
      </c>
      <c r="S32" s="236"/>
      <c r="T32" s="449" t="str">
        <f t="shared" si="4"/>
        <v/>
      </c>
      <c r="U32" s="449">
        <f t="shared" si="5"/>
        <v>0</v>
      </c>
      <c r="V32" s="452" t="s">
        <v>17</v>
      </c>
      <c r="W32" s="236"/>
      <c r="X32" s="449" t="str">
        <f t="shared" si="6"/>
        <v/>
      </c>
      <c r="Y32" s="449">
        <f t="shared" si="7"/>
        <v>0</v>
      </c>
      <c r="Z32" s="452" t="s">
        <v>17</v>
      </c>
      <c r="AA32" s="236"/>
      <c r="AB32" s="449" t="str">
        <f t="shared" si="8"/>
        <v/>
      </c>
      <c r="AC32" s="449">
        <f t="shared" si="9"/>
        <v>0</v>
      </c>
      <c r="AD32" s="450">
        <f t="shared" si="10"/>
        <v>0</v>
      </c>
    </row>
    <row r="33" spans="1:30" ht="30" customHeight="1" x14ac:dyDescent="0.25">
      <c r="A33" s="130"/>
      <c r="B33" s="446">
        <f t="shared" si="11"/>
        <v>0</v>
      </c>
      <c r="C33" s="447">
        <f t="shared" si="12"/>
        <v>0</v>
      </c>
      <c r="D33" s="448">
        <v>19</v>
      </c>
      <c r="E33" s="372"/>
      <c r="F33" s="452" t="s">
        <v>17</v>
      </c>
      <c r="G33" s="236"/>
      <c r="H33" s="452" t="s">
        <v>17</v>
      </c>
      <c r="I33" s="365"/>
      <c r="J33" s="449">
        <f t="shared" si="0"/>
        <v>0</v>
      </c>
      <c r="K33" s="452" t="s">
        <v>17</v>
      </c>
      <c r="L33" s="366"/>
      <c r="M33" s="449">
        <f t="shared" si="1"/>
        <v>0</v>
      </c>
      <c r="N33" s="452" t="s">
        <v>17</v>
      </c>
      <c r="O33" s="236"/>
      <c r="P33" s="449" t="str">
        <f t="shared" si="2"/>
        <v/>
      </c>
      <c r="Q33" s="449">
        <f t="shared" si="3"/>
        <v>0</v>
      </c>
      <c r="R33" s="452" t="s">
        <v>17</v>
      </c>
      <c r="S33" s="236"/>
      <c r="T33" s="449" t="str">
        <f t="shared" si="4"/>
        <v/>
      </c>
      <c r="U33" s="449">
        <f t="shared" si="5"/>
        <v>0</v>
      </c>
      <c r="V33" s="452" t="s">
        <v>17</v>
      </c>
      <c r="W33" s="236"/>
      <c r="X33" s="449" t="str">
        <f t="shared" si="6"/>
        <v/>
      </c>
      <c r="Y33" s="449">
        <f t="shared" si="7"/>
        <v>0</v>
      </c>
      <c r="Z33" s="452" t="s">
        <v>17</v>
      </c>
      <c r="AA33" s="236"/>
      <c r="AB33" s="449" t="str">
        <f t="shared" si="8"/>
        <v/>
      </c>
      <c r="AC33" s="449">
        <f t="shared" si="9"/>
        <v>0</v>
      </c>
      <c r="AD33" s="450">
        <f t="shared" si="10"/>
        <v>0</v>
      </c>
    </row>
    <row r="34" spans="1:30" ht="30" customHeight="1" x14ac:dyDescent="0.25">
      <c r="A34" s="130"/>
      <c r="B34" s="446">
        <f t="shared" si="11"/>
        <v>0</v>
      </c>
      <c r="C34" s="447">
        <f t="shared" si="12"/>
        <v>0</v>
      </c>
      <c r="D34" s="448">
        <v>20</v>
      </c>
      <c r="E34" s="372"/>
      <c r="F34" s="452" t="s">
        <v>17</v>
      </c>
      <c r="G34" s="236"/>
      <c r="H34" s="452" t="s">
        <v>17</v>
      </c>
      <c r="I34" s="365"/>
      <c r="J34" s="449">
        <f t="shared" si="0"/>
        <v>0</v>
      </c>
      <c r="K34" s="452" t="s">
        <v>17</v>
      </c>
      <c r="L34" s="366"/>
      <c r="M34" s="449">
        <f t="shared" si="1"/>
        <v>0</v>
      </c>
      <c r="N34" s="452" t="s">
        <v>17</v>
      </c>
      <c r="O34" s="236"/>
      <c r="P34" s="449" t="str">
        <f t="shared" si="2"/>
        <v/>
      </c>
      <c r="Q34" s="449">
        <f t="shared" si="3"/>
        <v>0</v>
      </c>
      <c r="R34" s="452" t="s">
        <v>17</v>
      </c>
      <c r="S34" s="236"/>
      <c r="T34" s="449" t="str">
        <f t="shared" si="4"/>
        <v/>
      </c>
      <c r="U34" s="449">
        <f t="shared" si="5"/>
        <v>0</v>
      </c>
      <c r="V34" s="452" t="s">
        <v>17</v>
      </c>
      <c r="W34" s="236"/>
      <c r="X34" s="449" t="str">
        <f t="shared" si="6"/>
        <v/>
      </c>
      <c r="Y34" s="449">
        <f t="shared" si="7"/>
        <v>0</v>
      </c>
      <c r="Z34" s="452" t="s">
        <v>17</v>
      </c>
      <c r="AA34" s="236"/>
      <c r="AB34" s="449" t="str">
        <f t="shared" si="8"/>
        <v/>
      </c>
      <c r="AC34" s="449">
        <f t="shared" si="9"/>
        <v>0</v>
      </c>
      <c r="AD34" s="450">
        <f t="shared" si="10"/>
        <v>0</v>
      </c>
    </row>
    <row r="35" spans="1:30" ht="12.75" customHeight="1" x14ac:dyDescent="0.25">
      <c r="A35" s="444"/>
      <c r="B35" s="426"/>
      <c r="C35" s="426"/>
      <c r="D35" s="426"/>
      <c r="E35" s="445"/>
      <c r="F35" s="445"/>
      <c r="G35" s="445"/>
      <c r="H35" s="426"/>
      <c r="I35" s="426"/>
      <c r="J35" s="426"/>
      <c r="K35" s="426"/>
      <c r="L35" s="426"/>
      <c r="M35" s="426"/>
      <c r="N35" s="426"/>
      <c r="O35" s="426"/>
      <c r="P35" s="426"/>
      <c r="Q35" s="426"/>
      <c r="R35" s="426"/>
      <c r="S35" s="426"/>
      <c r="T35" s="426"/>
      <c r="U35" s="426"/>
      <c r="V35" s="426"/>
      <c r="W35" s="426"/>
      <c r="X35" s="426"/>
      <c r="Y35" s="426"/>
      <c r="Z35" s="426"/>
      <c r="AA35" s="426"/>
      <c r="AB35" s="426"/>
      <c r="AC35" s="426"/>
    </row>
    <row r="36" spans="1:30" ht="7.5" customHeight="1" x14ac:dyDescent="0.25">
      <c r="A36" s="444"/>
      <c r="B36" s="426"/>
      <c r="C36" s="426"/>
      <c r="D36" s="640"/>
      <c r="E36" s="641"/>
      <c r="F36" s="427"/>
      <c r="G36" s="427"/>
      <c r="H36" s="426"/>
      <c r="I36" s="426"/>
      <c r="J36" s="426"/>
      <c r="K36" s="426"/>
      <c r="L36" s="426"/>
      <c r="M36" s="426"/>
      <c r="N36" s="426"/>
      <c r="O36" s="426"/>
      <c r="P36" s="426"/>
      <c r="Q36" s="426"/>
      <c r="R36" s="426"/>
      <c r="S36" s="426"/>
      <c r="T36" s="426"/>
      <c r="U36" s="426"/>
      <c r="V36" s="426"/>
      <c r="W36" s="426"/>
      <c r="X36" s="426"/>
      <c r="Y36" s="426"/>
      <c r="Z36" s="426"/>
      <c r="AA36" s="426"/>
      <c r="AB36" s="426"/>
      <c r="AC36" s="426"/>
    </row>
    <row r="37" spans="1:30" ht="6" customHeight="1" x14ac:dyDescent="0.25">
      <c r="A37" s="426"/>
      <c r="B37" s="426"/>
      <c r="C37" s="426"/>
      <c r="D37" s="642"/>
      <c r="E37" s="643"/>
      <c r="F37" s="427"/>
      <c r="G37" s="427"/>
      <c r="H37" s="426"/>
      <c r="I37" s="426"/>
      <c r="J37" s="426"/>
      <c r="K37" s="426"/>
      <c r="L37" s="426"/>
      <c r="M37" s="426"/>
      <c r="N37" s="426"/>
      <c r="O37" s="426"/>
      <c r="P37" s="426"/>
      <c r="Q37" s="426"/>
      <c r="R37" s="426"/>
      <c r="S37" s="426"/>
      <c r="T37" s="426"/>
      <c r="U37" s="426"/>
      <c r="V37" s="426"/>
      <c r="W37" s="426"/>
      <c r="X37" s="426"/>
      <c r="Y37" s="426"/>
      <c r="Z37" s="426"/>
      <c r="AA37" s="426"/>
      <c r="AB37" s="426"/>
      <c r="AC37" s="426"/>
      <c r="AD37" s="451"/>
    </row>
    <row r="38" spans="1:30" ht="15.75" customHeight="1" x14ac:dyDescent="0.25">
      <c r="A38" s="423"/>
      <c r="B38" s="424" t="s">
        <v>12</v>
      </c>
      <c r="C38" s="424"/>
      <c r="E38" s="425"/>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row>
    <row r="39" spans="1:30" ht="15.75" hidden="1" customHeight="1" x14ac:dyDescent="0.25">
      <c r="A39" s="426"/>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row>
    <row r="40" spans="1:30" ht="15.75" hidden="1" customHeight="1" x14ac:dyDescent="0.25">
      <c r="A40" s="426"/>
      <c r="B40"/>
      <c r="C40"/>
      <c r="D40" s="426"/>
      <c r="E40" s="426"/>
      <c r="F40" s="426"/>
      <c r="G40" s="426"/>
      <c r="H40" s="426"/>
      <c r="I40" s="426"/>
      <c r="L40" s="426"/>
      <c r="M40" s="428"/>
      <c r="N40" s="428"/>
      <c r="O40" s="429" t="s">
        <v>94</v>
      </c>
      <c r="P40" s="430" t="s">
        <v>500</v>
      </c>
      <c r="S40"/>
      <c r="T40"/>
      <c r="U40"/>
      <c r="V40"/>
      <c r="W40"/>
      <c r="X40"/>
      <c r="Y40"/>
      <c r="Z40"/>
      <c r="AA40"/>
      <c r="AB40"/>
      <c r="AC40"/>
    </row>
    <row r="41" spans="1:30" ht="15.75" hidden="1" customHeight="1" x14ac:dyDescent="0.25">
      <c r="A41" s="426"/>
      <c r="B41"/>
      <c r="C41"/>
      <c r="D41" s="431" t="s">
        <v>419</v>
      </c>
      <c r="E41" s="431" t="s">
        <v>371</v>
      </c>
      <c r="F41" s="431" t="s">
        <v>19</v>
      </c>
      <c r="G41" s="431"/>
      <c r="H41" s="431" t="s">
        <v>170</v>
      </c>
      <c r="I41" s="426"/>
      <c r="L41" s="431" t="s">
        <v>224</v>
      </c>
      <c r="M41" s="431" t="s">
        <v>101</v>
      </c>
      <c r="N41" s="431" t="s">
        <v>18</v>
      </c>
      <c r="O41" s="432" t="s">
        <v>78</v>
      </c>
      <c r="P41" s="433" t="s">
        <v>10</v>
      </c>
      <c r="S41"/>
      <c r="T41"/>
      <c r="U41"/>
      <c r="V41"/>
      <c r="W41"/>
      <c r="X41"/>
      <c r="Y41"/>
      <c r="Z41"/>
      <c r="AA41"/>
      <c r="AB41"/>
      <c r="AC41"/>
    </row>
    <row r="42" spans="1:30" ht="15.75" hidden="1" customHeight="1" x14ac:dyDescent="0.25">
      <c r="A42" s="426"/>
      <c r="B42"/>
      <c r="C42"/>
      <c r="D42" s="434" t="s">
        <v>17</v>
      </c>
      <c r="E42" s="435" t="s">
        <v>17</v>
      </c>
      <c r="F42" s="436" t="s">
        <v>17</v>
      </c>
      <c r="G42" s="435"/>
      <c r="H42" s="435" t="s">
        <v>17</v>
      </c>
      <c r="I42" s="426"/>
      <c r="L42" s="435" t="s">
        <v>17</v>
      </c>
      <c r="M42" s="435" t="s">
        <v>17</v>
      </c>
      <c r="N42" s="435"/>
      <c r="O42" s="437"/>
      <c r="P42" s="438"/>
      <c r="S42"/>
      <c r="T42"/>
      <c r="U42"/>
      <c r="V42"/>
      <c r="W42"/>
      <c r="X42"/>
      <c r="Y42"/>
      <c r="Z42"/>
      <c r="AA42"/>
      <c r="AB42"/>
      <c r="AC42"/>
    </row>
    <row r="43" spans="1:30" ht="15.75" hidden="1" customHeight="1" x14ac:dyDescent="0.25">
      <c r="A43" s="426"/>
      <c r="B43"/>
      <c r="C43"/>
      <c r="D43" s="439" t="s">
        <v>81</v>
      </c>
      <c r="E43" s="440" t="str">
        <f>IF(E15&lt;&gt;"",E15,"")</f>
        <v/>
      </c>
      <c r="F43" s="441" t="s">
        <v>27</v>
      </c>
      <c r="G43" s="440"/>
      <c r="H43" s="440" t="s">
        <v>13</v>
      </c>
      <c r="I43" s="426"/>
      <c r="L43" s="442" t="s">
        <v>225</v>
      </c>
      <c r="M43" s="442" t="s">
        <v>47</v>
      </c>
      <c r="N43" s="442" t="s">
        <v>92</v>
      </c>
      <c r="O43" s="131" t="s">
        <v>77</v>
      </c>
      <c r="P43" s="132">
        <v>0.28310000000000002</v>
      </c>
      <c r="S43"/>
      <c r="T43"/>
      <c r="U43"/>
      <c r="V43"/>
      <c r="W43"/>
      <c r="X43"/>
      <c r="Y43"/>
      <c r="Z43"/>
      <c r="AA43"/>
      <c r="AB43"/>
      <c r="AC43"/>
    </row>
    <row r="44" spans="1:30" ht="15.75" hidden="1" customHeight="1" x14ac:dyDescent="0.25">
      <c r="A44" s="426"/>
      <c r="B44"/>
      <c r="C44"/>
      <c r="D44" s="439" t="s">
        <v>238</v>
      </c>
      <c r="E44" s="440" t="str">
        <f t="shared" ref="E44:E62" si="13">IF(E16&lt;&gt;"",E16,"")</f>
        <v/>
      </c>
      <c r="F44" s="441" t="s">
        <v>28</v>
      </c>
      <c r="G44" s="440"/>
      <c r="H44" s="440" t="s">
        <v>173</v>
      </c>
      <c r="I44" s="426"/>
      <c r="L44" s="442" t="s">
        <v>229</v>
      </c>
      <c r="M44" s="442" t="s">
        <v>49</v>
      </c>
      <c r="N44" s="442" t="s">
        <v>92</v>
      </c>
      <c r="O44" s="133" t="s">
        <v>77</v>
      </c>
      <c r="P44" s="132">
        <v>0.1769</v>
      </c>
      <c r="S44"/>
      <c r="T44"/>
      <c r="U44"/>
      <c r="V44"/>
      <c r="W44"/>
      <c r="X44"/>
      <c r="Y44"/>
      <c r="Z44"/>
      <c r="AA44"/>
      <c r="AB44"/>
      <c r="AC44"/>
    </row>
    <row r="45" spans="1:30" ht="15.75" hidden="1" customHeight="1" x14ac:dyDescent="0.25">
      <c r="A45" s="426"/>
      <c r="B45"/>
      <c r="C45"/>
      <c r="D45" s="439" t="s">
        <v>239</v>
      </c>
      <c r="E45" s="440" t="str">
        <f t="shared" si="13"/>
        <v/>
      </c>
      <c r="F45" s="441" t="s">
        <v>29</v>
      </c>
      <c r="G45" s="440"/>
      <c r="H45" s="440" t="s">
        <v>232</v>
      </c>
      <c r="I45" s="426"/>
      <c r="L45" s="442" t="s">
        <v>230</v>
      </c>
      <c r="M45" s="442" t="s">
        <v>55</v>
      </c>
      <c r="N45" s="442" t="s">
        <v>15</v>
      </c>
      <c r="O45" s="133" t="s">
        <v>90</v>
      </c>
      <c r="P45" s="132">
        <v>8.3120000000000004E-4</v>
      </c>
      <c r="S45"/>
      <c r="T45"/>
      <c r="U45"/>
      <c r="V45"/>
      <c r="W45"/>
      <c r="X45"/>
      <c r="Y45"/>
      <c r="Z45"/>
      <c r="AA45"/>
      <c r="AB45"/>
      <c r="AC45"/>
    </row>
    <row r="46" spans="1:30" ht="15.75" hidden="1" customHeight="1" x14ac:dyDescent="0.25">
      <c r="A46" s="426"/>
      <c r="B46"/>
      <c r="C46"/>
      <c r="D46" s="439" t="s">
        <v>359</v>
      </c>
      <c r="E46" s="440" t="str">
        <f t="shared" si="13"/>
        <v/>
      </c>
      <c r="F46" s="441" t="s">
        <v>30</v>
      </c>
      <c r="G46" s="440"/>
      <c r="H46" s="440" t="s">
        <v>228</v>
      </c>
      <c r="I46" s="426"/>
      <c r="L46" s="442" t="s">
        <v>226</v>
      </c>
      <c r="M46" s="442" t="s">
        <v>56</v>
      </c>
      <c r="N46" s="442" t="s">
        <v>15</v>
      </c>
      <c r="O46" s="133" t="s">
        <v>90</v>
      </c>
      <c r="P46" s="132">
        <v>5.0660000000000006E-4</v>
      </c>
      <c r="S46"/>
      <c r="T46"/>
      <c r="U46"/>
      <c r="V46"/>
      <c r="W46"/>
      <c r="X46"/>
      <c r="Y46"/>
      <c r="Z46"/>
      <c r="AA46"/>
      <c r="AB46"/>
      <c r="AC46"/>
    </row>
    <row r="47" spans="1:30" ht="15.75" hidden="1" customHeight="1" x14ac:dyDescent="0.25">
      <c r="A47" s="426"/>
      <c r="B47"/>
      <c r="C47"/>
      <c r="D47" s="439" t="s">
        <v>428</v>
      </c>
      <c r="E47" s="440" t="str">
        <f t="shared" si="13"/>
        <v/>
      </c>
      <c r="F47" s="441" t="s">
        <v>31</v>
      </c>
      <c r="G47" s="440"/>
      <c r="H47" s="440" t="s">
        <v>9</v>
      </c>
      <c r="I47" s="426"/>
      <c r="L47" s="442" t="s">
        <v>227</v>
      </c>
      <c r="M47" s="442" t="s">
        <v>0</v>
      </c>
      <c r="N47" s="442" t="s">
        <v>92</v>
      </c>
      <c r="O47" s="133" t="s">
        <v>77</v>
      </c>
      <c r="P47" s="132">
        <v>0.7</v>
      </c>
      <c r="S47"/>
      <c r="T47"/>
      <c r="U47"/>
      <c r="V47"/>
      <c r="W47"/>
      <c r="X47"/>
      <c r="Y47"/>
      <c r="Z47"/>
      <c r="AA47"/>
      <c r="AB47"/>
      <c r="AC47"/>
    </row>
    <row r="48" spans="1:30" ht="15.75" hidden="1" customHeight="1" x14ac:dyDescent="0.25">
      <c r="A48" s="426"/>
      <c r="B48"/>
      <c r="C48"/>
      <c r="D48"/>
      <c r="E48" s="440" t="str">
        <f t="shared" si="13"/>
        <v/>
      </c>
      <c r="F48" s="441" t="s">
        <v>32</v>
      </c>
      <c r="G48" s="440"/>
      <c r="H48" s="440" t="s">
        <v>120</v>
      </c>
      <c r="I48" s="426"/>
      <c r="L48" s="442"/>
      <c r="M48" s="442" t="s">
        <v>50</v>
      </c>
      <c r="N48" s="442" t="s">
        <v>92</v>
      </c>
      <c r="O48" s="131" t="s">
        <v>77</v>
      </c>
      <c r="P48" s="132">
        <v>0.75</v>
      </c>
      <c r="S48"/>
      <c r="T48"/>
      <c r="U48"/>
      <c r="V48"/>
      <c r="W48"/>
      <c r="X48"/>
      <c r="Y48"/>
      <c r="Z48"/>
      <c r="AA48"/>
      <c r="AB48"/>
      <c r="AC48"/>
    </row>
    <row r="49" spans="1:29" ht="15.75" hidden="1" customHeight="1" x14ac:dyDescent="0.25">
      <c r="A49" s="426"/>
      <c r="B49"/>
      <c r="C49"/>
      <c r="D49"/>
      <c r="E49" s="440" t="str">
        <f t="shared" si="13"/>
        <v/>
      </c>
      <c r="F49" s="441" t="s">
        <v>33</v>
      </c>
      <c r="G49" s="440"/>
      <c r="H49" s="440" t="s">
        <v>1</v>
      </c>
      <c r="I49" s="426"/>
      <c r="L49" s="442"/>
      <c r="M49" s="442" t="s">
        <v>51</v>
      </c>
      <c r="N49" s="442" t="s">
        <v>92</v>
      </c>
      <c r="O49" s="133" t="s">
        <v>77</v>
      </c>
      <c r="P49" s="132">
        <v>0.28499999999999998</v>
      </c>
      <c r="S49"/>
      <c r="T49"/>
      <c r="U49"/>
      <c r="V49"/>
      <c r="W49"/>
      <c r="X49"/>
      <c r="Y49"/>
      <c r="Z49"/>
      <c r="AA49"/>
      <c r="AB49"/>
      <c r="AC49"/>
    </row>
    <row r="50" spans="1:29" ht="15.75" hidden="1" customHeight="1" x14ac:dyDescent="0.25">
      <c r="A50" s="426"/>
      <c r="B50"/>
      <c r="C50"/>
      <c r="D50"/>
      <c r="E50" s="440" t="str">
        <f t="shared" si="13"/>
        <v/>
      </c>
      <c r="F50" s="441" t="s">
        <v>34</v>
      </c>
      <c r="G50" s="440"/>
      <c r="H50" s="440" t="s">
        <v>2</v>
      </c>
      <c r="I50" s="426"/>
      <c r="L50" s="442"/>
      <c r="M50" s="442" t="s">
        <v>52</v>
      </c>
      <c r="N50" s="442" t="s">
        <v>92</v>
      </c>
      <c r="O50" s="131" t="s">
        <v>77</v>
      </c>
      <c r="P50" s="132">
        <v>0.38</v>
      </c>
      <c r="S50"/>
      <c r="T50"/>
      <c r="U50"/>
      <c r="V50"/>
      <c r="W50"/>
      <c r="X50"/>
      <c r="Y50"/>
      <c r="Z50"/>
      <c r="AA50"/>
      <c r="AB50"/>
      <c r="AC50"/>
    </row>
    <row r="51" spans="1:29" ht="15.75" hidden="1" customHeight="1" x14ac:dyDescent="0.25">
      <c r="A51" s="426"/>
      <c r="B51"/>
      <c r="C51"/>
      <c r="D51"/>
      <c r="E51" s="440" t="str">
        <f t="shared" si="13"/>
        <v/>
      </c>
      <c r="F51" s="441" t="s">
        <v>35</v>
      </c>
      <c r="G51" s="440"/>
      <c r="H51" s="440" t="s">
        <v>3</v>
      </c>
      <c r="I51" s="426"/>
      <c r="L51" s="443"/>
      <c r="M51" s="442" t="s">
        <v>53</v>
      </c>
      <c r="N51" s="442" t="s">
        <v>92</v>
      </c>
      <c r="O51" s="133" t="s">
        <v>77</v>
      </c>
      <c r="P51" s="132">
        <v>0.37119999999999997</v>
      </c>
      <c r="S51"/>
      <c r="T51"/>
      <c r="U51"/>
      <c r="V51"/>
      <c r="W51"/>
      <c r="X51"/>
      <c r="Y51"/>
      <c r="Z51"/>
      <c r="AA51"/>
      <c r="AB51"/>
      <c r="AC51"/>
    </row>
    <row r="52" spans="1:29" ht="15.75" hidden="1" customHeight="1" x14ac:dyDescent="0.25">
      <c r="A52" s="426"/>
      <c r="B52"/>
      <c r="C52"/>
      <c r="D52"/>
      <c r="E52" s="440" t="str">
        <f t="shared" si="13"/>
        <v/>
      </c>
      <c r="F52" s="441" t="s">
        <v>36</v>
      </c>
      <c r="G52" s="440"/>
      <c r="H52" s="443" t="s">
        <v>4</v>
      </c>
      <c r="I52" s="426"/>
      <c r="L52" s="443"/>
      <c r="M52" s="435" t="s">
        <v>93</v>
      </c>
      <c r="N52" s="435" t="s">
        <v>92</v>
      </c>
      <c r="O52" s="131" t="s">
        <v>77</v>
      </c>
      <c r="P52" s="132">
        <v>0.28310000000000002</v>
      </c>
      <c r="S52"/>
      <c r="T52"/>
      <c r="U52"/>
      <c r="V52"/>
      <c r="W52"/>
      <c r="X52"/>
      <c r="Y52"/>
      <c r="Z52"/>
      <c r="AA52"/>
      <c r="AB52"/>
      <c r="AC52"/>
    </row>
    <row r="53" spans="1:29" ht="15.75" hidden="1" customHeight="1" x14ac:dyDescent="0.25">
      <c r="A53" s="426"/>
      <c r="B53"/>
      <c r="C53"/>
      <c r="D53"/>
      <c r="E53" s="440" t="str">
        <f t="shared" si="13"/>
        <v/>
      </c>
      <c r="F53" s="441" t="s">
        <v>37</v>
      </c>
      <c r="G53" s="440"/>
      <c r="H53" s="443" t="s">
        <v>5</v>
      </c>
      <c r="I53" s="426"/>
      <c r="L53" s="443"/>
      <c r="M53" s="442" t="s">
        <v>95</v>
      </c>
      <c r="N53" s="442" t="s">
        <v>92</v>
      </c>
      <c r="O53" s="133" t="s">
        <v>77</v>
      </c>
      <c r="P53" s="132">
        <v>0.68</v>
      </c>
      <c r="S53"/>
      <c r="T53"/>
      <c r="U53"/>
      <c r="V53"/>
      <c r="W53"/>
      <c r="X53"/>
      <c r="Y53"/>
      <c r="Z53"/>
      <c r="AA53"/>
      <c r="AB53"/>
      <c r="AC53"/>
    </row>
    <row r="54" spans="1:29" ht="15.75" hidden="1" customHeight="1" x14ac:dyDescent="0.25">
      <c r="A54" s="426"/>
      <c r="B54"/>
      <c r="C54"/>
      <c r="D54"/>
      <c r="E54" s="440" t="str">
        <f t="shared" si="13"/>
        <v/>
      </c>
      <c r="F54" s="441" t="s">
        <v>38</v>
      </c>
      <c r="G54" s="440"/>
      <c r="H54" s="443" t="s">
        <v>6</v>
      </c>
      <c r="I54" s="426"/>
      <c r="L54" s="443"/>
      <c r="M54" s="442" t="s">
        <v>96</v>
      </c>
      <c r="N54" s="442" t="s">
        <v>92</v>
      </c>
      <c r="O54" s="133" t="s">
        <v>77</v>
      </c>
      <c r="P54" s="132">
        <v>0.93859999999999999</v>
      </c>
      <c r="S54"/>
      <c r="T54"/>
      <c r="U54"/>
      <c r="V54"/>
      <c r="W54"/>
      <c r="X54"/>
      <c r="Y54"/>
      <c r="Z54"/>
      <c r="AA54"/>
      <c r="AB54"/>
      <c r="AC54"/>
    </row>
    <row r="55" spans="1:29" ht="15.75" hidden="1" customHeight="1" x14ac:dyDescent="0.25">
      <c r="A55" s="426"/>
      <c r="B55"/>
      <c r="C55"/>
      <c r="D55"/>
      <c r="E55" s="440" t="str">
        <f t="shared" si="13"/>
        <v/>
      </c>
      <c r="F55" s="441" t="s">
        <v>39</v>
      </c>
      <c r="G55" s="440"/>
      <c r="H55" s="443" t="s">
        <v>7</v>
      </c>
      <c r="I55" s="426"/>
      <c r="L55" s="443"/>
      <c r="M55" s="442" t="s">
        <v>97</v>
      </c>
      <c r="N55" s="442" t="s">
        <v>92</v>
      </c>
      <c r="O55" s="131" t="s">
        <v>77</v>
      </c>
      <c r="P55" s="132">
        <v>0.8</v>
      </c>
      <c r="S55"/>
      <c r="T55"/>
      <c r="U55"/>
      <c r="V55"/>
      <c r="W55"/>
      <c r="X55"/>
      <c r="Y55"/>
      <c r="Z55"/>
      <c r="AA55"/>
      <c r="AB55"/>
      <c r="AC55"/>
    </row>
    <row r="56" spans="1:29" ht="15.75" hidden="1" customHeight="1" x14ac:dyDescent="0.25">
      <c r="A56" s="426"/>
      <c r="B56"/>
      <c r="C56"/>
      <c r="D56"/>
      <c r="E56" s="440" t="str">
        <f t="shared" si="13"/>
        <v/>
      </c>
      <c r="F56" s="441" t="s">
        <v>40</v>
      </c>
      <c r="G56" s="440"/>
      <c r="H56" s="443" t="s">
        <v>8</v>
      </c>
      <c r="I56" s="426"/>
      <c r="L56" s="443"/>
      <c r="M56" s="442" t="s">
        <v>73</v>
      </c>
      <c r="N56" s="442" t="s">
        <v>11</v>
      </c>
      <c r="O56" s="133" t="s">
        <v>91</v>
      </c>
      <c r="P56" s="132">
        <v>8.599999999999999E-5</v>
      </c>
      <c r="S56"/>
      <c r="T56"/>
      <c r="U56"/>
      <c r="V56"/>
      <c r="W56"/>
      <c r="X56"/>
      <c r="Y56"/>
      <c r="Z56"/>
      <c r="AA56"/>
      <c r="AB56"/>
      <c r="AC56"/>
    </row>
    <row r="57" spans="1:29" ht="15.75" hidden="1" customHeight="1" x14ac:dyDescent="0.25">
      <c r="A57" s="426"/>
      <c r="B57"/>
      <c r="C57"/>
      <c r="D57"/>
      <c r="E57" s="440" t="str">
        <f t="shared" si="13"/>
        <v/>
      </c>
      <c r="F57" s="441" t="s">
        <v>41</v>
      </c>
      <c r="G57" s="440"/>
      <c r="H57" s="443" t="s">
        <v>233</v>
      </c>
      <c r="I57" s="426"/>
      <c r="L57" s="443"/>
      <c r="M57" s="442" t="s">
        <v>383</v>
      </c>
      <c r="N57" s="442" t="s">
        <v>15</v>
      </c>
      <c r="O57" s="133" t="s">
        <v>90</v>
      </c>
      <c r="P57" s="132">
        <v>9.2849999999999996E-4</v>
      </c>
      <c r="S57"/>
      <c r="T57"/>
      <c r="U57"/>
      <c r="V57"/>
      <c r="W57"/>
      <c r="X57"/>
      <c r="Y57"/>
      <c r="Z57"/>
      <c r="AA57"/>
      <c r="AB57"/>
      <c r="AC57"/>
    </row>
    <row r="58" spans="1:29" ht="15.75" hidden="1" customHeight="1" x14ac:dyDescent="0.25">
      <c r="A58" s="426"/>
      <c r="B58"/>
      <c r="C58"/>
      <c r="D58"/>
      <c r="E58" s="440" t="str">
        <f t="shared" si="13"/>
        <v/>
      </c>
      <c r="F58" s="441" t="s">
        <v>42</v>
      </c>
      <c r="G58" s="440"/>
      <c r="H58" s="443" t="s">
        <v>234</v>
      </c>
      <c r="I58" s="426"/>
      <c r="L58" s="443"/>
      <c r="M58" s="442" t="s">
        <v>384</v>
      </c>
      <c r="N58" s="442" t="s">
        <v>15</v>
      </c>
      <c r="O58" s="133" t="s">
        <v>90</v>
      </c>
      <c r="P58" s="132">
        <v>9.3559999999999997E-4</v>
      </c>
      <c r="S58"/>
      <c r="T58"/>
      <c r="U58"/>
      <c r="V58"/>
      <c r="W58"/>
      <c r="X58"/>
      <c r="Y58"/>
      <c r="Z58"/>
      <c r="AA58"/>
      <c r="AB58"/>
      <c r="AC58"/>
    </row>
    <row r="59" spans="1:29" ht="15.75" hidden="1" customHeight="1" x14ac:dyDescent="0.25">
      <c r="A59" s="426"/>
      <c r="B59"/>
      <c r="C59"/>
      <c r="D59"/>
      <c r="E59" s="440" t="str">
        <f t="shared" si="13"/>
        <v/>
      </c>
      <c r="F59" s="441" t="s">
        <v>43</v>
      </c>
      <c r="G59" s="440"/>
      <c r="H59" s="443" t="s">
        <v>235</v>
      </c>
      <c r="I59" s="426"/>
      <c r="L59" s="443"/>
      <c r="M59" s="442" t="s">
        <v>385</v>
      </c>
      <c r="N59" s="442" t="s">
        <v>15</v>
      </c>
      <c r="O59" s="133" t="s">
        <v>90</v>
      </c>
      <c r="P59" s="132">
        <v>9.5330000000000002E-4</v>
      </c>
      <c r="S59"/>
      <c r="T59"/>
      <c r="U59"/>
      <c r="V59"/>
      <c r="W59"/>
      <c r="X59"/>
      <c r="Y59"/>
      <c r="Z59"/>
      <c r="AA59"/>
      <c r="AB59"/>
      <c r="AC59"/>
    </row>
    <row r="60" spans="1:29" ht="15.75" hidden="1" customHeight="1" x14ac:dyDescent="0.25">
      <c r="A60" s="426"/>
      <c r="B60"/>
      <c r="C60"/>
      <c r="D60"/>
      <c r="E60" s="440" t="str">
        <f t="shared" si="13"/>
        <v/>
      </c>
      <c r="F60" s="441" t="s">
        <v>44</v>
      </c>
      <c r="G60" s="440"/>
      <c r="H60" s="443" t="s">
        <v>236</v>
      </c>
      <c r="I60" s="426"/>
      <c r="L60" s="443"/>
      <c r="M60" s="442" t="s">
        <v>98</v>
      </c>
      <c r="N60" s="442" t="s">
        <v>16</v>
      </c>
      <c r="O60" s="133" t="s">
        <v>386</v>
      </c>
      <c r="P60" s="132">
        <v>8.3000000000000001E-4</v>
      </c>
      <c r="S60"/>
      <c r="T60"/>
      <c r="U60"/>
      <c r="V60"/>
      <c r="W60"/>
      <c r="X60"/>
      <c r="Y60"/>
      <c r="Z60"/>
      <c r="AA60"/>
      <c r="AB60"/>
      <c r="AC60"/>
    </row>
    <row r="61" spans="1:29" ht="15.75" hidden="1" customHeight="1" x14ac:dyDescent="0.25">
      <c r="A61" s="426"/>
      <c r="B61"/>
      <c r="C61"/>
      <c r="D61"/>
      <c r="E61" s="440" t="str">
        <f t="shared" si="13"/>
        <v/>
      </c>
      <c r="F61" s="441" t="s">
        <v>45</v>
      </c>
      <c r="G61" s="440"/>
      <c r="H61" s="443" t="s">
        <v>116</v>
      </c>
      <c r="I61" s="426"/>
      <c r="L61" s="443"/>
      <c r="M61" s="230" t="s">
        <v>104</v>
      </c>
      <c r="N61" s="230" t="s">
        <v>15</v>
      </c>
      <c r="O61" s="133" t="s">
        <v>90</v>
      </c>
      <c r="P61" s="132">
        <v>8.541E-4</v>
      </c>
      <c r="S61"/>
      <c r="T61"/>
      <c r="U61"/>
      <c r="V61"/>
      <c r="W61"/>
      <c r="X61"/>
      <c r="Y61"/>
      <c r="Z61"/>
      <c r="AA61"/>
      <c r="AB61"/>
      <c r="AC61"/>
    </row>
    <row r="62" spans="1:29" ht="15.75" hidden="1" customHeight="1" x14ac:dyDescent="0.25">
      <c r="A62" s="426"/>
      <c r="B62"/>
      <c r="C62"/>
      <c r="D62"/>
      <c r="E62" s="440" t="str">
        <f t="shared" si="13"/>
        <v/>
      </c>
      <c r="F62" s="440"/>
      <c r="G62" s="440"/>
      <c r="H62" s="443" t="s">
        <v>14</v>
      </c>
      <c r="I62" s="426"/>
      <c r="L62"/>
      <c r="M62" s="230" t="s">
        <v>103</v>
      </c>
      <c r="N62" s="230" t="s">
        <v>15</v>
      </c>
      <c r="O62" s="133" t="s">
        <v>90</v>
      </c>
      <c r="P62" s="132">
        <v>8.5829999999999999E-4</v>
      </c>
      <c r="S62"/>
      <c r="T62"/>
      <c r="U62"/>
      <c r="V62"/>
      <c r="W62"/>
      <c r="X62"/>
      <c r="Y62"/>
      <c r="Z62"/>
      <c r="AA62"/>
      <c r="AB62"/>
      <c r="AC62"/>
    </row>
    <row r="63" spans="1:29" ht="15.75" hidden="1" customHeight="1" x14ac:dyDescent="0.25">
      <c r="A63" s="426"/>
      <c r="B63"/>
      <c r="C63"/>
      <c r="D63"/>
      <c r="E63"/>
      <c r="F63"/>
      <c r="G63"/>
      <c r="H63" s="443" t="s">
        <v>237</v>
      </c>
      <c r="I63" s="426"/>
      <c r="L63"/>
      <c r="M63" s="442" t="s">
        <v>99</v>
      </c>
      <c r="N63" s="442" t="s">
        <v>15</v>
      </c>
      <c r="O63" s="133" t="s">
        <v>90</v>
      </c>
      <c r="P63" s="132">
        <v>7.5190000000000001E-4</v>
      </c>
      <c r="S63"/>
      <c r="T63"/>
      <c r="U63"/>
      <c r="V63"/>
      <c r="W63"/>
      <c r="X63"/>
      <c r="Y63"/>
      <c r="Z63"/>
      <c r="AA63"/>
      <c r="AB63"/>
      <c r="AC63"/>
    </row>
    <row r="64" spans="1:29" ht="15.75" hidden="1" customHeight="1" x14ac:dyDescent="0.25">
      <c r="A64" s="426"/>
      <c r="B64"/>
      <c r="C64"/>
      <c r="D64"/>
      <c r="E64"/>
      <c r="F64"/>
      <c r="G64"/>
      <c r="H64" s="426"/>
      <c r="I64" s="426"/>
      <c r="L64"/>
      <c r="M64" s="442" t="s">
        <v>105</v>
      </c>
      <c r="N64" s="442" t="s">
        <v>15</v>
      </c>
      <c r="O64" s="133" t="s">
        <v>90</v>
      </c>
      <c r="P64" s="132">
        <v>7.8629999999999998E-4</v>
      </c>
      <c r="S64"/>
      <c r="T64"/>
      <c r="U64"/>
      <c r="V64"/>
      <c r="W64"/>
      <c r="X64"/>
      <c r="Y64"/>
      <c r="Z64"/>
      <c r="AA64"/>
      <c r="AB64"/>
      <c r="AC64"/>
    </row>
    <row r="65" spans="1:29" ht="15.75" hidden="1" customHeight="1" x14ac:dyDescent="0.25">
      <c r="A65" s="426"/>
      <c r="B65"/>
      <c r="C65"/>
      <c r="D65"/>
      <c r="E65"/>
      <c r="F65"/>
      <c r="G65"/>
      <c r="H65"/>
      <c r="I65"/>
      <c r="L65"/>
      <c r="M65" s="442" t="s">
        <v>106</v>
      </c>
      <c r="N65" s="442" t="s">
        <v>15</v>
      </c>
      <c r="O65" s="133" t="s">
        <v>90</v>
      </c>
      <c r="P65" s="132">
        <v>7.7969999999999992E-4</v>
      </c>
      <c r="S65"/>
      <c r="T65"/>
      <c r="U65"/>
      <c r="V65"/>
      <c r="W65"/>
      <c r="X65"/>
      <c r="Y65"/>
      <c r="Z65"/>
      <c r="AA65"/>
      <c r="AB65"/>
      <c r="AC65"/>
    </row>
    <row r="66" spans="1:29" ht="15.75" hidden="1" customHeight="1" x14ac:dyDescent="0.25">
      <c r="A66" s="426"/>
      <c r="B66"/>
      <c r="C66"/>
      <c r="D66"/>
      <c r="E66"/>
      <c r="F66"/>
      <c r="G66"/>
      <c r="H66"/>
      <c r="I66"/>
      <c r="L66"/>
      <c r="M66" s="442" t="s">
        <v>102</v>
      </c>
      <c r="N66" s="442" t="s">
        <v>92</v>
      </c>
      <c r="O66" s="133" t="s">
        <v>77</v>
      </c>
      <c r="P66" s="132">
        <v>1.0911999999999999</v>
      </c>
      <c r="S66"/>
      <c r="T66"/>
      <c r="U66"/>
      <c r="V66"/>
      <c r="W66"/>
      <c r="X66"/>
      <c r="Y66"/>
      <c r="Z66"/>
      <c r="AA66"/>
      <c r="AB66"/>
      <c r="AC66"/>
    </row>
    <row r="67" spans="1:29" ht="15.75" hidden="1" customHeight="1" x14ac:dyDescent="0.25">
      <c r="A67" s="116"/>
      <c r="B67"/>
      <c r="C67"/>
      <c r="D67"/>
      <c r="E67"/>
      <c r="F67"/>
      <c r="G67"/>
      <c r="H67"/>
      <c r="I67"/>
      <c r="L67"/>
      <c r="M67" s="228" t="s">
        <v>46</v>
      </c>
      <c r="N67" s="228" t="s">
        <v>92</v>
      </c>
      <c r="O67" s="131" t="s">
        <v>77</v>
      </c>
      <c r="P67" s="132">
        <v>0.27</v>
      </c>
      <c r="S67"/>
      <c r="T67"/>
      <c r="U67"/>
      <c r="V67"/>
      <c r="W67"/>
      <c r="X67"/>
      <c r="Y67"/>
      <c r="Z67"/>
      <c r="AA67"/>
      <c r="AB67"/>
      <c r="AC67"/>
    </row>
    <row r="68" spans="1:29" ht="15.75" hidden="1" customHeight="1" x14ac:dyDescent="0.25">
      <c r="A68" s="116"/>
      <c r="B68"/>
      <c r="C68"/>
      <c r="D68"/>
      <c r="E68"/>
      <c r="F68"/>
      <c r="G68"/>
      <c r="H68"/>
      <c r="I68"/>
      <c r="L68"/>
      <c r="M68" s="228" t="s">
        <v>54</v>
      </c>
      <c r="N68" s="228" t="s">
        <v>92</v>
      </c>
      <c r="O68" s="133" t="s">
        <v>77</v>
      </c>
      <c r="P68" s="132">
        <v>0.30170000000000002</v>
      </c>
      <c r="S68"/>
      <c r="T68"/>
      <c r="U68"/>
      <c r="V68"/>
      <c r="W68"/>
      <c r="X68"/>
      <c r="Y68"/>
      <c r="Z68"/>
      <c r="AA68"/>
      <c r="AB68"/>
      <c r="AC68"/>
    </row>
    <row r="69" spans="1:29" ht="15.75" hidden="1" customHeight="1" x14ac:dyDescent="0.25">
      <c r="A69" s="116"/>
      <c r="B69"/>
      <c r="C69"/>
      <c r="D69"/>
      <c r="E69"/>
      <c r="F69"/>
      <c r="G69"/>
      <c r="H69"/>
      <c r="I69"/>
      <c r="L69"/>
      <c r="M69" s="228" t="s">
        <v>108</v>
      </c>
      <c r="N69" s="228" t="s">
        <v>92</v>
      </c>
      <c r="O69" s="131" t="s">
        <v>77</v>
      </c>
      <c r="P69" s="132">
        <v>0.47</v>
      </c>
      <c r="S69"/>
      <c r="T69"/>
      <c r="U69"/>
      <c r="V69"/>
      <c r="W69"/>
      <c r="X69"/>
      <c r="Y69"/>
      <c r="Z69"/>
      <c r="AA69"/>
      <c r="AB69"/>
      <c r="AC69"/>
    </row>
    <row r="70" spans="1:29" ht="15.75" hidden="1" customHeight="1" x14ac:dyDescent="0.25">
      <c r="A70" s="116"/>
      <c r="B70"/>
      <c r="C70"/>
      <c r="D70"/>
      <c r="E70"/>
      <c r="F70"/>
      <c r="G70"/>
      <c r="H70"/>
      <c r="I70"/>
      <c r="L70"/>
      <c r="M70" s="228" t="s">
        <v>100</v>
      </c>
      <c r="N70" s="228" t="s">
        <v>16</v>
      </c>
      <c r="O70" s="133" t="s">
        <v>90</v>
      </c>
      <c r="P70" s="132">
        <v>0.57089999999999996</v>
      </c>
      <c r="S70"/>
      <c r="T70"/>
      <c r="U70"/>
      <c r="V70"/>
      <c r="W70"/>
      <c r="X70"/>
      <c r="Y70"/>
      <c r="Z70"/>
      <c r="AA70"/>
      <c r="AB70"/>
      <c r="AC70"/>
    </row>
    <row r="71" spans="1:29" ht="15.75" hidden="1" customHeight="1" x14ac:dyDescent="0.25">
      <c r="A71" s="116"/>
      <c r="B71"/>
      <c r="C71"/>
      <c r="D71"/>
      <c r="E71"/>
      <c r="F71"/>
      <c r="G71"/>
      <c r="H71"/>
      <c r="I71"/>
      <c r="L71"/>
      <c r="M71" s="229" t="s">
        <v>75</v>
      </c>
      <c r="N71" s="229" t="s">
        <v>15</v>
      </c>
      <c r="O71" s="133" t="s">
        <v>90</v>
      </c>
      <c r="P71" s="132">
        <v>8.2809999999999991E-4</v>
      </c>
      <c r="S71"/>
      <c r="T71"/>
      <c r="U71"/>
      <c r="V71"/>
      <c r="W71"/>
      <c r="X71"/>
      <c r="Y71"/>
      <c r="Z71"/>
      <c r="AA71"/>
      <c r="AB71"/>
      <c r="AC71"/>
    </row>
    <row r="72" spans="1:29" ht="15.75" hidden="1" customHeight="1" x14ac:dyDescent="0.25">
      <c r="A72" s="116"/>
      <c r="B72"/>
      <c r="C72"/>
      <c r="D72"/>
      <c r="E72"/>
      <c r="F72"/>
      <c r="G72"/>
      <c r="H72"/>
      <c r="I72"/>
      <c r="L72"/>
      <c r="M72" s="230" t="s">
        <v>48</v>
      </c>
      <c r="N72" s="230" t="s">
        <v>92</v>
      </c>
      <c r="O72" s="131" t="s">
        <v>77</v>
      </c>
      <c r="P72" s="132">
        <v>0.28310000000000002</v>
      </c>
      <c r="S72"/>
      <c r="T72"/>
      <c r="U72"/>
      <c r="V72"/>
      <c r="W72"/>
      <c r="X72"/>
      <c r="Y72"/>
      <c r="Z72"/>
      <c r="AA72"/>
      <c r="AB72"/>
      <c r="AC72"/>
    </row>
    <row r="73" spans="1:29" ht="15.75" hidden="1" customHeight="1" x14ac:dyDescent="0.25">
      <c r="A73" s="116"/>
      <c r="B73"/>
      <c r="C73"/>
      <c r="D73"/>
      <c r="E73"/>
      <c r="F73"/>
      <c r="G73"/>
      <c r="H73"/>
      <c r="I73"/>
      <c r="L73"/>
      <c r="M73" s="230" t="s">
        <v>76</v>
      </c>
      <c r="N73" s="230" t="s">
        <v>92</v>
      </c>
      <c r="O73" s="131" t="s">
        <v>77</v>
      </c>
      <c r="P73" s="132">
        <v>1.0911999999999999</v>
      </c>
      <c r="S73"/>
      <c r="T73"/>
      <c r="U73"/>
      <c r="V73"/>
      <c r="W73"/>
      <c r="X73"/>
      <c r="Y73"/>
      <c r="Z73"/>
      <c r="AA73"/>
      <c r="AB73"/>
      <c r="AC73"/>
    </row>
    <row r="74" spans="1:29" ht="15.75" customHeight="1" x14ac:dyDescent="0.25">
      <c r="A74" s="116"/>
      <c r="B74"/>
      <c r="C74"/>
      <c r="D74"/>
      <c r="E74"/>
      <c r="F74"/>
      <c r="G74"/>
      <c r="H74"/>
      <c r="I74"/>
      <c r="L74"/>
      <c r="M74"/>
      <c r="N74"/>
      <c r="O74"/>
      <c r="P74"/>
      <c r="Q74"/>
      <c r="R74"/>
      <c r="S74"/>
      <c r="T74"/>
      <c r="U74"/>
      <c r="V74"/>
      <c r="W74"/>
      <c r="X74"/>
      <c r="Y74"/>
      <c r="Z74"/>
      <c r="AA74"/>
      <c r="AB74"/>
      <c r="AC74"/>
    </row>
    <row r="75" spans="1:29" ht="15" customHeight="1" x14ac:dyDescent="0.25">
      <c r="B75"/>
      <c r="C75"/>
      <c r="D75"/>
      <c r="E75"/>
      <c r="F75"/>
      <c r="G75"/>
      <c r="H75"/>
      <c r="I75"/>
      <c r="L75"/>
      <c r="M75"/>
      <c r="N75"/>
      <c r="O75"/>
      <c r="P75"/>
      <c r="Q75"/>
      <c r="R75"/>
    </row>
    <row r="76" spans="1:29" ht="15" customHeight="1" x14ac:dyDescent="0.25">
      <c r="B76"/>
      <c r="C76"/>
      <c r="D76"/>
      <c r="E76"/>
      <c r="F76"/>
      <c r="G76"/>
    </row>
    <row r="77" spans="1:29" ht="15" customHeight="1" x14ac:dyDescent="0.25">
      <c r="B77"/>
      <c r="C77"/>
      <c r="E77"/>
      <c r="F77"/>
      <c r="G77"/>
    </row>
  </sheetData>
  <sheetProtection algorithmName="SHA-512" hashValue="r2jfVuLXkmxLeXdkNZNXmr9llWtteYhXOVvDWBf/VQTx5/IlFeNdegSmP8ivEUIYQ7hBNA9jgRg+slnUPYNQxA==" saltValue="4/WuqjqBn0n0PsSj41xDYw==" spinCount="100000" sheet="1" objects="1" scenarios="1"/>
  <mergeCells count="12">
    <mergeCell ref="B8:K8"/>
    <mergeCell ref="B10:K10"/>
    <mergeCell ref="AD13:AD14"/>
    <mergeCell ref="D36:E36"/>
    <mergeCell ref="D37:E37"/>
    <mergeCell ref="K13:M13"/>
    <mergeCell ref="N13:Q13"/>
    <mergeCell ref="R13:U13"/>
    <mergeCell ref="V13:Y13"/>
    <mergeCell ref="Z13:AC13"/>
    <mergeCell ref="B12:C12"/>
    <mergeCell ref="G13:J13"/>
  </mergeCells>
  <phoneticPr fontId="18" type="noConversion"/>
  <dataValidations count="5">
    <dataValidation type="list" allowBlank="1" showErrorMessage="1" sqref="N15:N34 R15:R34 V15:V34 Z15:Z34" xr:uid="{00000000-0002-0000-0100-000000000000}">
      <formula1>$M$42:$M$74</formula1>
    </dataValidation>
    <dataValidation type="list" allowBlank="1" showInputMessage="1" showErrorMessage="1" sqref="K15:K34" xr:uid="{00000000-0002-0000-0100-000001000000}">
      <formula1>$L$42:$L$47</formula1>
    </dataValidation>
    <dataValidation type="list" allowBlank="1" showInputMessage="1" showErrorMessage="1" sqref="H15:H34" xr:uid="{00000000-0002-0000-0100-000002000000}">
      <formula1>$H$42:$H$63</formula1>
    </dataValidation>
    <dataValidation type="list" allowBlank="1" showInputMessage="1" showErrorMessage="1" sqref="D12" xr:uid="{00000000-0002-0000-0100-000003000000}">
      <formula1>$D$42:$D$47</formula1>
    </dataValidation>
    <dataValidation type="list" allowBlank="1" showInputMessage="1" showErrorMessage="1" sqref="F15:F34" xr:uid="{00000000-0002-0000-0100-000004000000}">
      <formula1>$F$42:$F$61</formula1>
    </dataValidation>
  </dataValidations>
  <pageMargins left="0.7" right="0.7" top="0.75" bottom="0.75" header="0" footer="0"/>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C00000"/>
  </sheetPr>
  <dimension ref="A1:AF45"/>
  <sheetViews>
    <sheetView zoomScale="90" zoomScaleNormal="90" workbookViewId="0">
      <selection activeCell="C2" sqref="C2"/>
    </sheetView>
  </sheetViews>
  <sheetFormatPr baseColWidth="10" defaultColWidth="11.42578125" defaultRowHeight="15.75" x14ac:dyDescent="0.25"/>
  <cols>
    <col min="1" max="1" width="1.140625" customWidth="1"/>
    <col min="2" max="2" width="4" style="20" customWidth="1"/>
    <col min="3" max="20" width="11.28515625" customWidth="1"/>
    <col min="21" max="21" width="7" customWidth="1"/>
  </cols>
  <sheetData>
    <row r="1" spans="1:32" s="13" customFormat="1" ht="5.0999999999999996" customHeight="1" x14ac:dyDescent="0.25">
      <c r="A1" s="15"/>
      <c r="B1" s="17"/>
      <c r="C1" s="12"/>
      <c r="D1" s="12"/>
      <c r="E1" s="12"/>
      <c r="F1" s="12"/>
      <c r="G1" s="12"/>
      <c r="H1" s="12"/>
      <c r="I1" s="12"/>
      <c r="J1" s="18"/>
      <c r="K1" s="12"/>
      <c r="L1" s="12"/>
      <c r="M1" s="12"/>
      <c r="N1" s="12"/>
      <c r="O1" s="12"/>
      <c r="P1" s="12"/>
      <c r="Q1" s="12"/>
      <c r="R1" s="12"/>
      <c r="S1" s="12"/>
      <c r="T1" s="12"/>
    </row>
    <row r="2" spans="1:32" s="394" customFormat="1" ht="21" x14ac:dyDescent="0.35">
      <c r="A2" s="11"/>
      <c r="B2" s="399"/>
      <c r="C2" s="3" t="s">
        <v>119</v>
      </c>
      <c r="D2" s="11"/>
      <c r="E2" s="16"/>
      <c r="F2" s="16"/>
      <c r="G2" s="16"/>
      <c r="H2" s="16"/>
      <c r="I2" s="16"/>
      <c r="J2" s="16"/>
      <c r="K2" s="16"/>
      <c r="L2" s="16"/>
      <c r="M2" s="16"/>
      <c r="N2" s="16"/>
      <c r="O2" s="16"/>
      <c r="P2" s="16"/>
      <c r="Q2" s="16"/>
      <c r="R2" s="16"/>
      <c r="S2" s="16"/>
      <c r="T2" s="400"/>
      <c r="U2" s="393"/>
      <c r="V2" s="393"/>
      <c r="W2" s="393"/>
      <c r="X2" s="393"/>
      <c r="Y2" s="393"/>
      <c r="Z2" s="393"/>
      <c r="AA2" s="393"/>
      <c r="AB2" s="393"/>
      <c r="AC2" s="393"/>
      <c r="AD2" s="393"/>
      <c r="AE2" s="393"/>
      <c r="AF2" s="393"/>
    </row>
    <row r="3" spans="1:32" s="13" customFormat="1" ht="5.0999999999999996" customHeight="1" x14ac:dyDescent="0.25">
      <c r="A3" s="15"/>
      <c r="B3" s="17"/>
      <c r="C3" s="12"/>
      <c r="D3" s="12"/>
      <c r="E3" s="12"/>
      <c r="F3" s="12"/>
      <c r="G3" s="12"/>
      <c r="H3" s="12"/>
      <c r="I3" s="12"/>
      <c r="J3" s="18"/>
      <c r="K3" s="12"/>
      <c r="L3" s="12"/>
      <c r="M3" s="12"/>
      <c r="N3" s="12"/>
      <c r="O3" s="12"/>
      <c r="P3" s="12"/>
      <c r="Q3" s="12"/>
      <c r="R3" s="12"/>
      <c r="S3" s="12"/>
      <c r="T3" s="401"/>
    </row>
    <row r="4" spans="1:32" s="395" customFormat="1" ht="20.100000000000001" customHeight="1" x14ac:dyDescent="0.25">
      <c r="A4" s="19"/>
      <c r="B4" s="17" t="s">
        <v>85</v>
      </c>
      <c r="C4" s="402" t="s">
        <v>439</v>
      </c>
      <c r="D4" s="15"/>
      <c r="E4" s="9"/>
      <c r="F4" s="10"/>
      <c r="G4" s="10"/>
      <c r="H4" s="10"/>
      <c r="I4" s="10"/>
      <c r="J4" s="10"/>
      <c r="K4" s="10"/>
      <c r="L4" s="10"/>
      <c r="M4" s="10"/>
      <c r="N4" s="10"/>
      <c r="O4" s="15"/>
      <c r="P4" s="15"/>
      <c r="Q4" s="15"/>
      <c r="R4" s="15"/>
      <c r="S4" s="15"/>
      <c r="T4" s="403"/>
    </row>
    <row r="5" spans="1:32" s="13" customFormat="1" ht="5.0999999999999996" customHeight="1" x14ac:dyDescent="0.25">
      <c r="A5" s="15"/>
      <c r="B5" s="17"/>
      <c r="C5" s="12"/>
      <c r="D5" s="12"/>
      <c r="E5" s="12"/>
      <c r="F5" s="12"/>
      <c r="G5" s="12"/>
      <c r="H5" s="12"/>
      <c r="I5" s="12"/>
      <c r="J5" s="18"/>
      <c r="K5" s="12"/>
      <c r="L5" s="12"/>
      <c r="M5" s="12"/>
      <c r="N5" s="12"/>
      <c r="O5" s="12"/>
      <c r="P5" s="12"/>
      <c r="Q5" s="12"/>
      <c r="R5" s="12"/>
      <c r="S5" s="12"/>
      <c r="T5" s="401"/>
    </row>
    <row r="6" spans="1:32" s="395" customFormat="1" ht="20.100000000000001" customHeight="1" x14ac:dyDescent="0.25">
      <c r="A6" s="19"/>
      <c r="B6" s="17" t="s">
        <v>86</v>
      </c>
      <c r="C6" s="402" t="s">
        <v>453</v>
      </c>
      <c r="D6" s="15"/>
      <c r="E6" s="9"/>
      <c r="F6" s="10"/>
      <c r="G6" s="10"/>
      <c r="H6" s="10"/>
      <c r="I6" s="10"/>
      <c r="J6" s="10"/>
      <c r="K6" s="10"/>
      <c r="L6" s="10"/>
      <c r="M6" s="10"/>
      <c r="N6" s="10"/>
      <c r="O6" s="15"/>
      <c r="P6" s="15"/>
      <c r="Q6" s="15"/>
      <c r="R6" s="15"/>
      <c r="S6" s="15"/>
      <c r="T6" s="403"/>
    </row>
    <row r="7" spans="1:32" s="13" customFormat="1" ht="5.0999999999999996" customHeight="1" x14ac:dyDescent="0.25">
      <c r="A7" s="15"/>
      <c r="B7" s="17"/>
      <c r="C7" s="12"/>
      <c r="D7" s="12"/>
      <c r="E7" s="12"/>
      <c r="F7" s="12"/>
      <c r="G7" s="12"/>
      <c r="H7" s="12"/>
      <c r="I7" s="12"/>
      <c r="J7" s="18"/>
      <c r="K7" s="12"/>
      <c r="L7" s="12"/>
      <c r="M7" s="12"/>
      <c r="N7" s="12"/>
      <c r="O7" s="12"/>
      <c r="P7" s="12"/>
      <c r="Q7" s="12"/>
      <c r="R7" s="12"/>
      <c r="S7" s="12"/>
      <c r="T7" s="401"/>
    </row>
    <row r="8" spans="1:32" s="395" customFormat="1" ht="45.75" customHeight="1" x14ac:dyDescent="0.25">
      <c r="A8" s="19"/>
      <c r="B8" s="17" t="s">
        <v>87</v>
      </c>
      <c r="C8" s="660" t="s">
        <v>454</v>
      </c>
      <c r="D8" s="660"/>
      <c r="E8" s="660"/>
      <c r="F8" s="660"/>
      <c r="G8" s="660"/>
      <c r="H8" s="660"/>
      <c r="I8" s="660"/>
      <c r="J8" s="660"/>
      <c r="K8" s="660"/>
      <c r="L8" s="660"/>
      <c r="M8" s="660"/>
      <c r="N8" s="660"/>
      <c r="O8" s="660"/>
      <c r="P8" s="660"/>
      <c r="Q8" s="660"/>
      <c r="R8" s="660"/>
      <c r="S8" s="660"/>
      <c r="T8" s="661"/>
    </row>
    <row r="9" spans="1:32" s="13" customFormat="1" ht="5.0999999999999996" customHeight="1" x14ac:dyDescent="0.25">
      <c r="A9" s="15"/>
      <c r="B9" s="17"/>
      <c r="C9" s="12"/>
      <c r="D9" s="12"/>
      <c r="E9" s="12"/>
      <c r="F9" s="12"/>
      <c r="G9" s="12"/>
      <c r="H9" s="12"/>
      <c r="I9" s="12"/>
      <c r="J9" s="18"/>
      <c r="K9" s="12"/>
      <c r="L9" s="12"/>
      <c r="M9" s="12"/>
      <c r="N9" s="12"/>
      <c r="O9" s="12"/>
      <c r="P9" s="12"/>
      <c r="Q9" s="12"/>
      <c r="R9" s="12"/>
      <c r="S9" s="12"/>
      <c r="T9" s="401"/>
    </row>
    <row r="10" spans="1:32" s="395" customFormat="1" ht="20.100000000000001" customHeight="1" x14ac:dyDescent="0.25">
      <c r="A10" s="19"/>
      <c r="B10" s="17" t="s">
        <v>88</v>
      </c>
      <c r="C10" s="402" t="s">
        <v>455</v>
      </c>
      <c r="D10" s="15"/>
      <c r="E10" s="9"/>
      <c r="F10" s="10"/>
      <c r="G10" s="10"/>
      <c r="H10" s="10"/>
      <c r="I10" s="10"/>
      <c r="J10" s="10"/>
      <c r="K10" s="10"/>
      <c r="L10" s="10"/>
      <c r="M10" s="10"/>
      <c r="N10" s="10"/>
      <c r="O10" s="15"/>
      <c r="P10" s="15"/>
      <c r="Q10" s="15"/>
      <c r="R10" s="15"/>
      <c r="S10" s="15"/>
      <c r="T10" s="403"/>
    </row>
    <row r="11" spans="1:32" s="13" customFormat="1" ht="5.0999999999999996" customHeight="1" x14ac:dyDescent="0.25">
      <c r="A11" s="15"/>
      <c r="B11" s="17"/>
      <c r="C11" s="12"/>
      <c r="D11" s="12"/>
      <c r="E11" s="12"/>
      <c r="F11" s="12"/>
      <c r="G11" s="12"/>
      <c r="H11" s="12"/>
      <c r="I11" s="12"/>
      <c r="J11" s="18"/>
      <c r="K11" s="12"/>
      <c r="L11" s="12"/>
      <c r="M11" s="12"/>
      <c r="N11" s="12"/>
      <c r="O11" s="12"/>
      <c r="P11" s="12"/>
      <c r="Q11" s="12"/>
      <c r="R11" s="12"/>
      <c r="S11" s="12"/>
      <c r="T11" s="401"/>
    </row>
    <row r="12" spans="1:32" s="395" customFormat="1" ht="45.75" customHeight="1" x14ac:dyDescent="0.25">
      <c r="A12" s="19"/>
      <c r="B12" s="17" t="s">
        <v>89</v>
      </c>
      <c r="C12" s="660" t="s">
        <v>466</v>
      </c>
      <c r="D12" s="660"/>
      <c r="E12" s="660"/>
      <c r="F12" s="660"/>
      <c r="G12" s="660"/>
      <c r="H12" s="660"/>
      <c r="I12" s="660"/>
      <c r="J12" s="660"/>
      <c r="K12" s="660"/>
      <c r="L12" s="660"/>
      <c r="M12" s="660"/>
      <c r="N12" s="660"/>
      <c r="O12" s="660"/>
      <c r="P12" s="660"/>
      <c r="Q12" s="660"/>
      <c r="R12" s="660"/>
      <c r="S12" s="660"/>
      <c r="T12" s="661"/>
    </row>
    <row r="13" spans="1:32" s="13" customFormat="1" ht="5.0999999999999996" customHeight="1" x14ac:dyDescent="0.25">
      <c r="A13" s="15"/>
      <c r="B13" s="17"/>
      <c r="C13" s="12"/>
      <c r="D13" s="12"/>
      <c r="E13" s="12"/>
      <c r="F13" s="12"/>
      <c r="G13" s="12"/>
      <c r="H13" s="12"/>
      <c r="I13" s="12"/>
      <c r="J13" s="18"/>
      <c r="K13" s="12"/>
      <c r="L13" s="12"/>
      <c r="M13" s="12"/>
      <c r="N13" s="12"/>
      <c r="O13" s="12"/>
      <c r="P13" s="12"/>
      <c r="Q13" s="12"/>
      <c r="R13" s="12"/>
      <c r="S13" s="12"/>
      <c r="T13" s="401"/>
    </row>
    <row r="14" spans="1:32" s="395" customFormat="1" ht="20.100000000000001" customHeight="1" x14ac:dyDescent="0.25">
      <c r="A14" s="19"/>
      <c r="B14" s="17" t="s">
        <v>342</v>
      </c>
      <c r="C14" s="656" t="s">
        <v>456</v>
      </c>
      <c r="D14" s="656"/>
      <c r="E14" s="656"/>
      <c r="F14" s="656"/>
      <c r="G14" s="656"/>
      <c r="H14" s="656"/>
      <c r="I14" s="656"/>
      <c r="J14" s="656"/>
      <c r="K14" s="656"/>
      <c r="L14" s="656"/>
      <c r="M14" s="656"/>
      <c r="N14" s="656"/>
      <c r="O14" s="656"/>
      <c r="P14" s="656"/>
      <c r="Q14" s="656"/>
      <c r="R14" s="656"/>
      <c r="S14" s="656"/>
      <c r="T14" s="404"/>
    </row>
    <row r="15" spans="1:32" s="13" customFormat="1" ht="5.0999999999999996" customHeight="1" x14ac:dyDescent="0.25">
      <c r="A15" s="15"/>
      <c r="B15" s="17"/>
      <c r="C15" s="12"/>
      <c r="D15" s="12"/>
      <c r="E15" s="12"/>
      <c r="F15" s="12"/>
      <c r="G15" s="12"/>
      <c r="H15" s="12"/>
      <c r="I15" s="12"/>
      <c r="J15" s="18"/>
      <c r="K15" s="12"/>
      <c r="L15" s="12"/>
      <c r="M15" s="12"/>
      <c r="N15" s="12"/>
      <c r="O15" s="12"/>
      <c r="P15" s="12"/>
      <c r="Q15" s="12"/>
      <c r="R15" s="12"/>
      <c r="S15" s="12"/>
      <c r="T15" s="401"/>
    </row>
    <row r="16" spans="1:32" s="395" customFormat="1" ht="30" customHeight="1" x14ac:dyDescent="0.25">
      <c r="A16" s="19"/>
      <c r="B16" s="17" t="s">
        <v>382</v>
      </c>
      <c r="C16" s="652" t="s">
        <v>479</v>
      </c>
      <c r="D16" s="652"/>
      <c r="E16" s="652"/>
      <c r="F16" s="652"/>
      <c r="G16" s="652"/>
      <c r="H16" s="652"/>
      <c r="I16" s="652"/>
      <c r="J16" s="652"/>
      <c r="K16" s="652"/>
      <c r="L16" s="652"/>
      <c r="M16" s="652"/>
      <c r="N16" s="652"/>
      <c r="O16" s="652"/>
      <c r="P16" s="652"/>
      <c r="Q16" s="652"/>
      <c r="R16" s="652"/>
      <c r="S16" s="652"/>
      <c r="T16" s="657"/>
    </row>
    <row r="17" spans="1:20" s="395" customFormat="1" ht="30" hidden="1" customHeight="1" x14ac:dyDescent="0.25">
      <c r="A17" s="19"/>
      <c r="B17" s="17"/>
      <c r="C17" s="658" t="s">
        <v>477</v>
      </c>
      <c r="D17" s="658"/>
      <c r="E17" s="658"/>
      <c r="F17" s="658"/>
      <c r="G17" s="658"/>
      <c r="H17" s="658"/>
      <c r="I17" s="658"/>
      <c r="J17" s="658"/>
      <c r="K17" s="658"/>
      <c r="L17" s="658"/>
      <c r="M17" s="658"/>
      <c r="N17" s="658"/>
      <c r="O17" s="658"/>
      <c r="P17" s="658"/>
      <c r="Q17" s="658"/>
      <c r="R17" s="658"/>
      <c r="S17" s="658"/>
      <c r="T17" s="659"/>
    </row>
    <row r="18" spans="1:20" s="13" customFormat="1" ht="5.0999999999999996" customHeight="1" x14ac:dyDescent="0.25">
      <c r="A18" s="15"/>
      <c r="B18" s="17"/>
      <c r="C18" s="12"/>
      <c r="D18" s="12"/>
      <c r="E18" s="12"/>
      <c r="F18" s="12"/>
      <c r="G18" s="12"/>
      <c r="H18" s="12"/>
      <c r="I18" s="12"/>
      <c r="J18" s="18"/>
      <c r="K18" s="12"/>
      <c r="L18" s="12"/>
      <c r="M18" s="12"/>
      <c r="N18" s="12"/>
      <c r="O18" s="12"/>
      <c r="P18" s="12"/>
      <c r="Q18" s="12"/>
      <c r="R18" s="12"/>
      <c r="S18" s="12"/>
      <c r="T18" s="401"/>
    </row>
    <row r="19" spans="1:20" s="395" customFormat="1" ht="32.25" customHeight="1" x14ac:dyDescent="0.25">
      <c r="A19" s="19"/>
      <c r="B19" s="17" t="s">
        <v>440</v>
      </c>
      <c r="C19" s="652" t="s">
        <v>457</v>
      </c>
      <c r="D19" s="652"/>
      <c r="E19" s="652"/>
      <c r="F19" s="652"/>
      <c r="G19" s="652"/>
      <c r="H19" s="652"/>
      <c r="I19" s="652"/>
      <c r="J19" s="652"/>
      <c r="K19" s="652"/>
      <c r="L19" s="652"/>
      <c r="M19" s="652"/>
      <c r="N19" s="652"/>
      <c r="O19" s="652"/>
      <c r="P19" s="652"/>
      <c r="Q19" s="652"/>
      <c r="R19" s="652"/>
      <c r="S19" s="652"/>
      <c r="T19" s="657"/>
    </row>
    <row r="20" spans="1:20" s="13" customFormat="1" ht="5.0999999999999996" customHeight="1" x14ac:dyDescent="0.25">
      <c r="A20" s="15"/>
      <c r="B20" s="17"/>
      <c r="C20" s="12"/>
      <c r="D20" s="12"/>
      <c r="E20" s="12"/>
      <c r="F20" s="12"/>
      <c r="G20" s="12"/>
      <c r="H20" s="12"/>
      <c r="I20" s="12"/>
      <c r="J20" s="18"/>
      <c r="K20" s="12"/>
      <c r="L20" s="12"/>
      <c r="M20" s="12"/>
      <c r="N20" s="12"/>
      <c r="O20" s="12"/>
      <c r="P20" s="12"/>
      <c r="Q20" s="12"/>
      <c r="R20" s="12"/>
      <c r="S20" s="12"/>
      <c r="T20" s="401"/>
    </row>
    <row r="21" spans="1:20" s="395" customFormat="1" ht="30" hidden="1" customHeight="1" x14ac:dyDescent="0.25">
      <c r="A21" s="19"/>
      <c r="B21" s="17" t="s">
        <v>441</v>
      </c>
      <c r="C21" s="652" t="s">
        <v>476</v>
      </c>
      <c r="D21" s="652"/>
      <c r="E21" s="652"/>
      <c r="F21" s="652"/>
      <c r="G21" s="652"/>
      <c r="H21" s="652"/>
      <c r="I21" s="652"/>
      <c r="J21" s="652"/>
      <c r="K21" s="652"/>
      <c r="L21" s="652"/>
      <c r="M21" s="652"/>
      <c r="N21" s="652"/>
      <c r="O21" s="652"/>
      <c r="P21" s="652"/>
      <c r="Q21" s="652"/>
      <c r="R21" s="652"/>
      <c r="S21" s="652"/>
      <c r="T21" s="657"/>
    </row>
    <row r="22" spans="1:20" s="13" customFormat="1" ht="5.0999999999999996" customHeight="1" x14ac:dyDescent="0.25">
      <c r="A22" s="15"/>
      <c r="B22" s="17"/>
      <c r="C22" s="12"/>
      <c r="D22" s="12"/>
      <c r="E22" s="12"/>
      <c r="F22" s="12"/>
      <c r="G22" s="12"/>
      <c r="H22" s="12"/>
      <c r="I22" s="12"/>
      <c r="J22" s="18"/>
      <c r="K22" s="12"/>
      <c r="L22" s="12"/>
      <c r="M22" s="12"/>
      <c r="N22" s="12"/>
      <c r="O22" s="12"/>
      <c r="P22" s="12"/>
      <c r="Q22" s="12"/>
      <c r="R22" s="12"/>
      <c r="S22" s="12"/>
      <c r="T22" s="401"/>
    </row>
    <row r="23" spans="1:20" s="395" customFormat="1" ht="20.100000000000001" hidden="1" customHeight="1" x14ac:dyDescent="0.25">
      <c r="A23" s="19"/>
      <c r="B23" s="17" t="s">
        <v>449</v>
      </c>
      <c r="C23" s="652" t="s">
        <v>458</v>
      </c>
      <c r="D23" s="652"/>
      <c r="E23" s="652"/>
      <c r="F23" s="652"/>
      <c r="G23" s="652"/>
      <c r="H23" s="652"/>
      <c r="I23" s="652"/>
      <c r="J23" s="652"/>
      <c r="K23" s="652"/>
      <c r="L23" s="652"/>
      <c r="M23" s="652"/>
      <c r="N23" s="652"/>
      <c r="O23" s="652"/>
      <c r="P23" s="652"/>
      <c r="Q23" s="652"/>
      <c r="R23" s="652"/>
      <c r="S23" s="652"/>
      <c r="T23" s="657"/>
    </row>
    <row r="24" spans="1:20" s="13" customFormat="1" ht="5.0999999999999996" customHeight="1" x14ac:dyDescent="0.25">
      <c r="A24" s="15"/>
      <c r="B24" s="17"/>
      <c r="C24" s="12"/>
      <c r="D24" s="12"/>
      <c r="E24" s="12"/>
      <c r="F24" s="12"/>
      <c r="G24" s="12"/>
      <c r="H24" s="12"/>
      <c r="I24" s="12"/>
      <c r="J24" s="18"/>
      <c r="K24" s="12"/>
      <c r="L24" s="12"/>
      <c r="M24" s="12"/>
      <c r="N24" s="12"/>
      <c r="O24" s="12"/>
      <c r="P24" s="12"/>
      <c r="Q24" s="12"/>
      <c r="R24" s="12"/>
      <c r="S24" s="12"/>
      <c r="T24" s="401"/>
    </row>
    <row r="25" spans="1:20" s="395" customFormat="1" ht="20.100000000000001" customHeight="1" x14ac:dyDescent="0.25">
      <c r="A25" s="19"/>
      <c r="B25" s="17" t="s">
        <v>448</v>
      </c>
      <c r="C25" s="652" t="s">
        <v>459</v>
      </c>
      <c r="D25" s="652"/>
      <c r="E25" s="652"/>
      <c r="F25" s="652"/>
      <c r="G25" s="652"/>
      <c r="H25" s="652"/>
      <c r="I25" s="652"/>
      <c r="J25" s="652"/>
      <c r="K25" s="652"/>
      <c r="L25" s="652"/>
      <c r="M25" s="652"/>
      <c r="N25" s="652"/>
      <c r="O25" s="652"/>
      <c r="P25" s="652"/>
      <c r="Q25" s="652"/>
      <c r="R25" s="652"/>
      <c r="S25" s="652"/>
      <c r="T25" s="657"/>
    </row>
    <row r="26" spans="1:20" s="395" customFormat="1" ht="29.25" customHeight="1" x14ac:dyDescent="0.25">
      <c r="A26" s="19"/>
      <c r="B26" s="17"/>
      <c r="C26" s="652" t="s">
        <v>405</v>
      </c>
      <c r="D26" s="652"/>
      <c r="E26" s="652"/>
      <c r="F26" s="652"/>
      <c r="G26" s="652"/>
      <c r="H26" s="652"/>
      <c r="I26" s="652"/>
      <c r="J26" s="652"/>
      <c r="K26" s="652"/>
      <c r="L26" s="652"/>
      <c r="M26" s="652"/>
      <c r="N26" s="652"/>
      <c r="O26" s="652"/>
      <c r="P26" s="652"/>
      <c r="Q26" s="652"/>
      <c r="R26" s="652"/>
      <c r="S26" s="652"/>
      <c r="T26" s="657"/>
    </row>
    <row r="27" spans="1:20" s="13" customFormat="1" ht="5.0999999999999996" customHeight="1" x14ac:dyDescent="0.25">
      <c r="A27" s="15"/>
      <c r="B27" s="17"/>
      <c r="C27" s="12"/>
      <c r="D27" s="12"/>
      <c r="E27" s="12"/>
      <c r="F27" s="12"/>
      <c r="G27" s="12"/>
      <c r="H27" s="12"/>
      <c r="I27" s="12"/>
      <c r="J27" s="18"/>
      <c r="K27" s="12"/>
      <c r="L27" s="12"/>
      <c r="M27" s="12"/>
      <c r="N27" s="12"/>
      <c r="O27" s="12"/>
      <c r="P27" s="12"/>
      <c r="Q27" s="12"/>
      <c r="R27" s="12"/>
      <c r="S27" s="12"/>
      <c r="T27" s="401"/>
    </row>
    <row r="28" spans="1:20" s="395" customFormat="1" ht="20.100000000000001" hidden="1" customHeight="1" x14ac:dyDescent="0.25">
      <c r="A28" s="19"/>
      <c r="B28" s="17" t="s">
        <v>450</v>
      </c>
      <c r="C28" s="652" t="s">
        <v>460</v>
      </c>
      <c r="D28" s="652"/>
      <c r="E28" s="652"/>
      <c r="F28" s="652"/>
      <c r="G28" s="652"/>
      <c r="H28" s="652"/>
      <c r="I28" s="652"/>
      <c r="J28" s="652"/>
      <c r="K28" s="652"/>
      <c r="L28" s="652"/>
      <c r="M28" s="652"/>
      <c r="N28" s="652"/>
      <c r="O28" s="652"/>
      <c r="P28" s="652"/>
      <c r="Q28" s="652"/>
      <c r="R28" s="652"/>
      <c r="S28" s="652"/>
      <c r="T28" s="657"/>
    </row>
    <row r="29" spans="1:20" s="13" customFormat="1" ht="5.0999999999999996" hidden="1" customHeight="1" x14ac:dyDescent="0.25">
      <c r="A29" s="15"/>
      <c r="B29" s="17"/>
      <c r="C29" s="12"/>
      <c r="D29" s="12"/>
      <c r="E29" s="12"/>
      <c r="F29" s="12"/>
      <c r="G29" s="12"/>
      <c r="H29" s="12"/>
      <c r="I29" s="12"/>
      <c r="J29" s="18"/>
      <c r="K29" s="12"/>
      <c r="L29" s="12"/>
      <c r="M29" s="12"/>
      <c r="N29" s="12"/>
      <c r="O29" s="12"/>
      <c r="P29" s="12"/>
      <c r="Q29" s="12"/>
      <c r="R29" s="12"/>
      <c r="S29" s="12"/>
      <c r="T29" s="401"/>
    </row>
    <row r="30" spans="1:20" s="395" customFormat="1" ht="30" hidden="1" customHeight="1" x14ac:dyDescent="0.25">
      <c r="A30" s="19"/>
      <c r="B30" s="17" t="s">
        <v>452</v>
      </c>
      <c r="C30" s="652" t="s">
        <v>461</v>
      </c>
      <c r="D30" s="652"/>
      <c r="E30" s="652"/>
      <c r="F30" s="652"/>
      <c r="G30" s="652"/>
      <c r="H30" s="652"/>
      <c r="I30" s="652"/>
      <c r="J30" s="652"/>
      <c r="K30" s="652"/>
      <c r="L30" s="652"/>
      <c r="M30" s="652"/>
      <c r="N30" s="652"/>
      <c r="O30" s="652"/>
      <c r="P30" s="652"/>
      <c r="Q30" s="652"/>
      <c r="R30" s="652"/>
      <c r="S30" s="652"/>
      <c r="T30" s="657"/>
    </row>
    <row r="31" spans="1:20" s="13" customFormat="1" ht="5.0999999999999996" hidden="1" customHeight="1" x14ac:dyDescent="0.25">
      <c r="A31" s="15"/>
      <c r="B31" s="17"/>
      <c r="C31" s="12"/>
      <c r="D31" s="12"/>
      <c r="E31" s="12"/>
      <c r="F31" s="12"/>
      <c r="G31" s="12"/>
      <c r="H31" s="12"/>
      <c r="I31" s="12"/>
      <c r="J31" s="18"/>
      <c r="K31" s="12"/>
      <c r="L31" s="12"/>
      <c r="M31" s="12"/>
      <c r="N31" s="12"/>
      <c r="O31" s="12"/>
      <c r="P31" s="12"/>
      <c r="Q31" s="12"/>
      <c r="R31" s="12"/>
      <c r="S31" s="12"/>
      <c r="T31" s="401"/>
    </row>
    <row r="32" spans="1:20" s="395" customFormat="1" ht="20.100000000000001" hidden="1" customHeight="1" x14ac:dyDescent="0.25">
      <c r="A32" s="19"/>
      <c r="B32" s="17" t="s">
        <v>462</v>
      </c>
      <c r="C32" s="652" t="s">
        <v>463</v>
      </c>
      <c r="D32" s="652"/>
      <c r="E32" s="652"/>
      <c r="F32" s="652"/>
      <c r="G32" s="652"/>
      <c r="H32" s="652"/>
      <c r="I32" s="652"/>
      <c r="J32" s="652"/>
      <c r="K32" s="652"/>
      <c r="L32" s="652"/>
      <c r="M32" s="652"/>
      <c r="N32" s="652"/>
      <c r="O32" s="652"/>
      <c r="P32" s="652"/>
      <c r="Q32" s="652"/>
      <c r="R32" s="652"/>
      <c r="S32" s="652"/>
      <c r="T32" s="657"/>
    </row>
    <row r="33" spans="1:32" s="13" customFormat="1" ht="5.0999999999999996" hidden="1" customHeight="1" x14ac:dyDescent="0.25">
      <c r="A33" s="15"/>
      <c r="B33" s="17"/>
      <c r="C33" s="12"/>
      <c r="D33" s="12"/>
      <c r="E33" s="12"/>
      <c r="F33" s="12"/>
      <c r="G33" s="12"/>
      <c r="H33" s="12"/>
      <c r="I33" s="12"/>
      <c r="J33" s="18"/>
      <c r="K33" s="12"/>
      <c r="L33" s="12"/>
      <c r="M33" s="12"/>
      <c r="N33" s="12"/>
      <c r="O33" s="12"/>
      <c r="P33" s="12"/>
      <c r="Q33" s="12"/>
      <c r="R33" s="12"/>
      <c r="S33" s="12"/>
      <c r="T33" s="401"/>
    </row>
    <row r="34" spans="1:32" s="395" customFormat="1" ht="30" hidden="1" customHeight="1" x14ac:dyDescent="0.25">
      <c r="A34" s="19"/>
      <c r="B34" s="17" t="s">
        <v>464</v>
      </c>
      <c r="C34" s="652" t="s">
        <v>465</v>
      </c>
      <c r="D34" s="652"/>
      <c r="E34" s="652"/>
      <c r="F34" s="652"/>
      <c r="G34" s="652"/>
      <c r="H34" s="652"/>
      <c r="I34" s="652"/>
      <c r="J34" s="652"/>
      <c r="K34" s="652"/>
      <c r="L34" s="652"/>
      <c r="M34" s="652"/>
      <c r="N34" s="652"/>
      <c r="O34" s="652"/>
      <c r="P34" s="652"/>
      <c r="Q34" s="652"/>
      <c r="R34" s="652"/>
      <c r="S34" s="652"/>
      <c r="T34" s="657"/>
    </row>
    <row r="35" spans="1:32" s="13" customFormat="1" ht="5.0999999999999996" customHeight="1" x14ac:dyDescent="0.25">
      <c r="A35" s="15"/>
      <c r="B35" s="17"/>
      <c r="C35" s="12"/>
      <c r="D35" s="12"/>
      <c r="E35" s="12"/>
      <c r="F35" s="12"/>
      <c r="G35" s="12"/>
      <c r="H35" s="12"/>
      <c r="I35" s="12"/>
      <c r="J35" s="18"/>
      <c r="K35" s="12"/>
      <c r="L35" s="12"/>
      <c r="M35" s="12"/>
      <c r="N35" s="12"/>
      <c r="O35" s="12"/>
      <c r="P35" s="12"/>
      <c r="Q35" s="12"/>
      <c r="R35" s="12"/>
      <c r="S35" s="12"/>
      <c r="T35" s="401"/>
    </row>
    <row r="36" spans="1:32" s="395" customFormat="1" ht="20.100000000000001" customHeight="1" x14ac:dyDescent="0.25">
      <c r="A36" s="19"/>
      <c r="B36" s="417">
        <v>12</v>
      </c>
      <c r="C36" s="655" t="s">
        <v>364</v>
      </c>
      <c r="D36" s="653"/>
      <c r="E36" s="653"/>
      <c r="F36" s="653"/>
      <c r="G36" s="653"/>
      <c r="H36" s="653"/>
      <c r="I36" s="653"/>
      <c r="J36" s="653"/>
      <c r="K36" s="653"/>
      <c r="L36" s="653"/>
      <c r="M36" s="653"/>
      <c r="N36" s="653"/>
      <c r="O36" s="653"/>
      <c r="P36" s="653"/>
      <c r="Q36" s="653"/>
      <c r="R36" s="653"/>
      <c r="S36" s="653"/>
      <c r="T36" s="654"/>
    </row>
    <row r="37" spans="1:32" s="395" customFormat="1" ht="20.100000000000001" customHeight="1" x14ac:dyDescent="0.25">
      <c r="A37" s="19"/>
      <c r="B37" s="17"/>
      <c r="C37" s="652" t="s">
        <v>425</v>
      </c>
      <c r="D37" s="662"/>
      <c r="E37" s="662"/>
      <c r="F37" s="662"/>
      <c r="G37" s="662"/>
      <c r="H37" s="662"/>
      <c r="I37" s="662"/>
      <c r="J37" s="662"/>
      <c r="K37" s="662"/>
      <c r="L37" s="662"/>
      <c r="M37" s="662"/>
      <c r="N37" s="662"/>
      <c r="O37" s="662"/>
      <c r="P37" s="662"/>
      <c r="Q37" s="662"/>
      <c r="R37" s="662"/>
      <c r="S37" s="662"/>
      <c r="T37" s="663"/>
    </row>
    <row r="38" spans="1:32" s="395" customFormat="1" ht="35.1" customHeight="1" x14ac:dyDescent="0.25">
      <c r="A38" s="19"/>
      <c r="B38" s="17"/>
      <c r="C38" s="652" t="s">
        <v>381</v>
      </c>
      <c r="D38" s="653"/>
      <c r="E38" s="653"/>
      <c r="F38" s="653"/>
      <c r="G38" s="653"/>
      <c r="H38" s="653"/>
      <c r="I38" s="653"/>
      <c r="J38" s="653"/>
      <c r="K38" s="653"/>
      <c r="L38" s="653"/>
      <c r="M38" s="653"/>
      <c r="N38" s="653"/>
      <c r="O38" s="653"/>
      <c r="P38" s="653"/>
      <c r="Q38" s="653"/>
      <c r="R38" s="653"/>
      <c r="S38" s="653"/>
      <c r="T38" s="654"/>
    </row>
    <row r="39" spans="1:32" s="395" customFormat="1" ht="15.75" customHeight="1" x14ac:dyDescent="0.25">
      <c r="A39" s="19"/>
      <c r="B39" s="17"/>
      <c r="C39" s="405" t="s">
        <v>346</v>
      </c>
      <c r="D39" s="373"/>
      <c r="E39" s="373"/>
      <c r="F39" s="373"/>
      <c r="G39" s="373"/>
      <c r="H39" s="373"/>
      <c r="I39" s="373"/>
      <c r="J39" s="373"/>
      <c r="K39" s="373"/>
      <c r="L39" s="373"/>
      <c r="M39" s="373"/>
      <c r="N39" s="373"/>
      <c r="O39" s="373"/>
      <c r="P39" s="373"/>
      <c r="Q39" s="373"/>
      <c r="R39" s="373"/>
      <c r="S39" s="373"/>
      <c r="T39" s="403"/>
    </row>
    <row r="40" spans="1:32" s="395" customFormat="1" ht="15.75" customHeight="1" x14ac:dyDescent="0.25">
      <c r="A40" s="19"/>
      <c r="B40" s="17"/>
      <c r="C40" s="225" t="s">
        <v>347</v>
      </c>
      <c r="D40" s="373"/>
      <c r="E40" s="373"/>
      <c r="F40" s="373"/>
      <c r="G40" s="373"/>
      <c r="H40" s="373"/>
      <c r="I40" s="373"/>
      <c r="J40" s="373"/>
      <c r="K40" s="373"/>
      <c r="L40" s="373"/>
      <c r="M40" s="373"/>
      <c r="N40" s="373"/>
      <c r="O40" s="373"/>
      <c r="P40" s="373"/>
      <c r="Q40" s="373"/>
      <c r="R40" s="373"/>
      <c r="S40" s="373"/>
      <c r="T40" s="403"/>
    </row>
    <row r="41" spans="1:32" ht="15.75" customHeight="1" x14ac:dyDescent="0.25">
      <c r="A41" s="1"/>
      <c r="B41" s="409"/>
      <c r="C41" s="225" t="s">
        <v>343</v>
      </c>
      <c r="D41" s="12"/>
      <c r="E41" s="97"/>
      <c r="F41" s="97"/>
      <c r="G41" s="97"/>
      <c r="H41" s="97"/>
      <c r="I41" s="226"/>
      <c r="J41" s="12"/>
      <c r="K41" s="12"/>
      <c r="L41" s="12"/>
      <c r="M41" s="12"/>
      <c r="N41" s="12"/>
      <c r="O41" s="12"/>
      <c r="P41" s="12"/>
      <c r="Q41" s="12"/>
      <c r="R41" s="12"/>
      <c r="S41" s="12"/>
      <c r="T41" s="401"/>
      <c r="W41" s="396"/>
      <c r="X41" s="396"/>
      <c r="Y41" s="396"/>
      <c r="AD41" s="396"/>
      <c r="AE41" s="396"/>
      <c r="AF41" s="396"/>
    </row>
    <row r="42" spans="1:32" s="397" customFormat="1" ht="15.75" customHeight="1" x14ac:dyDescent="0.25">
      <c r="A42" s="194"/>
      <c r="B42" s="410"/>
      <c r="C42" s="225" t="s">
        <v>344</v>
      </c>
      <c r="D42" s="227"/>
      <c r="E42" s="227"/>
      <c r="F42" s="227"/>
      <c r="G42" s="227"/>
      <c r="H42" s="227"/>
      <c r="I42" s="227"/>
      <c r="J42" s="227"/>
      <c r="K42" s="227"/>
      <c r="L42" s="227"/>
      <c r="M42" s="227"/>
      <c r="N42" s="227"/>
      <c r="O42" s="227"/>
      <c r="P42" s="227"/>
      <c r="Q42" s="227"/>
      <c r="R42" s="227"/>
      <c r="S42" s="227"/>
      <c r="T42" s="406"/>
    </row>
    <row r="43" spans="1:32" ht="15.75" customHeight="1" x14ac:dyDescent="0.25">
      <c r="A43" s="1"/>
      <c r="B43" s="17"/>
      <c r="C43" s="225" t="s">
        <v>345</v>
      </c>
      <c r="D43" s="12"/>
      <c r="E43" s="12"/>
      <c r="F43" s="12"/>
      <c r="G43" s="12"/>
      <c r="H43" s="12"/>
      <c r="I43" s="12"/>
      <c r="J43" s="12"/>
      <c r="K43" s="12"/>
      <c r="L43" s="12"/>
      <c r="M43" s="12"/>
      <c r="N43" s="12"/>
      <c r="O43" s="12"/>
      <c r="P43" s="12"/>
      <c r="Q43" s="12"/>
      <c r="R43" s="12"/>
      <c r="S43" s="12"/>
      <c r="T43" s="401"/>
    </row>
    <row r="44" spans="1:32" ht="7.5" customHeight="1" x14ac:dyDescent="0.25">
      <c r="A44" s="1"/>
      <c r="B44" s="411"/>
      <c r="C44" s="407"/>
      <c r="D44" s="407"/>
      <c r="E44" s="407"/>
      <c r="F44" s="407"/>
      <c r="G44" s="407"/>
      <c r="H44" s="407"/>
      <c r="I44" s="407"/>
      <c r="J44" s="407"/>
      <c r="K44" s="407"/>
      <c r="L44" s="407"/>
      <c r="M44" s="407"/>
      <c r="N44" s="407"/>
      <c r="O44" s="407"/>
      <c r="P44" s="407"/>
      <c r="Q44" s="407"/>
      <c r="R44" s="407"/>
      <c r="S44" s="407"/>
      <c r="T44" s="408"/>
    </row>
    <row r="45" spans="1:32" s="398" customFormat="1" ht="15" x14ac:dyDescent="0.25">
      <c r="A45" s="14"/>
      <c r="B45" s="412" t="s">
        <v>12</v>
      </c>
      <c r="C45" s="195"/>
      <c r="D45" s="195"/>
      <c r="E45" s="195"/>
      <c r="F45" s="195"/>
      <c r="G45" s="195"/>
      <c r="H45" s="195"/>
      <c r="I45" s="195"/>
      <c r="J45" s="195"/>
      <c r="K45" s="195"/>
      <c r="L45" s="195"/>
      <c r="M45" s="195"/>
      <c r="N45" s="195"/>
      <c r="O45" s="195"/>
      <c r="P45" s="195"/>
      <c r="Q45" s="195"/>
      <c r="R45" s="195"/>
      <c r="S45" s="195"/>
      <c r="T45" s="195"/>
    </row>
  </sheetData>
  <sheetProtection algorithmName="SHA-512" hashValue="WPM67/RIkk9a+YBilMGSKFC+oTXzDiOENv7TbbWNYyNny0XNbFMhRvz5cwMvkFMU6sjJkYhBy4U3EZffsZARBg==" saltValue="Z8S+21lEDfsBJWKKl/L6vg==" spinCount="100000" sheet="1" objects="1" scenarios="1"/>
  <mergeCells count="17">
    <mergeCell ref="C8:T8"/>
    <mergeCell ref="C21:T21"/>
    <mergeCell ref="C23:T23"/>
    <mergeCell ref="C12:T12"/>
    <mergeCell ref="C37:T37"/>
    <mergeCell ref="C38:T38"/>
    <mergeCell ref="C36:T36"/>
    <mergeCell ref="C14:S14"/>
    <mergeCell ref="C26:T26"/>
    <mergeCell ref="C17:T17"/>
    <mergeCell ref="C16:T16"/>
    <mergeCell ref="C19:T19"/>
    <mergeCell ref="C25:T25"/>
    <mergeCell ref="C28:T28"/>
    <mergeCell ref="C30:T30"/>
    <mergeCell ref="C32:T32"/>
    <mergeCell ref="C34:T3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BJ60"/>
  <sheetViews>
    <sheetView showGridLines="0" zoomScale="80" zoomScaleNormal="80" workbookViewId="0">
      <pane xSplit="8" topLeftCell="I1" activePane="topRight" state="frozen"/>
      <selection activeCell="A2" sqref="A2"/>
      <selection pane="topRight" activeCell="N11" sqref="N11"/>
    </sheetView>
  </sheetViews>
  <sheetFormatPr baseColWidth="10" defaultColWidth="11.42578125" defaultRowHeight="15" x14ac:dyDescent="0.25"/>
  <cols>
    <col min="1" max="1" width="1.5703125" style="4" customWidth="1"/>
    <col min="2" max="2" width="25.7109375" style="4" hidden="1" customWidth="1"/>
    <col min="3" max="3" width="20.7109375" style="4" hidden="1" customWidth="1"/>
    <col min="4" max="4" width="25.7109375" style="4" customWidth="1"/>
    <col min="5" max="5" width="12.7109375" style="4" hidden="1" customWidth="1"/>
    <col min="6" max="6" width="12.7109375" style="4" customWidth="1"/>
    <col min="7" max="7" width="15.7109375" style="4" hidden="1" customWidth="1"/>
    <col min="8" max="8" width="51" style="4" customWidth="1"/>
    <col min="9" max="9" width="40.7109375" style="4" customWidth="1"/>
    <col min="10" max="10" width="14.5703125" style="8" customWidth="1"/>
    <col min="11" max="11" width="13.85546875" style="212" customWidth="1"/>
    <col min="12" max="12" width="33" style="239" hidden="1" customWidth="1"/>
    <col min="13" max="13" width="39.85546875" style="239" hidden="1" customWidth="1"/>
    <col min="14" max="14" width="14.7109375" style="8" customWidth="1"/>
    <col min="15" max="15" width="10.7109375" style="8" hidden="1" customWidth="1"/>
    <col min="16" max="16" width="15.42578125" style="212" customWidth="1"/>
    <col min="17" max="17" width="15.42578125" style="212" hidden="1" customWidth="1"/>
    <col min="18" max="19" width="15.140625" style="8" hidden="1" customWidth="1"/>
    <col min="20" max="20" width="14" style="8" hidden="1" customWidth="1"/>
    <col min="21" max="21" width="13.140625" style="8" customWidth="1"/>
    <col min="22" max="22" width="13.140625" style="8" hidden="1" customWidth="1"/>
    <col min="23" max="23" width="15.42578125" style="262" customWidth="1"/>
    <col min="24" max="24" width="12.7109375" style="352" hidden="1" customWidth="1"/>
    <col min="25" max="25" width="12.5703125" style="261" hidden="1" customWidth="1"/>
    <col min="26" max="26" width="14.7109375" style="261" hidden="1" customWidth="1"/>
    <col min="27" max="27" width="13.85546875" style="261" hidden="1" customWidth="1"/>
    <col min="28" max="28" width="10.7109375" style="256" hidden="1" customWidth="1"/>
    <col min="29" max="29" width="11.7109375" style="256" hidden="1" customWidth="1"/>
    <col min="30" max="31" width="13.28515625" style="256" hidden="1" customWidth="1"/>
    <col min="32" max="32" width="12.42578125" style="256" hidden="1" customWidth="1"/>
    <col min="33" max="33" width="10.7109375" style="256" hidden="1" customWidth="1"/>
    <col min="34" max="34" width="12.140625" style="256" hidden="1" customWidth="1"/>
    <col min="35" max="35" width="14.140625" style="256" hidden="1" customWidth="1"/>
    <col min="36" max="36" width="10.7109375" style="256" hidden="1" customWidth="1"/>
    <col min="37" max="37" width="12.42578125" style="256" hidden="1" customWidth="1"/>
    <col min="38" max="38" width="13.7109375" style="256" hidden="1" customWidth="1"/>
    <col min="39" max="39" width="12.5703125" style="256" hidden="1" customWidth="1"/>
    <col min="40" max="40" width="12.85546875" hidden="1" customWidth="1"/>
    <col min="41" max="41" width="10.7109375" hidden="1" customWidth="1"/>
    <col min="42" max="42" width="12" hidden="1" customWidth="1"/>
    <col min="43" max="43" width="14.28515625" hidden="1" customWidth="1"/>
    <col min="44" max="44" width="10.7109375" hidden="1" customWidth="1"/>
    <col min="45" max="45" width="11.7109375" hidden="1" customWidth="1"/>
    <col min="46" max="46" width="13.85546875" hidden="1" customWidth="1"/>
    <col min="47" max="47" width="13.28515625" hidden="1" customWidth="1"/>
    <col min="48" max="48" width="13.85546875" hidden="1" customWidth="1" collapsed="1"/>
    <col min="49" max="49" width="10.7109375" hidden="1" customWidth="1"/>
    <col min="50" max="50" width="12" hidden="1" customWidth="1"/>
    <col min="51" max="51" width="13.85546875" style="256" hidden="1" customWidth="1"/>
    <col min="52" max="52" width="10.7109375" style="256" hidden="1" customWidth="1"/>
    <col min="53" max="54" width="13.85546875" style="256" hidden="1" customWidth="1"/>
    <col min="55" max="55" width="12.85546875" style="256" hidden="1" customWidth="1"/>
    <col min="56" max="56" width="16.7109375" style="256" hidden="1" customWidth="1"/>
    <col min="57" max="57" width="13.42578125" style="304" customWidth="1"/>
    <col min="58" max="58" width="12.7109375" style="202" customWidth="1"/>
    <col min="59" max="59" width="13.140625" style="2" customWidth="1"/>
    <col min="60" max="60" width="16" style="2" customWidth="1"/>
    <col min="61" max="61" width="14.28515625" style="2" customWidth="1"/>
    <col min="62" max="16384" width="11.42578125" style="4"/>
  </cols>
  <sheetData>
    <row r="1" spans="1:62" s="11" customFormat="1" ht="21" x14ac:dyDescent="0.35">
      <c r="C1" s="3"/>
      <c r="D1" s="3" t="s">
        <v>210</v>
      </c>
      <c r="E1" s="3"/>
      <c r="F1" s="3"/>
      <c r="G1" s="3"/>
      <c r="J1" s="93"/>
      <c r="K1" s="16"/>
      <c r="L1" s="263"/>
      <c r="M1" s="263"/>
      <c r="N1" s="16"/>
      <c r="O1" s="16"/>
      <c r="P1" s="16"/>
      <c r="Q1" s="16"/>
      <c r="R1" s="16"/>
      <c r="S1" s="16"/>
      <c r="T1" s="16"/>
      <c r="U1" s="16"/>
      <c r="V1" s="16"/>
      <c r="W1" s="251"/>
      <c r="X1" s="287"/>
      <c r="Y1" s="251"/>
      <c r="Z1" s="251"/>
      <c r="AA1" s="251"/>
      <c r="AB1" s="251"/>
      <c r="AC1" s="251"/>
      <c r="AD1" s="251"/>
      <c r="AE1" s="251"/>
      <c r="AF1" s="251"/>
      <c r="AG1" s="251"/>
      <c r="AH1" s="251"/>
      <c r="AI1" s="251"/>
      <c r="AJ1" s="251"/>
      <c r="AK1" s="251"/>
      <c r="AL1" s="251"/>
      <c r="AM1" s="251"/>
      <c r="AN1" s="287"/>
      <c r="AO1" s="251"/>
      <c r="AP1" s="251"/>
      <c r="AQ1" s="251"/>
      <c r="AR1" s="251"/>
      <c r="AS1" s="251"/>
      <c r="AT1" s="251"/>
      <c r="AU1" s="251"/>
      <c r="AV1" s="251"/>
      <c r="AW1" s="251"/>
      <c r="AX1" s="251"/>
      <c r="AY1" s="251"/>
      <c r="AZ1" s="251"/>
      <c r="BA1" s="251"/>
      <c r="BB1" s="272"/>
      <c r="BC1" s="251"/>
      <c r="BD1" s="272"/>
      <c r="BE1" s="288"/>
      <c r="BF1" s="3"/>
    </row>
    <row r="2" spans="1:62" s="79" customFormat="1" ht="25.5" hidden="1" customHeight="1" x14ac:dyDescent="0.3">
      <c r="A2" s="94"/>
      <c r="C2" s="78"/>
      <c r="D2" s="118" t="s">
        <v>71</v>
      </c>
      <c r="E2" s="78"/>
      <c r="F2" s="105"/>
      <c r="G2" s="105"/>
      <c r="H2" s="105"/>
      <c r="I2" s="105"/>
      <c r="J2" s="105"/>
      <c r="K2" s="203"/>
      <c r="L2" s="264"/>
      <c r="M2" s="264"/>
      <c r="N2" s="105"/>
      <c r="O2" s="105"/>
      <c r="P2" s="203"/>
      <c r="Q2" s="203"/>
      <c r="R2" s="105"/>
      <c r="S2" s="105"/>
      <c r="T2" s="105"/>
      <c r="U2" s="105"/>
      <c r="V2" s="105"/>
      <c r="W2" s="252"/>
      <c r="X2" s="349"/>
      <c r="Y2" s="252"/>
      <c r="Z2" s="252"/>
      <c r="AA2" s="252"/>
      <c r="AB2" s="289"/>
      <c r="AC2" s="289"/>
      <c r="AD2" s="289"/>
      <c r="AE2" s="289"/>
      <c r="AF2" s="289"/>
      <c r="AG2" s="289"/>
      <c r="AH2" s="289"/>
      <c r="AI2" s="289"/>
      <c r="AJ2" s="289"/>
      <c r="AK2" s="289"/>
      <c r="AL2" s="289"/>
      <c r="AM2" s="289"/>
      <c r="AN2" s="290"/>
      <c r="AO2" s="291"/>
      <c r="AP2" s="291"/>
      <c r="AQ2" s="289"/>
      <c r="AR2" s="289"/>
      <c r="AS2" s="289"/>
      <c r="AT2" s="289"/>
      <c r="AU2" s="289"/>
      <c r="AV2" s="291"/>
      <c r="AW2" s="291"/>
      <c r="AX2" s="291"/>
      <c r="AY2" s="289"/>
      <c r="AZ2" s="289"/>
      <c r="BA2" s="289"/>
      <c r="BB2" s="289"/>
      <c r="BC2" s="289"/>
      <c r="BD2" s="289"/>
      <c r="BE2" s="292"/>
      <c r="BF2" s="199"/>
      <c r="BG2" s="94"/>
      <c r="BH2" s="94"/>
      <c r="BI2" s="94"/>
    </row>
    <row r="3" spans="1:62" s="79" customFormat="1" ht="24.95" customHeight="1" x14ac:dyDescent="0.3">
      <c r="A3" s="94"/>
      <c r="C3" s="78"/>
      <c r="D3" s="418" t="s">
        <v>469</v>
      </c>
      <c r="E3" s="78"/>
      <c r="F3" s="105"/>
      <c r="G3" s="105"/>
      <c r="H3" s="105"/>
      <c r="I3" s="105"/>
      <c r="J3" s="105"/>
      <c r="K3" s="203"/>
      <c r="L3" s="264"/>
      <c r="M3" s="264"/>
      <c r="N3" s="105"/>
      <c r="O3" s="105"/>
      <c r="P3" s="203"/>
      <c r="Q3" s="203"/>
      <c r="R3" s="105"/>
      <c r="S3" s="105"/>
      <c r="T3" s="105"/>
      <c r="U3" s="105"/>
      <c r="V3" s="105"/>
      <c r="W3" s="252"/>
      <c r="X3" s="349"/>
      <c r="Y3" s="252"/>
      <c r="Z3" s="252"/>
      <c r="AA3" s="252"/>
      <c r="AB3" s="289"/>
      <c r="AC3" s="289"/>
      <c r="AD3" s="289"/>
      <c r="AE3" s="289"/>
      <c r="AF3" s="289"/>
      <c r="AG3" s="289"/>
      <c r="AH3" s="289"/>
      <c r="AI3" s="289"/>
      <c r="AJ3" s="289"/>
      <c r="AK3" s="289"/>
      <c r="AL3" s="289"/>
      <c r="AM3" s="289"/>
      <c r="AN3" s="290"/>
      <c r="AO3" s="291"/>
      <c r="AP3" s="291"/>
      <c r="AQ3" s="289"/>
      <c r="AR3" s="289"/>
      <c r="AS3" s="289"/>
      <c r="AT3" s="289"/>
      <c r="AU3" s="289"/>
      <c r="AV3" s="291"/>
      <c r="AW3" s="291"/>
      <c r="AX3" s="291"/>
      <c r="AY3" s="289"/>
      <c r="AZ3" s="289"/>
      <c r="BA3" s="289"/>
      <c r="BB3" s="289"/>
      <c r="BC3" s="289"/>
      <c r="BD3" s="289"/>
      <c r="BE3" s="292"/>
      <c r="BF3" s="199"/>
      <c r="BG3" s="94"/>
      <c r="BH3" s="94"/>
      <c r="BI3" s="94"/>
    </row>
    <row r="4" spans="1:62" s="79" customFormat="1" ht="63" hidden="1" customHeight="1" x14ac:dyDescent="0.3">
      <c r="A4" s="94"/>
      <c r="C4" s="78"/>
      <c r="D4" s="708"/>
      <c r="E4" s="708"/>
      <c r="F4" s="708"/>
      <c r="G4" s="709"/>
      <c r="H4" s="419" t="s">
        <v>467</v>
      </c>
      <c r="I4" s="422"/>
      <c r="J4" s="710" t="s">
        <v>470</v>
      </c>
      <c r="K4" s="711"/>
      <c r="L4" s="711"/>
      <c r="M4" s="711"/>
      <c r="N4" s="711"/>
      <c r="O4" s="711"/>
      <c r="P4" s="711"/>
      <c r="Q4" s="711"/>
      <c r="R4" s="711"/>
      <c r="S4" s="711"/>
      <c r="T4" s="711"/>
      <c r="U4" s="711"/>
      <c r="V4" s="105"/>
      <c r="W4" s="252"/>
      <c r="X4" s="349"/>
      <c r="Y4" s="252"/>
      <c r="Z4" s="252"/>
      <c r="AA4" s="252"/>
      <c r="AB4" s="289"/>
      <c r="AC4" s="289"/>
      <c r="AD4" s="289"/>
      <c r="AE4" s="289"/>
      <c r="AF4" s="289"/>
      <c r="AG4" s="289"/>
      <c r="AH4" s="289"/>
      <c r="AI4" s="289"/>
      <c r="AJ4" s="289"/>
      <c r="AK4" s="289"/>
      <c r="AL4" s="289"/>
      <c r="AM4" s="289"/>
      <c r="AN4" s="290"/>
      <c r="AO4" s="291"/>
      <c r="AP4" s="291"/>
      <c r="AQ4" s="289"/>
      <c r="AR4" s="289"/>
      <c r="AS4" s="289"/>
      <c r="AT4" s="289"/>
      <c r="AU4" s="289"/>
      <c r="AV4" s="291"/>
      <c r="AW4" s="291"/>
      <c r="AX4" s="291"/>
      <c r="AY4" s="289"/>
      <c r="AZ4" s="289"/>
      <c r="BA4" s="289"/>
      <c r="BB4" s="289"/>
      <c r="BC4" s="289"/>
      <c r="BD4" s="289"/>
      <c r="BE4" s="292"/>
      <c r="BF4" s="199"/>
      <c r="BG4" s="94"/>
      <c r="BH4" s="94"/>
      <c r="BI4" s="94"/>
    </row>
    <row r="5" spans="1:62" s="99" customFormat="1" ht="54.95" hidden="1" customHeight="1" thickBot="1" x14ac:dyDescent="0.3">
      <c r="A5" s="98"/>
      <c r="C5" s="333"/>
      <c r="D5" s="708"/>
      <c r="E5" s="708"/>
      <c r="F5" s="708"/>
      <c r="G5" s="709"/>
      <c r="H5" s="355" t="s">
        <v>468</v>
      </c>
      <c r="I5" s="357">
        <f>+I4+SUMIF(BF10:BF29,"&lt;&gt;#N/A",BF10:BF29)</f>
        <v>0</v>
      </c>
      <c r="J5" s="713" t="str">
        <f>+IF((I5&gt;0)*AND(I5&lt;=100),"Postulación válida",IF(I5&gt;100,"No califica. Proyecto mayor a 100 tep. Puede postularse por medidas no estandarizadas.",""))</f>
        <v/>
      </c>
      <c r="K5" s="714"/>
      <c r="L5" s="265"/>
      <c r="M5" s="265"/>
      <c r="N5" s="359" t="s">
        <v>420</v>
      </c>
      <c r="O5" s="358"/>
      <c r="P5" s="420">
        <f>+IF(J5="Postulación válida",SUM(#REF!),0)</f>
        <v>0</v>
      </c>
      <c r="Q5" s="196"/>
      <c r="R5" s="712" t="s">
        <v>471</v>
      </c>
      <c r="S5" s="712"/>
      <c r="T5" s="712"/>
      <c r="U5" s="712"/>
      <c r="V5" s="100"/>
      <c r="W5" s="253"/>
      <c r="X5" s="253"/>
      <c r="Y5" s="253"/>
      <c r="Z5" s="253"/>
      <c r="AA5" s="253"/>
      <c r="AB5" s="253"/>
      <c r="AC5" s="253"/>
      <c r="AD5" s="293"/>
      <c r="AE5" s="293"/>
      <c r="AF5" s="293"/>
      <c r="AG5" s="293"/>
      <c r="AH5" s="293"/>
      <c r="AI5" s="356"/>
      <c r="AJ5" s="293"/>
      <c r="AL5" s="293"/>
      <c r="AM5" s="293"/>
      <c r="AN5" s="294"/>
      <c r="AO5" s="337"/>
      <c r="AP5" s="273"/>
      <c r="AQ5" s="293"/>
      <c r="AR5" s="293"/>
      <c r="AS5" s="293"/>
      <c r="AT5" s="293"/>
      <c r="AU5" s="293"/>
      <c r="AV5" s="273"/>
      <c r="AW5" s="273"/>
      <c r="AX5" s="273"/>
      <c r="AY5" s="293"/>
      <c r="AZ5" s="293"/>
      <c r="BA5" s="293"/>
      <c r="BB5" s="293"/>
      <c r="BC5" s="293"/>
      <c r="BD5" s="293"/>
      <c r="BE5" s="295"/>
      <c r="BG5" s="98"/>
      <c r="BH5" s="98"/>
      <c r="BI5" s="98"/>
    </row>
    <row r="6" spans="1:62" s="13" customFormat="1" ht="24.95" customHeight="1" thickBot="1" x14ac:dyDescent="0.3">
      <c r="A6" s="15"/>
      <c r="B6" s="15"/>
      <c r="C6" s="15"/>
      <c r="D6" s="15"/>
      <c r="E6" s="15"/>
      <c r="F6" s="15"/>
      <c r="G6" s="15"/>
      <c r="H6" s="12"/>
      <c r="I6" s="95"/>
      <c r="J6" s="96"/>
      <c r="K6" s="204"/>
      <c r="L6" s="271"/>
      <c r="M6" s="271"/>
      <c r="N6" s="12"/>
      <c r="O6" s="325"/>
      <c r="P6" s="204"/>
      <c r="Q6" s="204"/>
      <c r="R6" s="62"/>
      <c r="S6" s="62"/>
      <c r="U6" s="12"/>
      <c r="V6" s="12"/>
      <c r="W6" s="250"/>
      <c r="X6" s="350"/>
      <c r="Y6" s="334"/>
      <c r="Z6" s="226"/>
      <c r="AA6" s="334" t="s">
        <v>406</v>
      </c>
      <c r="AB6" s="250"/>
      <c r="AC6" s="250"/>
      <c r="AD6" s="250"/>
      <c r="AE6" s="250"/>
      <c r="AF6" s="250"/>
      <c r="AG6" s="250"/>
      <c r="AH6" s="250"/>
      <c r="AI6" s="250"/>
      <c r="AJ6" s="250"/>
      <c r="AK6" s="250"/>
      <c r="AL6" s="250"/>
      <c r="AM6" s="250"/>
      <c r="AN6" s="339"/>
      <c r="AO6" s="39" t="s">
        <v>406</v>
      </c>
      <c r="AP6" s="39"/>
      <c r="AQ6" s="334" t="s">
        <v>406</v>
      </c>
      <c r="AR6" s="250"/>
      <c r="AS6" s="250"/>
      <c r="AT6" s="250"/>
      <c r="AU6" s="250"/>
      <c r="AV6" s="296"/>
      <c r="AW6" s="296"/>
      <c r="AX6" s="296"/>
      <c r="AY6" s="250"/>
      <c r="AZ6" s="250"/>
      <c r="BA6" s="250"/>
      <c r="BB6" s="250"/>
      <c r="BC6" s="250"/>
      <c r="BD6" s="250"/>
      <c r="BE6" s="286"/>
      <c r="BF6" s="198"/>
      <c r="BG6" s="12"/>
      <c r="BH6" s="12"/>
      <c r="BI6" s="12"/>
    </row>
    <row r="7" spans="1:62" s="1" customFormat="1" ht="15.75" customHeight="1" thickBot="1" x14ac:dyDescent="0.3">
      <c r="B7" s="689" t="str">
        <f>+'Datos Instalaciones'!B14</f>
        <v>Nombre (persona física) o 
Razón social (otros) 
del postulante</v>
      </c>
      <c r="C7" s="689" t="str">
        <f>+'Datos Instalaciones'!C14</f>
        <v>C.I. (persona física) o RUT (otros) del postulante</v>
      </c>
      <c r="D7" s="692" t="str">
        <f>+'Datos Instalaciones'!E14</f>
        <v>Nombre de instalación 
(fija o móvil)</v>
      </c>
      <c r="E7" s="666" t="s">
        <v>171</v>
      </c>
      <c r="F7" s="692" t="s">
        <v>372</v>
      </c>
      <c r="G7" s="666" t="s">
        <v>368</v>
      </c>
      <c r="H7" s="692" t="s">
        <v>421</v>
      </c>
      <c r="I7" s="692" t="s">
        <v>426</v>
      </c>
      <c r="J7" s="692" t="s">
        <v>427</v>
      </c>
      <c r="K7" s="692" t="s">
        <v>273</v>
      </c>
      <c r="L7" s="695" t="s">
        <v>390</v>
      </c>
      <c r="M7" s="695" t="s">
        <v>391</v>
      </c>
      <c r="N7" s="692" t="s">
        <v>480</v>
      </c>
      <c r="O7" s="666" t="s">
        <v>25</v>
      </c>
      <c r="P7" s="692" t="s">
        <v>379</v>
      </c>
      <c r="Q7" s="695" t="s">
        <v>402</v>
      </c>
      <c r="R7" s="719" t="s">
        <v>446</v>
      </c>
      <c r="S7" s="692" t="s">
        <v>447</v>
      </c>
      <c r="T7" s="715" t="s">
        <v>84</v>
      </c>
      <c r="U7" s="716"/>
      <c r="V7" s="692" t="s">
        <v>451</v>
      </c>
      <c r="W7" s="692" t="s">
        <v>67</v>
      </c>
      <c r="X7" s="681" t="s">
        <v>59</v>
      </c>
      <c r="Y7" s="682"/>
      <c r="Z7" s="682"/>
      <c r="AA7" s="682"/>
      <c r="AB7" s="682"/>
      <c r="AC7" s="682"/>
      <c r="AD7" s="682"/>
      <c r="AE7" s="683"/>
      <c r="AF7" s="698" t="s">
        <v>59</v>
      </c>
      <c r="AG7" s="699"/>
      <c r="AH7" s="699"/>
      <c r="AI7" s="699"/>
      <c r="AJ7" s="699"/>
      <c r="AK7" s="699"/>
      <c r="AL7" s="700"/>
      <c r="AM7" s="453"/>
      <c r="AN7" s="681" t="s">
        <v>60</v>
      </c>
      <c r="AO7" s="682"/>
      <c r="AP7" s="682"/>
      <c r="AQ7" s="682"/>
      <c r="AR7" s="682"/>
      <c r="AS7" s="682"/>
      <c r="AT7" s="682"/>
      <c r="AU7" s="683"/>
      <c r="AV7" s="698" t="s">
        <v>60</v>
      </c>
      <c r="AW7" s="699"/>
      <c r="AX7" s="699"/>
      <c r="AY7" s="699"/>
      <c r="AZ7" s="699"/>
      <c r="BA7" s="699"/>
      <c r="BB7" s="699"/>
      <c r="BC7" s="700"/>
      <c r="BD7" s="666" t="s">
        <v>80</v>
      </c>
      <c r="BE7" s="676" t="s">
        <v>26</v>
      </c>
      <c r="BF7" s="677"/>
      <c r="BG7" s="677"/>
      <c r="BH7" s="677"/>
      <c r="BI7" s="678"/>
    </row>
    <row r="8" spans="1:62" s="1" customFormat="1" ht="33.75" thickBot="1" x14ac:dyDescent="0.3">
      <c r="B8" s="690"/>
      <c r="C8" s="690"/>
      <c r="D8" s="693"/>
      <c r="E8" s="667"/>
      <c r="F8" s="693"/>
      <c r="G8" s="667"/>
      <c r="H8" s="693"/>
      <c r="I8" s="693"/>
      <c r="J8" s="693"/>
      <c r="K8" s="693"/>
      <c r="L8" s="696"/>
      <c r="M8" s="696"/>
      <c r="N8" s="693"/>
      <c r="O8" s="667"/>
      <c r="P8" s="693"/>
      <c r="Q8" s="696"/>
      <c r="R8" s="720"/>
      <c r="S8" s="694"/>
      <c r="T8" s="717"/>
      <c r="U8" s="718"/>
      <c r="V8" s="694"/>
      <c r="W8" s="693"/>
      <c r="X8" s="706" t="s">
        <v>21</v>
      </c>
      <c r="Y8" s="707" t="s">
        <v>66</v>
      </c>
      <c r="Z8" s="703"/>
      <c r="AA8" s="681" t="s">
        <v>20</v>
      </c>
      <c r="AB8" s="682"/>
      <c r="AC8" s="682"/>
      <c r="AD8" s="683"/>
      <c r="AE8" s="454" t="s">
        <v>109</v>
      </c>
      <c r="AF8" s="684" t="s">
        <v>72</v>
      </c>
      <c r="AG8" s="686" t="s">
        <v>66</v>
      </c>
      <c r="AH8" s="687"/>
      <c r="AI8" s="698" t="s">
        <v>20</v>
      </c>
      <c r="AJ8" s="699"/>
      <c r="AK8" s="699"/>
      <c r="AL8" s="700"/>
      <c r="AM8" s="455" t="s">
        <v>109</v>
      </c>
      <c r="AN8" s="666" t="s">
        <v>21</v>
      </c>
      <c r="AO8" s="702" t="s">
        <v>66</v>
      </c>
      <c r="AP8" s="703"/>
      <c r="AQ8" s="704" t="s">
        <v>20</v>
      </c>
      <c r="AR8" s="705"/>
      <c r="AS8" s="705"/>
      <c r="AT8" s="705"/>
      <c r="AU8" s="454" t="s">
        <v>407</v>
      </c>
      <c r="AV8" s="701" t="s">
        <v>72</v>
      </c>
      <c r="AW8" s="686" t="s">
        <v>66</v>
      </c>
      <c r="AX8" s="687"/>
      <c r="AY8" s="669" t="s">
        <v>20</v>
      </c>
      <c r="AZ8" s="670"/>
      <c r="BA8" s="670"/>
      <c r="BB8" s="671"/>
      <c r="BC8" s="455" t="s">
        <v>109</v>
      </c>
      <c r="BD8" s="667"/>
      <c r="BE8" s="672" t="s">
        <v>389</v>
      </c>
      <c r="BF8" s="679" t="s">
        <v>118</v>
      </c>
      <c r="BG8" s="664" t="s">
        <v>113</v>
      </c>
      <c r="BH8" s="664" t="s">
        <v>61</v>
      </c>
      <c r="BI8" s="674" t="s">
        <v>489</v>
      </c>
    </row>
    <row r="9" spans="1:62" s="1" customFormat="1" ht="45.75" thickBot="1" x14ac:dyDescent="0.3">
      <c r="B9" s="691"/>
      <c r="C9" s="691"/>
      <c r="D9" s="694"/>
      <c r="E9" s="668"/>
      <c r="F9" s="694"/>
      <c r="G9" s="668"/>
      <c r="H9" s="694"/>
      <c r="I9" s="694"/>
      <c r="J9" s="694"/>
      <c r="K9" s="694"/>
      <c r="L9" s="697"/>
      <c r="M9" s="697"/>
      <c r="N9" s="694"/>
      <c r="O9" s="668"/>
      <c r="P9" s="694"/>
      <c r="Q9" s="696"/>
      <c r="R9" s="721"/>
      <c r="S9" s="456" t="s">
        <v>110</v>
      </c>
      <c r="T9" s="454" t="s">
        <v>83</v>
      </c>
      <c r="U9" s="456" t="s">
        <v>110</v>
      </c>
      <c r="V9" s="456" t="s">
        <v>110</v>
      </c>
      <c r="W9" s="694"/>
      <c r="X9" s="705"/>
      <c r="Y9" s="457" t="s">
        <v>10</v>
      </c>
      <c r="Z9" s="458" t="s">
        <v>111</v>
      </c>
      <c r="AA9" s="459" t="s">
        <v>57</v>
      </c>
      <c r="AB9" s="460" t="s">
        <v>18</v>
      </c>
      <c r="AC9" s="460" t="s">
        <v>23</v>
      </c>
      <c r="AD9" s="461" t="s">
        <v>112</v>
      </c>
      <c r="AE9" s="461" t="s">
        <v>408</v>
      </c>
      <c r="AF9" s="685"/>
      <c r="AG9" s="462" t="s">
        <v>10</v>
      </c>
      <c r="AH9" s="463" t="s">
        <v>111</v>
      </c>
      <c r="AI9" s="464" t="s">
        <v>57</v>
      </c>
      <c r="AJ9" s="465" t="s">
        <v>18</v>
      </c>
      <c r="AK9" s="465" t="s">
        <v>23</v>
      </c>
      <c r="AL9" s="466" t="s">
        <v>112</v>
      </c>
      <c r="AM9" s="466" t="s">
        <v>408</v>
      </c>
      <c r="AN9" s="668"/>
      <c r="AO9" s="467" t="s">
        <v>10</v>
      </c>
      <c r="AP9" s="458" t="s">
        <v>111</v>
      </c>
      <c r="AQ9" s="459" t="s">
        <v>57</v>
      </c>
      <c r="AR9" s="460" t="s">
        <v>18</v>
      </c>
      <c r="AS9" s="460" t="s">
        <v>23</v>
      </c>
      <c r="AT9" s="468" t="s">
        <v>24</v>
      </c>
      <c r="AU9" s="454" t="s">
        <v>408</v>
      </c>
      <c r="AV9" s="669"/>
      <c r="AW9" s="465" t="s">
        <v>10</v>
      </c>
      <c r="AX9" s="463" t="s">
        <v>22</v>
      </c>
      <c r="AY9" s="464" t="s">
        <v>57</v>
      </c>
      <c r="AZ9" s="465" t="s">
        <v>18</v>
      </c>
      <c r="BA9" s="465" t="s">
        <v>23</v>
      </c>
      <c r="BB9" s="466" t="s">
        <v>24</v>
      </c>
      <c r="BC9" s="455" t="s">
        <v>408</v>
      </c>
      <c r="BD9" s="668"/>
      <c r="BE9" s="673"/>
      <c r="BF9" s="680"/>
      <c r="BG9" s="665"/>
      <c r="BH9" s="665"/>
      <c r="BI9" s="675"/>
    </row>
    <row r="10" spans="1:62" s="5" customFormat="1" ht="45" customHeight="1" thickBot="1" x14ac:dyDescent="0.3">
      <c r="B10" s="421" t="str">
        <f>IF(COUNTA('Datos Instalaciones'!$B$15:$B$34)=1,'Datos Instalaciones'!$B$15,IF('Datos Instalaciones'!$B15="","",'Datos Instalaciones'!$B15))</f>
        <v/>
      </c>
      <c r="C10" s="421" t="str">
        <f>IF(COUNTA('Datos Instalaciones'!$C$15:$C$34)=1,'Datos Instalaciones'!$C$15,IF('Datos Instalaciones'!$C15="","",'Datos Instalaciones'!$C15))</f>
        <v/>
      </c>
      <c r="D10" s="507" t="s">
        <v>17</v>
      </c>
      <c r="E10" s="354" t="str">
        <f>IF(D10="Seleccione","",VLOOKUP('MMEE std'!D10,'Datos Instalaciones'!$E$15:$AD$34,26,FALSE))</f>
        <v/>
      </c>
      <c r="F10" s="506">
        <v>1</v>
      </c>
      <c r="G10" s="354" t="s">
        <v>369</v>
      </c>
      <c r="H10" s="507" t="s">
        <v>17</v>
      </c>
      <c r="I10" s="515">
        <f>+VLOOKUP($H10,$H$35:$I$50,2,FALSE)</f>
        <v>0</v>
      </c>
      <c r="J10" s="218"/>
      <c r="K10" s="360"/>
      <c r="L10" s="270" t="str">
        <f>+VLOOKUP($H10,$H$35:$M$50,5,FALSE)</f>
        <v>Seleccione</v>
      </c>
      <c r="M10" s="270" t="str">
        <f>+VLOOKUP($H10,$H$35:$M$50,6,FALSE)</f>
        <v>Seleccione</v>
      </c>
      <c r="N10" s="219"/>
      <c r="O10" s="353" t="str">
        <f>+IF(H10="Seleccione","",VLOOKUP($H10,$H$37:$O$50,8,FALSE))</f>
        <v/>
      </c>
      <c r="P10" s="508" t="s">
        <v>17</v>
      </c>
      <c r="Q10" s="509" t="s">
        <v>65</v>
      </c>
      <c r="R10" s="510" t="s">
        <v>17</v>
      </c>
      <c r="S10" s="220"/>
      <c r="T10" s="283"/>
      <c r="U10" s="220"/>
      <c r="V10" s="516">
        <f>+U10-S10</f>
        <v>0</v>
      </c>
      <c r="W10" s="508" t="s">
        <v>17</v>
      </c>
      <c r="X10" s="469" t="str">
        <f>+VLOOKUP($H10,$H$35:$AA$50,17,FALSE)</f>
        <v>Seleccione</v>
      </c>
      <c r="Y10" s="470">
        <f>+VLOOKUP($H10,$H$35:$AA$50,18,FALSE)</f>
        <v>0</v>
      </c>
      <c r="Z10" s="471">
        <f>+VLOOKUP($X10,$X$36:$AD$50,4,FALSE)</f>
        <v>0</v>
      </c>
      <c r="AA10" s="471">
        <f>+IF($H10=$H$37,$K10*Calculadores!$B$9,IF($H10=$H$38,IF('Datos Instalaciones'!D12="Residencial",$J10*$K10*Calculadores!$B$32*365*24,$J10*$K10*Calculadores!$B$32*365*24*0.7),IF($H10=$H$39,$K10*Calculadores!$B$55,IF($H10=$H$40,$K10*Calculadores!$B$76,IF($H10=$H$41,($K10/Calculadores!$B$96)*$J10*Calculadores!$B$100,IF($H10=$H$42,$J10/Calculadores!$B$124/1000*$K10*Calculadores!$B$125*5*52,IF($H10=$H$43,$J10/Calculadores!$H$124/1000*$K10*Calculadores!$H$125*5*52,IF($H10=$H$44,$J10*$K10*Calculadores!$B$151*Calculadores!$B$153,IF($H10=$H$45,$J10*$K10*Calculadores!$B$180*Calculadores!$B$178,IF($H10=$H$46,$J10*$K10*Calculadores!$B$207*Calculadores!$B$205,IF($H10=$H$47,$J10*$K10*Calculadores!$B$235*Calculadores!$B$233,IF($H10=$H$48,$J10*$K10*Calculadores!$B$262*Calculadores!$B$260,IF($H10=$H$49,$J10*$K10*Calculadores!$B$262*Calculadores!$B$260,0)))))))))))))</f>
        <v>0</v>
      </c>
      <c r="AB10" s="469">
        <f>+VLOOKUP($X10,$X$36:$AD$50,3,FALSE)</f>
        <v>0</v>
      </c>
      <c r="AC10" s="472">
        <f>+IF(AA10=0,0,AA10*VLOOKUP(X10,$X$37:$AD$50,6,FALSE))</f>
        <v>0</v>
      </c>
      <c r="AD10" s="473">
        <f>+Y10*AA10</f>
        <v>0</v>
      </c>
      <c r="AE10" s="474">
        <f>+AC10*VLOOKUP(X10,$X$36:$AD$50,7,FALSE)</f>
        <v>0</v>
      </c>
      <c r="AF10" s="475" t="s">
        <v>17</v>
      </c>
      <c r="AG10" s="476"/>
      <c r="AH10" s="477">
        <f t="shared" ref="AH10:AH29" si="0">+VLOOKUP($AF10,$X$36:$AD$44,3,FALSE)</f>
        <v>0</v>
      </c>
      <c r="AI10" s="478"/>
      <c r="AJ10" s="477">
        <f t="shared" ref="AJ10:AJ29" si="1">+VLOOKUP($AF10,$X$36:$AD$44,2,FALSE)</f>
        <v>0</v>
      </c>
      <c r="AK10" s="479">
        <f t="shared" ref="AK10:AK29" si="2">+IF(AI10="",0,AI10*VLOOKUP(AF10,$X$37:$AD$44,5,FALSE))</f>
        <v>0</v>
      </c>
      <c r="AL10" s="480">
        <f>+AG10*AI10</f>
        <v>0</v>
      </c>
      <c r="AM10" s="480">
        <f t="shared" ref="AM10:AM29" si="3">+AK10*VLOOKUP(AF10,$X$36:$AD$44,6,FALSE)</f>
        <v>0</v>
      </c>
      <c r="AN10" s="481" t="str">
        <f>+VLOOKUP($H10,$AM$35:$AO$50,2,FALSE)</f>
        <v>Seleccione</v>
      </c>
      <c r="AO10" s="482">
        <f>+VLOOKUP($AN10,$AN$35:$AO$50,2,FALSE)</f>
        <v>0</v>
      </c>
      <c r="AP10" s="482">
        <f>+VLOOKUP($AN10,$AN$35:$AP$50,3,FALSE)</f>
        <v>0</v>
      </c>
      <c r="AQ10" s="483">
        <f>+IF($H10=$H$37,$K10*Calculadores!$B$10,IF($H10=$H$38,$J10*$K10*Calculadores!$B$35*365*24,IF($H10=$H$39,$K10*Calculadores!$B$57,IF($H10=$H$40,$K10*Calculadores!$B$77,IF($H10=$H$41,$K10*Calculadores!$B$103*$J10/Calculadores!$B$96,IF($H10=$H$42,$J10/1000*$K10*Calculadores!$B$125*5*52,IF($H10=$H$43,$J10/1000*$K10*Calculadores!$H$125*5*52,IF($H10=$H$44,$J10*$K10*Calculadores!$B$153*Calculadores!$B$152,IF($H10=$H$45,$J10*$K10*Calculadores!$B$180*Calculadores!$B$179,IF($H10=$H$46,$J10*$K10*Calculadores!$B$207*Calculadores!$B$206,IF($H10=$H$47,$J10*$K10*Calculadores!$B$235*Calculadores!$B$234,IF($H10=$H$48,0,IF($H10=$H$49,$J10*$K10*Calculadores!$B$289*Calculadores!$B$288,0)))))))))))))</f>
        <v>0</v>
      </c>
      <c r="AR10" s="482">
        <f>+VLOOKUP($AN10,$AN$35:$AQ$50,4,FALSE)</f>
        <v>0</v>
      </c>
      <c r="AS10" s="484">
        <f>+IF(AQ10=0,0,AQ10*VLOOKUP(AN10,$X$37:$AD$50,6,FALSE))</f>
        <v>0</v>
      </c>
      <c r="AT10" s="485">
        <f>+AO10*AQ10</f>
        <v>0</v>
      </c>
      <c r="AU10" s="485">
        <f>+IF(H10=$H$48,0,AS10*VLOOKUP(AN10,$X$36:$AD$50,7,FALSE))</f>
        <v>0</v>
      </c>
      <c r="AV10" s="475" t="s">
        <v>17</v>
      </c>
      <c r="AW10" s="486"/>
      <c r="AX10" s="487">
        <f t="shared" ref="AX10:AX29" si="4">+VLOOKUP($AV10,$X$36:$AD$44,3,FALSE)</f>
        <v>0</v>
      </c>
      <c r="AY10" s="488"/>
      <c r="AZ10" s="487">
        <f t="shared" ref="AZ10:AZ29" si="5">+VLOOKUP($AV10,$X$36:$AD$44,2,FALSE)</f>
        <v>0</v>
      </c>
      <c r="BA10" s="489">
        <f t="shared" ref="BA10:BA29" si="6">+IF(AY10="",0,AY10*VLOOKUP(AV10,$X$37:$AD$44,5,FALSE))</f>
        <v>0</v>
      </c>
      <c r="BB10" s="490">
        <f>+AW10*AY10</f>
        <v>0</v>
      </c>
      <c r="BC10" s="491">
        <f t="shared" ref="BC10:BC29" si="7">+BA10*VLOOKUP(AV10,$X$36:$AD$44,6,FALSE)</f>
        <v>0</v>
      </c>
      <c r="BD10" s="492" t="s">
        <v>65</v>
      </c>
      <c r="BE10" s="547">
        <f>+(AC10+AK10)-(AS10+BA10)</f>
        <v>0</v>
      </c>
      <c r="BF10" s="493">
        <f>-IF(BE10&gt;0,PV(7.5%,$O10,BE10,0,1),0)</f>
        <v>0</v>
      </c>
      <c r="BG10" s="550">
        <f t="shared" ref="BG10:BG29" si="8">(AD10+AL10)-(AT10+BB10)</f>
        <v>0</v>
      </c>
      <c r="BH10" s="545">
        <f t="shared" ref="BH10:BH29" si="9">-IF(BG10=0,0,U10/PV(10%,O10,BG10,0,1))</f>
        <v>0</v>
      </c>
      <c r="BI10" s="548">
        <f t="shared" ref="BI10:BI29" si="10">+(AE10+AM10)-(AU10+BC10)</f>
        <v>0</v>
      </c>
      <c r="BJ10" s="1"/>
    </row>
    <row r="11" spans="1:62" s="5" customFormat="1" ht="45" customHeight="1" thickBot="1" x14ac:dyDescent="0.3">
      <c r="B11" s="421">
        <f>IF(COUNTA('Datos Instalaciones'!$B$15:$B$34)=1,'Datos Instalaciones'!$B$15,IF('Datos Instalaciones'!$B16="","",'Datos Instalaciones'!$B16))</f>
        <v>0</v>
      </c>
      <c r="C11" s="421">
        <f>IF(COUNTA('Datos Instalaciones'!$C$15:$C$34)=1,'Datos Instalaciones'!$C$15,IF('Datos Instalaciones'!$C16="","",'Datos Instalaciones'!$C16))</f>
        <v>0</v>
      </c>
      <c r="D11" s="507" t="s">
        <v>17</v>
      </c>
      <c r="E11" s="354" t="str">
        <f>IF(D11="Seleccione","",VLOOKUP('MMEE std'!D11,'Datos Instalaciones'!$E$15:$AD$34,26,FALSE))</f>
        <v/>
      </c>
      <c r="F11" s="506">
        <v>2</v>
      </c>
      <c r="G11" s="354" t="s">
        <v>369</v>
      </c>
      <c r="H11" s="507" t="s">
        <v>17</v>
      </c>
      <c r="I11" s="515">
        <f t="shared" ref="I11:I29" si="11">+VLOOKUP($H11,$H$35:$I$50,2,FALSE)</f>
        <v>0</v>
      </c>
      <c r="J11" s="222"/>
      <c r="K11" s="360"/>
      <c r="L11" s="270" t="str">
        <f t="shared" ref="L11:L29" si="12">+VLOOKUP($H11,$H$35:$M$50,5,FALSE)</f>
        <v>Seleccione</v>
      </c>
      <c r="M11" s="270" t="str">
        <f t="shared" ref="M11:M29" si="13">+VLOOKUP($H11,$H$35:$M$50,6,FALSE)</f>
        <v>Seleccione</v>
      </c>
      <c r="N11" s="219"/>
      <c r="O11" s="353" t="str">
        <f t="shared" ref="O11:O29" si="14">+IF(H11="Seleccione","",VLOOKUP($H11,$H$37:$O$50,8,FALSE))</f>
        <v/>
      </c>
      <c r="P11" s="508" t="s">
        <v>17</v>
      </c>
      <c r="Q11" s="509" t="s">
        <v>65</v>
      </c>
      <c r="R11" s="510" t="s">
        <v>17</v>
      </c>
      <c r="S11" s="221"/>
      <c r="T11" s="284"/>
      <c r="U11" s="221"/>
      <c r="V11" s="516">
        <f t="shared" ref="V11:V29" si="15">+U11-S11</f>
        <v>0</v>
      </c>
      <c r="W11" s="508" t="s">
        <v>17</v>
      </c>
      <c r="X11" s="469" t="str">
        <f t="shared" ref="X11:X29" si="16">+VLOOKUP($H11,$H$35:$AA$50,17,FALSE)</f>
        <v>Seleccione</v>
      </c>
      <c r="Y11" s="470">
        <f t="shared" ref="Y11:Y29" si="17">+VLOOKUP($H11,$H$35:$AA$50,18,FALSE)</f>
        <v>0</v>
      </c>
      <c r="Z11" s="471">
        <f t="shared" ref="Z11:Z29" si="18">+VLOOKUP($X11,$X$36:$AD$50,4,FALSE)</f>
        <v>0</v>
      </c>
      <c r="AA11" s="471">
        <f>+IF($H11=$H$37,$K11*Calculadores!$B$9,IF($H11=$H$38,IF('Datos Instalaciones'!D13="Residencial",$J11*$K11*Calculadores!$B$32*365*24,$J11*$K11*Calculadores!$B$32*365*24*0.7),IF($H11=$H$39,$K11*Calculadores!$B$55,IF($H11=$H$40,$K11*Calculadores!$B$76,IF($H11=$H$41,($K11/Calculadores!$B$96)*$J11*Calculadores!$B$100,IF($H11=$H$42,$J11/Calculadores!$B$124/1000*$K11*Calculadores!$B$125*5*52,IF($H11=$H$43,$J11/Calculadores!$H$124/1000*$K11*Calculadores!$H$125*5*52,IF($H11=$H$44,$J11*$K11*Calculadores!$B$151*Calculadores!$B$153,IF($H11=$H$45,$J11*$K11*Calculadores!$B$180*Calculadores!$B$178,IF($H11=$H$46,$J11*$K11*Calculadores!$B$207*Calculadores!$B$205,IF($H11=$H$47,$J11*$K11*Calculadores!$B$235*Calculadores!$B$233,IF($H11=$H$48,$J11*$K11*Calculadores!$B$262*Calculadores!$B$260,IF($H11=$H$49,$J11*$K11*Calculadores!$B$262*Calculadores!$B$260,0)))))))))))))</f>
        <v>0</v>
      </c>
      <c r="AB11" s="469">
        <f t="shared" ref="AB11:AB29" si="19">+VLOOKUP($X11,$X$36:$AD$50,3,FALSE)</f>
        <v>0</v>
      </c>
      <c r="AC11" s="472">
        <f t="shared" ref="AC11:AC29" si="20">+IF(AA11=0,0,AA11*VLOOKUP(X11,$X$37:$AD$50,6,FALSE))</f>
        <v>0</v>
      </c>
      <c r="AD11" s="473">
        <f t="shared" ref="AD11:AD29" si="21">+Y11*AA11</f>
        <v>0</v>
      </c>
      <c r="AE11" s="474">
        <f t="shared" ref="AE11:AE29" si="22">+AC11*VLOOKUP(X11,$X$36:$AD$50,7,FALSE)</f>
        <v>0</v>
      </c>
      <c r="AF11" s="475" t="s">
        <v>17</v>
      </c>
      <c r="AG11" s="476"/>
      <c r="AH11" s="477">
        <f t="shared" si="0"/>
        <v>0</v>
      </c>
      <c r="AI11" s="478"/>
      <c r="AJ11" s="477">
        <f t="shared" si="1"/>
        <v>0</v>
      </c>
      <c r="AK11" s="479">
        <f t="shared" si="2"/>
        <v>0</v>
      </c>
      <c r="AL11" s="480">
        <f t="shared" ref="AL11:AL29" si="23">+AG11*AI11</f>
        <v>0</v>
      </c>
      <c r="AM11" s="480">
        <f t="shared" si="3"/>
        <v>0</v>
      </c>
      <c r="AN11" s="481" t="str">
        <f t="shared" ref="AN11:AN29" si="24">+VLOOKUP($H11,$AM$35:$AO$50,2,FALSE)</f>
        <v>Seleccione</v>
      </c>
      <c r="AO11" s="482">
        <f t="shared" ref="AO11:AO29" si="25">+VLOOKUP($AN11,$AN$35:$AO$50,2,FALSE)</f>
        <v>0</v>
      </c>
      <c r="AP11" s="482">
        <f t="shared" ref="AP11:AP29" si="26">+VLOOKUP($AN11,$AN$35:$AP$50,3,FALSE)</f>
        <v>0</v>
      </c>
      <c r="AQ11" s="483">
        <f>+IF($H11=$H$37,$K11*Calculadores!$B$10,IF($H11=$H$38,$J11*$K11*Calculadores!$B$35*365*24,IF($H11=$H$39,$K11*Calculadores!$B$57,IF($H11=$H$40,$K11*Calculadores!$B$77,IF($H11=$H$41,$K11*Calculadores!$B$103*$J11/Calculadores!$B$96,IF($H11=$H$42,$J11/1000*$K11*Calculadores!$B$125*5*52,IF($H11=$H$43,$J11/1000*$K11*Calculadores!$H$125*5*52,IF($H11=$H$44,$J11*$K11*Calculadores!$B$153*Calculadores!$B$152,IF($H11=$H$45,$J11*$K11*Calculadores!$B$180*Calculadores!$B$179,IF($H11=$H$46,$J11*$K11*Calculadores!$B$207*Calculadores!$B$206,IF($H11=$H$47,$J11*$K11*Calculadores!$B$235*Calculadores!$B$234,IF($H11=$H$48,0,IF($H11=$H$49,$J11*$K11*Calculadores!$B$289*Calculadores!$B$288,0)))))))))))))</f>
        <v>0</v>
      </c>
      <c r="AR11" s="482">
        <f t="shared" ref="AR11:AR29" si="27">+VLOOKUP($AN11,$AN$35:$AQ$50,4,FALSE)</f>
        <v>0</v>
      </c>
      <c r="AS11" s="484">
        <f t="shared" ref="AS11:AS29" si="28">+IF(AQ11=0,0,AQ11*VLOOKUP(AN11,$X$37:$AD$50,6,FALSE))</f>
        <v>0</v>
      </c>
      <c r="AT11" s="485">
        <f t="shared" ref="AT11:AT29" si="29">+AO11*AQ11</f>
        <v>0</v>
      </c>
      <c r="AU11" s="485">
        <f t="shared" ref="AU11:AU29" si="30">+IF(H11=$H$48,0,AS11*VLOOKUP(AN11,$X$36:$AD$50,7,FALSE))</f>
        <v>0</v>
      </c>
      <c r="AV11" s="475" t="s">
        <v>17</v>
      </c>
      <c r="AW11" s="486"/>
      <c r="AX11" s="487">
        <f t="shared" si="4"/>
        <v>0</v>
      </c>
      <c r="AY11" s="488"/>
      <c r="AZ11" s="487">
        <f t="shared" si="5"/>
        <v>0</v>
      </c>
      <c r="BA11" s="489">
        <f t="shared" si="6"/>
        <v>0</v>
      </c>
      <c r="BB11" s="490">
        <f t="shared" ref="BB11:BB29" si="31">+AW11*AY11</f>
        <v>0</v>
      </c>
      <c r="BC11" s="491">
        <f t="shared" si="7"/>
        <v>0</v>
      </c>
      <c r="BD11" s="492" t="s">
        <v>65</v>
      </c>
      <c r="BE11" s="547">
        <f t="shared" ref="BE11:BE29" si="32">+(AC11+AK11)-(AS11+BA11)</f>
        <v>0</v>
      </c>
      <c r="BF11" s="493">
        <f t="shared" ref="BF11:BF29" si="33">-IF(BE11&gt;0,PV(7.5%,$O11,BE11,0,1),0)</f>
        <v>0</v>
      </c>
      <c r="BG11" s="550">
        <f t="shared" si="8"/>
        <v>0</v>
      </c>
      <c r="BH11" s="545">
        <f t="shared" si="9"/>
        <v>0</v>
      </c>
      <c r="BI11" s="548">
        <f t="shared" si="10"/>
        <v>0</v>
      </c>
    </row>
    <row r="12" spans="1:62" s="5" customFormat="1" ht="45" customHeight="1" thickBot="1" x14ac:dyDescent="0.3">
      <c r="B12" s="421">
        <f>IF(COUNTA('Datos Instalaciones'!$B$15:$B$34)=1,'Datos Instalaciones'!$B$15,IF('Datos Instalaciones'!$B17="","",'Datos Instalaciones'!$B17))</f>
        <v>0</v>
      </c>
      <c r="C12" s="421">
        <f>IF(COUNTA('Datos Instalaciones'!$C$15:$C$34)=1,'Datos Instalaciones'!$C$15,IF('Datos Instalaciones'!$C17="","",'Datos Instalaciones'!$C17))</f>
        <v>0</v>
      </c>
      <c r="D12" s="507" t="s">
        <v>17</v>
      </c>
      <c r="E12" s="354" t="str">
        <f>IF(D12="Seleccione","",VLOOKUP('MMEE std'!D12,'Datos Instalaciones'!$E$15:$AD$34,26,FALSE))</f>
        <v/>
      </c>
      <c r="F12" s="506">
        <v>3</v>
      </c>
      <c r="G12" s="354" t="s">
        <v>369</v>
      </c>
      <c r="H12" s="507" t="s">
        <v>17</v>
      </c>
      <c r="I12" s="515">
        <f t="shared" si="11"/>
        <v>0</v>
      </c>
      <c r="J12" s="222"/>
      <c r="K12" s="360"/>
      <c r="L12" s="270" t="str">
        <f t="shared" si="12"/>
        <v>Seleccione</v>
      </c>
      <c r="M12" s="270" t="str">
        <f t="shared" si="13"/>
        <v>Seleccione</v>
      </c>
      <c r="N12" s="219"/>
      <c r="O12" s="353" t="str">
        <f t="shared" si="14"/>
        <v/>
      </c>
      <c r="P12" s="508" t="s">
        <v>17</v>
      </c>
      <c r="Q12" s="509" t="s">
        <v>65</v>
      </c>
      <c r="R12" s="510" t="s">
        <v>17</v>
      </c>
      <c r="S12" s="221"/>
      <c r="T12" s="284"/>
      <c r="U12" s="221"/>
      <c r="V12" s="516">
        <f t="shared" si="15"/>
        <v>0</v>
      </c>
      <c r="W12" s="508" t="s">
        <v>17</v>
      </c>
      <c r="X12" s="469" t="str">
        <f t="shared" si="16"/>
        <v>Seleccione</v>
      </c>
      <c r="Y12" s="470">
        <f t="shared" si="17"/>
        <v>0</v>
      </c>
      <c r="Z12" s="471">
        <f t="shared" si="18"/>
        <v>0</v>
      </c>
      <c r="AA12" s="471">
        <f>+IF($H12=$H$37,$K12*Calculadores!$B$9,IF($H12=$H$38,IF('Datos Instalaciones'!D14="Residencial",$J12*$K12*Calculadores!$B$32*365*24,$J12*$K12*Calculadores!$B$32*365*24*0.7),IF($H12=$H$39,$K12*Calculadores!$B$55,IF($H12=$H$40,$K12*Calculadores!$B$76,IF($H12=$H$41,($K12/Calculadores!$B$96)*$J12*Calculadores!$B$100,IF($H12=$H$42,$J12/Calculadores!$B$124/1000*$K12*Calculadores!$B$125*5*52,IF($H12=$H$43,$J12/Calculadores!$H$124/1000*$K12*Calculadores!$H$125*5*52,IF($H12=$H$44,$J12*$K12*Calculadores!$B$151*Calculadores!$B$153,IF($H12=$H$45,$J12*$K12*Calculadores!$B$180*Calculadores!$B$178,IF($H12=$H$46,$J12*$K12*Calculadores!$B$207*Calculadores!$B$205,IF($H12=$H$47,$J12*$K12*Calculadores!$B$235*Calculadores!$B$233,IF($H12=$H$48,$J12*$K12*Calculadores!$B$262*Calculadores!$B$260,IF($H12=$H$49,$J12*$K12*Calculadores!$B$262*Calculadores!$B$260,0)))))))))))))</f>
        <v>0</v>
      </c>
      <c r="AB12" s="469">
        <f t="shared" si="19"/>
        <v>0</v>
      </c>
      <c r="AC12" s="472">
        <f t="shared" si="20"/>
        <v>0</v>
      </c>
      <c r="AD12" s="473">
        <f t="shared" si="21"/>
        <v>0</v>
      </c>
      <c r="AE12" s="474">
        <f t="shared" si="22"/>
        <v>0</v>
      </c>
      <c r="AF12" s="475" t="s">
        <v>17</v>
      </c>
      <c r="AG12" s="476"/>
      <c r="AH12" s="477">
        <f t="shared" si="0"/>
        <v>0</v>
      </c>
      <c r="AI12" s="478"/>
      <c r="AJ12" s="477">
        <f t="shared" si="1"/>
        <v>0</v>
      </c>
      <c r="AK12" s="479">
        <f t="shared" si="2"/>
        <v>0</v>
      </c>
      <c r="AL12" s="480">
        <f t="shared" si="23"/>
        <v>0</v>
      </c>
      <c r="AM12" s="480">
        <f t="shared" si="3"/>
        <v>0</v>
      </c>
      <c r="AN12" s="481" t="str">
        <f t="shared" si="24"/>
        <v>Seleccione</v>
      </c>
      <c r="AO12" s="482">
        <f t="shared" si="25"/>
        <v>0</v>
      </c>
      <c r="AP12" s="482">
        <f t="shared" si="26"/>
        <v>0</v>
      </c>
      <c r="AQ12" s="483">
        <f>+IF($H12=$H$37,$K12*Calculadores!$B$10,IF($H12=$H$38,$J12*$K12*Calculadores!$B$35*365*24,IF($H12=$H$39,$K12*Calculadores!$B$57,IF($H12=$H$40,$K12*Calculadores!$B$77,IF($H12=$H$41,$K12*Calculadores!$B$103*$J12/Calculadores!$B$96,IF($H12=$H$42,$J12/1000*$K12*Calculadores!$B$125*5*52,IF($H12=$H$43,$J12/1000*$K12*Calculadores!$H$125*5*52,IF($H12=$H$44,$J12*$K12*Calculadores!$B$153*Calculadores!$B$152,IF($H12=$H$45,$J12*$K12*Calculadores!$B$180*Calculadores!$B$179,IF($H12=$H$46,$J12*$K12*Calculadores!$B$207*Calculadores!$B$206,IF($H12=$H$47,$J12*$K12*Calculadores!$B$235*Calculadores!$B$234,IF($H12=$H$48,0,IF($H12=$H$49,$J12*$K12*Calculadores!$B$289*Calculadores!$B$288,0)))))))))))))</f>
        <v>0</v>
      </c>
      <c r="AR12" s="482">
        <f t="shared" si="27"/>
        <v>0</v>
      </c>
      <c r="AS12" s="484">
        <f t="shared" si="28"/>
        <v>0</v>
      </c>
      <c r="AT12" s="485">
        <f t="shared" si="29"/>
        <v>0</v>
      </c>
      <c r="AU12" s="485">
        <f t="shared" si="30"/>
        <v>0</v>
      </c>
      <c r="AV12" s="475" t="s">
        <v>17</v>
      </c>
      <c r="AW12" s="486"/>
      <c r="AX12" s="487">
        <f t="shared" si="4"/>
        <v>0</v>
      </c>
      <c r="AY12" s="488"/>
      <c r="AZ12" s="487">
        <f t="shared" si="5"/>
        <v>0</v>
      </c>
      <c r="BA12" s="489">
        <f t="shared" si="6"/>
        <v>0</v>
      </c>
      <c r="BB12" s="490">
        <f t="shared" si="31"/>
        <v>0</v>
      </c>
      <c r="BC12" s="491">
        <f t="shared" si="7"/>
        <v>0</v>
      </c>
      <c r="BD12" s="492" t="s">
        <v>65</v>
      </c>
      <c r="BE12" s="547">
        <f t="shared" si="32"/>
        <v>0</v>
      </c>
      <c r="BF12" s="493">
        <f t="shared" si="33"/>
        <v>0</v>
      </c>
      <c r="BG12" s="550">
        <f t="shared" si="8"/>
        <v>0</v>
      </c>
      <c r="BH12" s="545">
        <f t="shared" si="9"/>
        <v>0</v>
      </c>
      <c r="BI12" s="548">
        <f t="shared" si="10"/>
        <v>0</v>
      </c>
    </row>
    <row r="13" spans="1:62" s="5" customFormat="1" ht="45" customHeight="1" thickBot="1" x14ac:dyDescent="0.3">
      <c r="B13" s="421">
        <f>IF(COUNTA('Datos Instalaciones'!$B$15:$B$34)=1,'Datos Instalaciones'!$B$15,IF('Datos Instalaciones'!$B18="","",'Datos Instalaciones'!$B18))</f>
        <v>0</v>
      </c>
      <c r="C13" s="421">
        <f>IF(COUNTA('Datos Instalaciones'!$C$15:$C$34)=1,'Datos Instalaciones'!$C$15,IF('Datos Instalaciones'!$C18="","",'Datos Instalaciones'!$C18))</f>
        <v>0</v>
      </c>
      <c r="D13" s="507" t="s">
        <v>17</v>
      </c>
      <c r="E13" s="354" t="str">
        <f>IF(D13="Seleccione","",VLOOKUP('MMEE std'!D13,'Datos Instalaciones'!$E$15:$AD$34,26,FALSE))</f>
        <v/>
      </c>
      <c r="F13" s="506">
        <v>4</v>
      </c>
      <c r="G13" s="354" t="s">
        <v>369</v>
      </c>
      <c r="H13" s="507" t="s">
        <v>17</v>
      </c>
      <c r="I13" s="515">
        <f t="shared" si="11"/>
        <v>0</v>
      </c>
      <c r="J13" s="222"/>
      <c r="K13" s="360"/>
      <c r="L13" s="270" t="str">
        <f t="shared" si="12"/>
        <v>Seleccione</v>
      </c>
      <c r="M13" s="270" t="str">
        <f t="shared" si="13"/>
        <v>Seleccione</v>
      </c>
      <c r="N13" s="219"/>
      <c r="O13" s="353" t="str">
        <f t="shared" si="14"/>
        <v/>
      </c>
      <c r="P13" s="508" t="s">
        <v>17</v>
      </c>
      <c r="Q13" s="509" t="s">
        <v>65</v>
      </c>
      <c r="R13" s="510" t="s">
        <v>17</v>
      </c>
      <c r="S13" s="221"/>
      <c r="T13" s="284"/>
      <c r="U13" s="221"/>
      <c r="V13" s="516">
        <f t="shared" si="15"/>
        <v>0</v>
      </c>
      <c r="W13" s="508" t="s">
        <v>17</v>
      </c>
      <c r="X13" s="469" t="str">
        <f t="shared" si="16"/>
        <v>Seleccione</v>
      </c>
      <c r="Y13" s="470">
        <f t="shared" si="17"/>
        <v>0</v>
      </c>
      <c r="Z13" s="471">
        <f t="shared" si="18"/>
        <v>0</v>
      </c>
      <c r="AA13" s="471">
        <f>+IF($H13=$H$37,$K13*Calculadores!$B$9,IF($H13=$H$38,IF('Datos Instalaciones'!D15="Residencial",$J13*$K13*Calculadores!$B$32*365*24,$J13*$K13*Calculadores!$B$32*365*24*0.7),IF($H13=$H$39,$K13*Calculadores!$B$55,IF($H13=$H$40,$K13*Calculadores!$B$76,IF($H13=$H$41,($K13/Calculadores!$B$96)*$J13*Calculadores!$B$100,IF($H13=$H$42,$J13/Calculadores!$B$124/1000*$K13*Calculadores!$B$125*5*52,IF($H13=$H$43,$J13/Calculadores!$H$124/1000*$K13*Calculadores!$H$125*5*52,IF($H13=$H$44,$J13*$K13*Calculadores!$B$151*Calculadores!$B$153,IF($H13=$H$45,$J13*$K13*Calculadores!$B$180*Calculadores!$B$178,IF($H13=$H$46,$J13*$K13*Calculadores!$B$207*Calculadores!$B$205,IF($H13=$H$47,$J13*$K13*Calculadores!$B$235*Calculadores!$B$233,IF($H13=$H$48,$J13*$K13*Calculadores!$B$262*Calculadores!$B$260,IF($H13=$H$49,$J13*$K13*Calculadores!$B$262*Calculadores!$B$260,0)))))))))))))</f>
        <v>0</v>
      </c>
      <c r="AB13" s="469">
        <f t="shared" si="19"/>
        <v>0</v>
      </c>
      <c r="AC13" s="472">
        <f t="shared" si="20"/>
        <v>0</v>
      </c>
      <c r="AD13" s="473">
        <f t="shared" si="21"/>
        <v>0</v>
      </c>
      <c r="AE13" s="474">
        <f t="shared" si="22"/>
        <v>0</v>
      </c>
      <c r="AF13" s="475" t="s">
        <v>17</v>
      </c>
      <c r="AG13" s="476"/>
      <c r="AH13" s="477">
        <f t="shared" si="0"/>
        <v>0</v>
      </c>
      <c r="AI13" s="478"/>
      <c r="AJ13" s="477">
        <f t="shared" si="1"/>
        <v>0</v>
      </c>
      <c r="AK13" s="479">
        <f t="shared" si="2"/>
        <v>0</v>
      </c>
      <c r="AL13" s="480">
        <f t="shared" si="23"/>
        <v>0</v>
      </c>
      <c r="AM13" s="480">
        <f t="shared" si="3"/>
        <v>0</v>
      </c>
      <c r="AN13" s="481" t="str">
        <f t="shared" si="24"/>
        <v>Seleccione</v>
      </c>
      <c r="AO13" s="482">
        <f t="shared" si="25"/>
        <v>0</v>
      </c>
      <c r="AP13" s="482">
        <f t="shared" si="26"/>
        <v>0</v>
      </c>
      <c r="AQ13" s="483">
        <f>+IF($H13=$H$37,$K13*Calculadores!$B$10,IF($H13=$H$38,$J13*$K13*Calculadores!$B$35*365*24,IF($H13=$H$39,$K13*Calculadores!$B$57,IF($H13=$H$40,$K13*Calculadores!$B$77,IF($H13=$H$41,$K13*Calculadores!$B$103*$J13/Calculadores!$B$96,IF($H13=$H$42,$J13/1000*$K13*Calculadores!$B$125*5*52,IF($H13=$H$43,$J13/1000*$K13*Calculadores!$H$125*5*52,IF($H13=$H$44,$J13*$K13*Calculadores!$B$153*Calculadores!$B$152,IF($H13=$H$45,$J13*$K13*Calculadores!$B$180*Calculadores!$B$179,IF($H13=$H$46,$J13*$K13*Calculadores!$B$207*Calculadores!$B$206,IF($H13=$H$47,$J13*$K13*Calculadores!$B$235*Calculadores!$B$234,IF($H13=$H$48,0,IF($H13=$H$49,$J13*$K13*Calculadores!$B$289*Calculadores!$B$288,0)))))))))))))</f>
        <v>0</v>
      </c>
      <c r="AR13" s="482">
        <f t="shared" si="27"/>
        <v>0</v>
      </c>
      <c r="AS13" s="484">
        <f t="shared" si="28"/>
        <v>0</v>
      </c>
      <c r="AT13" s="485">
        <f t="shared" si="29"/>
        <v>0</v>
      </c>
      <c r="AU13" s="485">
        <f t="shared" si="30"/>
        <v>0</v>
      </c>
      <c r="AV13" s="475" t="s">
        <v>17</v>
      </c>
      <c r="AW13" s="486"/>
      <c r="AX13" s="487">
        <f t="shared" si="4"/>
        <v>0</v>
      </c>
      <c r="AY13" s="488"/>
      <c r="AZ13" s="487">
        <f t="shared" si="5"/>
        <v>0</v>
      </c>
      <c r="BA13" s="489">
        <f t="shared" si="6"/>
        <v>0</v>
      </c>
      <c r="BB13" s="490">
        <f t="shared" si="31"/>
        <v>0</v>
      </c>
      <c r="BC13" s="491">
        <f t="shared" si="7"/>
        <v>0</v>
      </c>
      <c r="BD13" s="492" t="s">
        <v>65</v>
      </c>
      <c r="BE13" s="547">
        <f t="shared" si="32"/>
        <v>0</v>
      </c>
      <c r="BF13" s="493">
        <f t="shared" si="33"/>
        <v>0</v>
      </c>
      <c r="BG13" s="550">
        <f t="shared" si="8"/>
        <v>0</v>
      </c>
      <c r="BH13" s="545">
        <f t="shared" si="9"/>
        <v>0</v>
      </c>
      <c r="BI13" s="548">
        <f t="shared" si="10"/>
        <v>0</v>
      </c>
    </row>
    <row r="14" spans="1:62" s="5" customFormat="1" ht="45" customHeight="1" thickBot="1" x14ac:dyDescent="0.3">
      <c r="B14" s="421">
        <f>IF(COUNTA('Datos Instalaciones'!$B$15:$B$34)=1,'Datos Instalaciones'!$B$15,IF('Datos Instalaciones'!$B19="","",'Datos Instalaciones'!$B19))</f>
        <v>0</v>
      </c>
      <c r="C14" s="421">
        <f>IF(COUNTA('Datos Instalaciones'!$C$15:$C$34)=1,'Datos Instalaciones'!$C$15,IF('Datos Instalaciones'!$C19="","",'Datos Instalaciones'!$C19))</f>
        <v>0</v>
      </c>
      <c r="D14" s="507" t="s">
        <v>17</v>
      </c>
      <c r="E14" s="354" t="str">
        <f>IF(D14="Seleccione","",VLOOKUP('MMEE std'!D14,'Datos Instalaciones'!$E$15:$AD$34,26,FALSE))</f>
        <v/>
      </c>
      <c r="F14" s="506">
        <v>5</v>
      </c>
      <c r="G14" s="354" t="s">
        <v>369</v>
      </c>
      <c r="H14" s="507" t="s">
        <v>17</v>
      </c>
      <c r="I14" s="515">
        <f t="shared" si="11"/>
        <v>0</v>
      </c>
      <c r="J14" s="222"/>
      <c r="K14" s="360"/>
      <c r="L14" s="270" t="str">
        <f t="shared" si="12"/>
        <v>Seleccione</v>
      </c>
      <c r="M14" s="270" t="str">
        <f t="shared" si="13"/>
        <v>Seleccione</v>
      </c>
      <c r="N14" s="219"/>
      <c r="O14" s="353" t="str">
        <f t="shared" si="14"/>
        <v/>
      </c>
      <c r="P14" s="508" t="s">
        <v>17</v>
      </c>
      <c r="Q14" s="509" t="s">
        <v>65</v>
      </c>
      <c r="R14" s="510" t="s">
        <v>17</v>
      </c>
      <c r="S14" s="221"/>
      <c r="T14" s="284"/>
      <c r="U14" s="221"/>
      <c r="V14" s="516">
        <f t="shared" si="15"/>
        <v>0</v>
      </c>
      <c r="W14" s="508" t="s">
        <v>17</v>
      </c>
      <c r="X14" s="469" t="str">
        <f t="shared" si="16"/>
        <v>Seleccione</v>
      </c>
      <c r="Y14" s="470">
        <f t="shared" si="17"/>
        <v>0</v>
      </c>
      <c r="Z14" s="471">
        <f t="shared" si="18"/>
        <v>0</v>
      </c>
      <c r="AA14" s="471">
        <f>+IF($H14=$H$37,$K14*Calculadores!$B$9,IF($H14=$H$38,IF('Datos Instalaciones'!D16="Residencial",$J14*$K14*Calculadores!$B$32*365*24,$J14*$K14*Calculadores!$B$32*365*24*0.7),IF($H14=$H$39,$K14*Calculadores!$B$55,IF($H14=$H$40,$K14*Calculadores!$B$76,IF($H14=$H$41,($K14/Calculadores!$B$96)*$J14*Calculadores!$B$100,IF($H14=$H$42,$J14/Calculadores!$B$124/1000*$K14*Calculadores!$B$125*5*52,IF($H14=$H$43,$J14/Calculadores!$H$124/1000*$K14*Calculadores!$H$125*5*52,IF($H14=$H$44,$J14*$K14*Calculadores!$B$151*Calculadores!$B$153,IF($H14=$H$45,$J14*$K14*Calculadores!$B$180*Calculadores!$B$178,IF($H14=$H$46,$J14*$K14*Calculadores!$B$207*Calculadores!$B$205,IF($H14=$H$47,$J14*$K14*Calculadores!$B$235*Calculadores!$B$233,IF($H14=$H$48,$J14*$K14*Calculadores!$B$262*Calculadores!$B$260,IF($H14=$H$49,$J14*$K14*Calculadores!$B$262*Calculadores!$B$260,0)))))))))))))</f>
        <v>0</v>
      </c>
      <c r="AB14" s="469">
        <f t="shared" si="19"/>
        <v>0</v>
      </c>
      <c r="AC14" s="472">
        <f t="shared" si="20"/>
        <v>0</v>
      </c>
      <c r="AD14" s="473">
        <f t="shared" si="21"/>
        <v>0</v>
      </c>
      <c r="AE14" s="474">
        <f t="shared" si="22"/>
        <v>0</v>
      </c>
      <c r="AF14" s="475" t="s">
        <v>17</v>
      </c>
      <c r="AG14" s="476"/>
      <c r="AH14" s="477">
        <f t="shared" si="0"/>
        <v>0</v>
      </c>
      <c r="AI14" s="478"/>
      <c r="AJ14" s="477">
        <f t="shared" si="1"/>
        <v>0</v>
      </c>
      <c r="AK14" s="479">
        <f t="shared" si="2"/>
        <v>0</v>
      </c>
      <c r="AL14" s="480">
        <f t="shared" si="23"/>
        <v>0</v>
      </c>
      <c r="AM14" s="480">
        <f t="shared" si="3"/>
        <v>0</v>
      </c>
      <c r="AN14" s="481" t="str">
        <f t="shared" si="24"/>
        <v>Seleccione</v>
      </c>
      <c r="AO14" s="482">
        <f t="shared" si="25"/>
        <v>0</v>
      </c>
      <c r="AP14" s="482">
        <f t="shared" si="26"/>
        <v>0</v>
      </c>
      <c r="AQ14" s="483">
        <f>+IF($H14=$H$37,$K14*Calculadores!$B$10,IF($H14=$H$38,$J14*$K14*Calculadores!$B$35*365*24,IF($H14=$H$39,$K14*Calculadores!$B$57,IF($H14=$H$40,$K14*Calculadores!$B$77,IF($H14=$H$41,$K14*Calculadores!$B$103*$J14/Calculadores!$B$96,IF($H14=$H$42,$J14/1000*$K14*Calculadores!$B$125*5*52,IF($H14=$H$43,$J14/1000*$K14*Calculadores!$H$125*5*52,IF($H14=$H$44,$J14*$K14*Calculadores!$B$153*Calculadores!$B$152,IF($H14=$H$45,$J14*$K14*Calculadores!$B$180*Calculadores!$B$179,IF($H14=$H$46,$J14*$K14*Calculadores!$B$207*Calculadores!$B$206,IF($H14=$H$47,$J14*$K14*Calculadores!$B$235*Calculadores!$B$234,IF($H14=$H$48,0,IF($H14=$H$49,$J14*$K14*Calculadores!$B$289*Calculadores!$B$288,0)))))))))))))</f>
        <v>0</v>
      </c>
      <c r="AR14" s="482">
        <f t="shared" si="27"/>
        <v>0</v>
      </c>
      <c r="AS14" s="484">
        <f t="shared" si="28"/>
        <v>0</v>
      </c>
      <c r="AT14" s="485">
        <f t="shared" si="29"/>
        <v>0</v>
      </c>
      <c r="AU14" s="485">
        <f t="shared" si="30"/>
        <v>0</v>
      </c>
      <c r="AV14" s="475" t="s">
        <v>17</v>
      </c>
      <c r="AW14" s="486"/>
      <c r="AX14" s="487">
        <f t="shared" si="4"/>
        <v>0</v>
      </c>
      <c r="AY14" s="488"/>
      <c r="AZ14" s="487">
        <f t="shared" si="5"/>
        <v>0</v>
      </c>
      <c r="BA14" s="489">
        <f t="shared" si="6"/>
        <v>0</v>
      </c>
      <c r="BB14" s="490">
        <f t="shared" si="31"/>
        <v>0</v>
      </c>
      <c r="BC14" s="491">
        <f t="shared" si="7"/>
        <v>0</v>
      </c>
      <c r="BD14" s="492" t="s">
        <v>65</v>
      </c>
      <c r="BE14" s="547">
        <f t="shared" si="32"/>
        <v>0</v>
      </c>
      <c r="BF14" s="493">
        <f t="shared" si="33"/>
        <v>0</v>
      </c>
      <c r="BG14" s="550">
        <f t="shared" si="8"/>
        <v>0</v>
      </c>
      <c r="BH14" s="545">
        <f t="shared" si="9"/>
        <v>0</v>
      </c>
      <c r="BI14" s="548">
        <f t="shared" si="10"/>
        <v>0</v>
      </c>
    </row>
    <row r="15" spans="1:62" s="5" customFormat="1" ht="45" customHeight="1" thickBot="1" x14ac:dyDescent="0.3">
      <c r="B15" s="421">
        <f>IF(COUNTA('Datos Instalaciones'!$B$15:$B$34)=1,'Datos Instalaciones'!$B$15,IF('Datos Instalaciones'!$B20="","",'Datos Instalaciones'!$B20))</f>
        <v>0</v>
      </c>
      <c r="C15" s="421">
        <f>IF(COUNTA('Datos Instalaciones'!$C$15:$C$34)=1,'Datos Instalaciones'!$C$15,IF('Datos Instalaciones'!$C20="","",'Datos Instalaciones'!$C20))</f>
        <v>0</v>
      </c>
      <c r="D15" s="507" t="s">
        <v>17</v>
      </c>
      <c r="E15" s="354" t="str">
        <f>IF(D15="Seleccione","",VLOOKUP('MMEE std'!D15,'Datos Instalaciones'!$E$15:$AD$34,26,FALSE))</f>
        <v/>
      </c>
      <c r="F15" s="506">
        <v>6</v>
      </c>
      <c r="G15" s="354" t="s">
        <v>369</v>
      </c>
      <c r="H15" s="507" t="s">
        <v>17</v>
      </c>
      <c r="I15" s="515">
        <f t="shared" si="11"/>
        <v>0</v>
      </c>
      <c r="J15" s="222"/>
      <c r="K15" s="360"/>
      <c r="L15" s="270" t="str">
        <f t="shared" si="12"/>
        <v>Seleccione</v>
      </c>
      <c r="M15" s="270" t="str">
        <f t="shared" si="13"/>
        <v>Seleccione</v>
      </c>
      <c r="N15" s="219"/>
      <c r="O15" s="353" t="str">
        <f t="shared" si="14"/>
        <v/>
      </c>
      <c r="P15" s="508" t="s">
        <v>17</v>
      </c>
      <c r="Q15" s="509" t="s">
        <v>65</v>
      </c>
      <c r="R15" s="510" t="s">
        <v>17</v>
      </c>
      <c r="S15" s="221"/>
      <c r="T15" s="284"/>
      <c r="U15" s="221"/>
      <c r="V15" s="516">
        <f t="shared" si="15"/>
        <v>0</v>
      </c>
      <c r="W15" s="508" t="s">
        <v>17</v>
      </c>
      <c r="X15" s="469" t="str">
        <f t="shared" si="16"/>
        <v>Seleccione</v>
      </c>
      <c r="Y15" s="470">
        <f t="shared" si="17"/>
        <v>0</v>
      </c>
      <c r="Z15" s="471">
        <f t="shared" si="18"/>
        <v>0</v>
      </c>
      <c r="AA15" s="471">
        <f>+IF($H15=$H$37,$K15*Calculadores!$B$9,IF($H15=$H$38,IF('Datos Instalaciones'!D17="Residencial",$J15*$K15*Calculadores!$B$32*365*24,$J15*$K15*Calculadores!$B$32*365*24*0.7),IF($H15=$H$39,$K15*Calculadores!$B$55,IF($H15=$H$40,$K15*Calculadores!$B$76,IF($H15=$H$41,($K15/Calculadores!$B$96)*$J15*Calculadores!$B$100,IF($H15=$H$42,$J15/Calculadores!$B$124/1000*$K15*Calculadores!$B$125*5*52,IF($H15=$H$43,$J15/Calculadores!$H$124/1000*$K15*Calculadores!$H$125*5*52,IF($H15=$H$44,$J15*$K15*Calculadores!$B$151*Calculadores!$B$153,IF($H15=$H$45,$J15*$K15*Calculadores!$B$180*Calculadores!$B$178,IF($H15=$H$46,$J15*$K15*Calculadores!$B$207*Calculadores!$B$205,IF($H15=$H$47,$J15*$K15*Calculadores!$B$235*Calculadores!$B$233,IF($H15=$H$48,$J15*$K15*Calculadores!$B$262*Calculadores!$B$260,IF($H15=$H$49,$J15*$K15*Calculadores!$B$262*Calculadores!$B$260,0)))))))))))))</f>
        <v>0</v>
      </c>
      <c r="AB15" s="469">
        <f t="shared" si="19"/>
        <v>0</v>
      </c>
      <c r="AC15" s="472">
        <f t="shared" si="20"/>
        <v>0</v>
      </c>
      <c r="AD15" s="473">
        <f t="shared" si="21"/>
        <v>0</v>
      </c>
      <c r="AE15" s="474">
        <f t="shared" si="22"/>
        <v>0</v>
      </c>
      <c r="AF15" s="475" t="s">
        <v>17</v>
      </c>
      <c r="AG15" s="476"/>
      <c r="AH15" s="477">
        <f t="shared" si="0"/>
        <v>0</v>
      </c>
      <c r="AI15" s="478"/>
      <c r="AJ15" s="477">
        <f t="shared" si="1"/>
        <v>0</v>
      </c>
      <c r="AK15" s="479">
        <f t="shared" si="2"/>
        <v>0</v>
      </c>
      <c r="AL15" s="480">
        <f t="shared" si="23"/>
        <v>0</v>
      </c>
      <c r="AM15" s="480">
        <f t="shared" si="3"/>
        <v>0</v>
      </c>
      <c r="AN15" s="481" t="str">
        <f t="shared" si="24"/>
        <v>Seleccione</v>
      </c>
      <c r="AO15" s="482">
        <f t="shared" si="25"/>
        <v>0</v>
      </c>
      <c r="AP15" s="482">
        <f t="shared" si="26"/>
        <v>0</v>
      </c>
      <c r="AQ15" s="483">
        <f>+IF($H15=$H$37,$K15*Calculadores!$B$10,IF($H15=$H$38,$J15*$K15*Calculadores!$B$35*365*24,IF($H15=$H$39,$K15*Calculadores!$B$57,IF($H15=$H$40,$K15*Calculadores!$B$77,IF($H15=$H$41,$K15*Calculadores!$B$103*$J15/Calculadores!$B$96,IF($H15=$H$42,$J15/1000*$K15*Calculadores!$B$125*5*52,IF($H15=$H$43,$J15/1000*$K15*Calculadores!$H$125*5*52,IF($H15=$H$44,$J15*$K15*Calculadores!$B$153*Calculadores!$B$152,IF($H15=$H$45,$J15*$K15*Calculadores!$B$180*Calculadores!$B$179,IF($H15=$H$46,$J15*$K15*Calculadores!$B$207*Calculadores!$B$206,IF($H15=$H$47,$J15*$K15*Calculadores!$B$235*Calculadores!$B$234,IF($H15=$H$48,0,IF($H15=$H$49,$J15*$K15*Calculadores!$B$289*Calculadores!$B$288,0)))))))))))))</f>
        <v>0</v>
      </c>
      <c r="AR15" s="482">
        <f t="shared" si="27"/>
        <v>0</v>
      </c>
      <c r="AS15" s="484">
        <f t="shared" si="28"/>
        <v>0</v>
      </c>
      <c r="AT15" s="485">
        <f t="shared" si="29"/>
        <v>0</v>
      </c>
      <c r="AU15" s="485">
        <f t="shared" si="30"/>
        <v>0</v>
      </c>
      <c r="AV15" s="475" t="s">
        <v>17</v>
      </c>
      <c r="AW15" s="486"/>
      <c r="AX15" s="487">
        <f t="shared" si="4"/>
        <v>0</v>
      </c>
      <c r="AY15" s="488"/>
      <c r="AZ15" s="487">
        <f t="shared" si="5"/>
        <v>0</v>
      </c>
      <c r="BA15" s="489">
        <f t="shared" si="6"/>
        <v>0</v>
      </c>
      <c r="BB15" s="490">
        <f t="shared" si="31"/>
        <v>0</v>
      </c>
      <c r="BC15" s="491">
        <f t="shared" si="7"/>
        <v>0</v>
      </c>
      <c r="BD15" s="492" t="s">
        <v>65</v>
      </c>
      <c r="BE15" s="547">
        <f t="shared" si="32"/>
        <v>0</v>
      </c>
      <c r="BF15" s="493">
        <f t="shared" si="33"/>
        <v>0</v>
      </c>
      <c r="BG15" s="550">
        <f t="shared" si="8"/>
        <v>0</v>
      </c>
      <c r="BH15" s="545">
        <f t="shared" si="9"/>
        <v>0</v>
      </c>
      <c r="BI15" s="548">
        <f t="shared" si="10"/>
        <v>0</v>
      </c>
    </row>
    <row r="16" spans="1:62" s="5" customFormat="1" ht="45" customHeight="1" thickBot="1" x14ac:dyDescent="0.3">
      <c r="B16" s="421">
        <f>IF(COUNTA('Datos Instalaciones'!$B$15:$B$34)=1,'Datos Instalaciones'!$B$15,IF('Datos Instalaciones'!$B21="","",'Datos Instalaciones'!$B21))</f>
        <v>0</v>
      </c>
      <c r="C16" s="421">
        <f>IF(COUNTA('Datos Instalaciones'!$C$15:$C$34)=1,'Datos Instalaciones'!$C$15,IF('Datos Instalaciones'!$C21="","",'Datos Instalaciones'!$C21))</f>
        <v>0</v>
      </c>
      <c r="D16" s="507" t="s">
        <v>17</v>
      </c>
      <c r="E16" s="354" t="str">
        <f>IF(D16="Seleccione","",VLOOKUP('MMEE std'!D16,'Datos Instalaciones'!$E$15:$AD$34,26,FALSE))</f>
        <v/>
      </c>
      <c r="F16" s="506">
        <v>7</v>
      </c>
      <c r="G16" s="354" t="s">
        <v>369</v>
      </c>
      <c r="H16" s="507" t="s">
        <v>17</v>
      </c>
      <c r="I16" s="515">
        <f t="shared" si="11"/>
        <v>0</v>
      </c>
      <c r="J16" s="222"/>
      <c r="K16" s="360"/>
      <c r="L16" s="270" t="str">
        <f t="shared" si="12"/>
        <v>Seleccione</v>
      </c>
      <c r="M16" s="270" t="str">
        <f t="shared" si="13"/>
        <v>Seleccione</v>
      </c>
      <c r="N16" s="219"/>
      <c r="O16" s="353" t="str">
        <f t="shared" si="14"/>
        <v/>
      </c>
      <c r="P16" s="508" t="s">
        <v>17</v>
      </c>
      <c r="Q16" s="509" t="s">
        <v>65</v>
      </c>
      <c r="R16" s="510" t="s">
        <v>17</v>
      </c>
      <c r="S16" s="221"/>
      <c r="T16" s="284"/>
      <c r="U16" s="221"/>
      <c r="V16" s="516">
        <f t="shared" si="15"/>
        <v>0</v>
      </c>
      <c r="W16" s="508" t="s">
        <v>17</v>
      </c>
      <c r="X16" s="469" t="str">
        <f t="shared" si="16"/>
        <v>Seleccione</v>
      </c>
      <c r="Y16" s="470">
        <f t="shared" si="17"/>
        <v>0</v>
      </c>
      <c r="Z16" s="471">
        <f t="shared" si="18"/>
        <v>0</v>
      </c>
      <c r="AA16" s="471">
        <f>+IF($H16=$H$37,$K16*Calculadores!$B$9,IF($H16=$H$38,IF('Datos Instalaciones'!D18="Residencial",$J16*$K16*Calculadores!$B$32*365*24,$J16*$K16*Calculadores!$B$32*365*24*0.7),IF($H16=$H$39,$K16*Calculadores!$B$55,IF($H16=$H$40,$K16*Calculadores!$B$76,IF($H16=$H$41,($K16/Calculadores!$B$96)*$J16*Calculadores!$B$100,IF($H16=$H$42,$J16/Calculadores!$B$124/1000*$K16*Calculadores!$B$125*5*52,IF($H16=$H$43,$J16/Calculadores!$H$124/1000*$K16*Calculadores!$H$125*5*52,IF($H16=$H$44,$J16*$K16*Calculadores!$B$151*Calculadores!$B$153,IF($H16=$H$45,$J16*$K16*Calculadores!$B$180*Calculadores!$B$178,IF($H16=$H$46,$J16*$K16*Calculadores!$B$207*Calculadores!$B$205,IF($H16=$H$47,$J16*$K16*Calculadores!$B$235*Calculadores!$B$233,IF($H16=$H$48,$J16*$K16*Calculadores!$B$262*Calculadores!$B$260,IF($H16=$H$49,$J16*$K16*Calculadores!$B$262*Calculadores!$B$260,0)))))))))))))</f>
        <v>0</v>
      </c>
      <c r="AB16" s="469">
        <f t="shared" si="19"/>
        <v>0</v>
      </c>
      <c r="AC16" s="472">
        <f t="shared" si="20"/>
        <v>0</v>
      </c>
      <c r="AD16" s="473">
        <f t="shared" si="21"/>
        <v>0</v>
      </c>
      <c r="AE16" s="474">
        <f t="shared" si="22"/>
        <v>0</v>
      </c>
      <c r="AF16" s="475" t="s">
        <v>17</v>
      </c>
      <c r="AG16" s="476"/>
      <c r="AH16" s="477">
        <f t="shared" si="0"/>
        <v>0</v>
      </c>
      <c r="AI16" s="478"/>
      <c r="AJ16" s="477">
        <f t="shared" si="1"/>
        <v>0</v>
      </c>
      <c r="AK16" s="479">
        <f t="shared" si="2"/>
        <v>0</v>
      </c>
      <c r="AL16" s="480">
        <f t="shared" si="23"/>
        <v>0</v>
      </c>
      <c r="AM16" s="480">
        <f t="shared" si="3"/>
        <v>0</v>
      </c>
      <c r="AN16" s="481" t="str">
        <f t="shared" si="24"/>
        <v>Seleccione</v>
      </c>
      <c r="AO16" s="482">
        <f t="shared" si="25"/>
        <v>0</v>
      </c>
      <c r="AP16" s="482">
        <f t="shared" si="26"/>
        <v>0</v>
      </c>
      <c r="AQ16" s="483">
        <f>+IF($H16=$H$37,$K16*Calculadores!$B$10,IF($H16=$H$38,$J16*$K16*Calculadores!$B$35*365*24,IF($H16=$H$39,$K16*Calculadores!$B$57,IF($H16=$H$40,$K16*Calculadores!$B$77,IF($H16=$H$41,$K16*Calculadores!$B$103*$J16/Calculadores!$B$96,IF($H16=$H$42,$J16/1000*$K16*Calculadores!$B$125*5*52,IF($H16=$H$43,$J16/1000*$K16*Calculadores!$H$125*5*52,IF($H16=$H$44,$J16*$K16*Calculadores!$B$153*Calculadores!$B$152,IF($H16=$H$45,$J16*$K16*Calculadores!$B$180*Calculadores!$B$179,IF($H16=$H$46,$J16*$K16*Calculadores!$B$207*Calculadores!$B$206,IF($H16=$H$47,$J16*$K16*Calculadores!$B$235*Calculadores!$B$234,IF($H16=$H$48,0,IF($H16=$H$49,$J16*$K16*Calculadores!$B$289*Calculadores!$B$288,0)))))))))))))</f>
        <v>0</v>
      </c>
      <c r="AR16" s="482">
        <f t="shared" si="27"/>
        <v>0</v>
      </c>
      <c r="AS16" s="484">
        <f t="shared" si="28"/>
        <v>0</v>
      </c>
      <c r="AT16" s="485">
        <f t="shared" si="29"/>
        <v>0</v>
      </c>
      <c r="AU16" s="485">
        <f t="shared" si="30"/>
        <v>0</v>
      </c>
      <c r="AV16" s="475" t="s">
        <v>17</v>
      </c>
      <c r="AW16" s="486"/>
      <c r="AX16" s="487">
        <f t="shared" si="4"/>
        <v>0</v>
      </c>
      <c r="AY16" s="488"/>
      <c r="AZ16" s="487">
        <f t="shared" si="5"/>
        <v>0</v>
      </c>
      <c r="BA16" s="489">
        <f t="shared" si="6"/>
        <v>0</v>
      </c>
      <c r="BB16" s="490">
        <f t="shared" si="31"/>
        <v>0</v>
      </c>
      <c r="BC16" s="491">
        <f t="shared" si="7"/>
        <v>0</v>
      </c>
      <c r="BD16" s="492" t="s">
        <v>65</v>
      </c>
      <c r="BE16" s="547">
        <f t="shared" si="32"/>
        <v>0</v>
      </c>
      <c r="BF16" s="493">
        <f t="shared" si="33"/>
        <v>0</v>
      </c>
      <c r="BG16" s="550">
        <f t="shared" si="8"/>
        <v>0</v>
      </c>
      <c r="BH16" s="545">
        <f t="shared" si="9"/>
        <v>0</v>
      </c>
      <c r="BI16" s="548">
        <f t="shared" si="10"/>
        <v>0</v>
      </c>
    </row>
    <row r="17" spans="2:61" s="5" customFormat="1" ht="45" customHeight="1" thickBot="1" x14ac:dyDescent="0.3">
      <c r="B17" s="421">
        <f>IF(COUNTA('Datos Instalaciones'!$B$15:$B$34)=1,'Datos Instalaciones'!$B$15,IF('Datos Instalaciones'!$B22="","",'Datos Instalaciones'!$B22))</f>
        <v>0</v>
      </c>
      <c r="C17" s="421">
        <f>IF(COUNTA('Datos Instalaciones'!$C$15:$C$34)=1,'Datos Instalaciones'!$C$15,IF('Datos Instalaciones'!$C22="","",'Datos Instalaciones'!$C22))</f>
        <v>0</v>
      </c>
      <c r="D17" s="507" t="s">
        <v>17</v>
      </c>
      <c r="E17" s="354" t="str">
        <f>IF(D17="Seleccione","",VLOOKUP('MMEE std'!D17,'Datos Instalaciones'!$E$15:$AD$34,26,FALSE))</f>
        <v/>
      </c>
      <c r="F17" s="506">
        <v>8</v>
      </c>
      <c r="G17" s="354" t="s">
        <v>369</v>
      </c>
      <c r="H17" s="507" t="s">
        <v>17</v>
      </c>
      <c r="I17" s="515">
        <f t="shared" si="11"/>
        <v>0</v>
      </c>
      <c r="J17" s="222"/>
      <c r="K17" s="361"/>
      <c r="L17" s="270" t="str">
        <f t="shared" si="12"/>
        <v>Seleccione</v>
      </c>
      <c r="M17" s="270" t="str">
        <f t="shared" si="13"/>
        <v>Seleccione</v>
      </c>
      <c r="N17" s="219"/>
      <c r="O17" s="353" t="str">
        <f t="shared" si="14"/>
        <v/>
      </c>
      <c r="P17" s="508" t="s">
        <v>17</v>
      </c>
      <c r="Q17" s="509" t="s">
        <v>65</v>
      </c>
      <c r="R17" s="510" t="s">
        <v>17</v>
      </c>
      <c r="S17" s="221"/>
      <c r="T17" s="284"/>
      <c r="U17" s="221"/>
      <c r="V17" s="516">
        <f t="shared" si="15"/>
        <v>0</v>
      </c>
      <c r="W17" s="508" t="s">
        <v>17</v>
      </c>
      <c r="X17" s="469" t="str">
        <f t="shared" si="16"/>
        <v>Seleccione</v>
      </c>
      <c r="Y17" s="470">
        <f t="shared" si="17"/>
        <v>0</v>
      </c>
      <c r="Z17" s="471">
        <f t="shared" si="18"/>
        <v>0</v>
      </c>
      <c r="AA17" s="471">
        <f>+IF($H17=$H$37,$K17*Calculadores!$B$9,IF($H17=$H$38,IF('Datos Instalaciones'!D19="Residencial",$J17*$K17*Calculadores!$B$32*365*24,$J17*$K17*Calculadores!$B$32*365*24*0.7),IF($H17=$H$39,$K17*Calculadores!$B$55,IF($H17=$H$40,$K17*Calculadores!$B$76,IF($H17=$H$41,($K17/Calculadores!$B$96)*$J17*Calculadores!$B$100,IF($H17=$H$42,$J17/Calculadores!$B$124/1000*$K17*Calculadores!$B$125*5*52,IF($H17=$H$43,$J17/Calculadores!$H$124/1000*$K17*Calculadores!$H$125*5*52,IF($H17=$H$44,$J17*$K17*Calculadores!$B$151*Calculadores!$B$153,IF($H17=$H$45,$J17*$K17*Calculadores!$B$180*Calculadores!$B$178,IF($H17=$H$46,$J17*$K17*Calculadores!$B$207*Calculadores!$B$205,IF($H17=$H$47,$J17*$K17*Calculadores!$B$235*Calculadores!$B$233,IF($H17=$H$48,$J17*$K17*Calculadores!$B$262*Calculadores!$B$260,IF($H17=$H$49,$J17*$K17*Calculadores!$B$262*Calculadores!$B$260,0)))))))))))))</f>
        <v>0</v>
      </c>
      <c r="AB17" s="469">
        <f t="shared" si="19"/>
        <v>0</v>
      </c>
      <c r="AC17" s="472">
        <f t="shared" si="20"/>
        <v>0</v>
      </c>
      <c r="AD17" s="473">
        <f t="shared" si="21"/>
        <v>0</v>
      </c>
      <c r="AE17" s="474">
        <f t="shared" si="22"/>
        <v>0</v>
      </c>
      <c r="AF17" s="475" t="s">
        <v>17</v>
      </c>
      <c r="AG17" s="476"/>
      <c r="AH17" s="477">
        <f t="shared" si="0"/>
        <v>0</v>
      </c>
      <c r="AI17" s="478"/>
      <c r="AJ17" s="477">
        <f t="shared" si="1"/>
        <v>0</v>
      </c>
      <c r="AK17" s="479">
        <f t="shared" si="2"/>
        <v>0</v>
      </c>
      <c r="AL17" s="480">
        <f t="shared" si="23"/>
        <v>0</v>
      </c>
      <c r="AM17" s="480">
        <f t="shared" si="3"/>
        <v>0</v>
      </c>
      <c r="AN17" s="481" t="str">
        <f t="shared" si="24"/>
        <v>Seleccione</v>
      </c>
      <c r="AO17" s="482">
        <f t="shared" si="25"/>
        <v>0</v>
      </c>
      <c r="AP17" s="482">
        <f t="shared" si="26"/>
        <v>0</v>
      </c>
      <c r="AQ17" s="483">
        <f>+IF($H17=$H$37,$K17*Calculadores!$B$10,IF($H17=$H$38,$J17*$K17*Calculadores!$B$35*365*24,IF($H17=$H$39,$K17*Calculadores!$B$57,IF($H17=$H$40,$K17*Calculadores!$B$77,IF($H17=$H$41,$K17*Calculadores!$B$103*$J17/Calculadores!$B$96,IF($H17=$H$42,$J17/1000*$K17*Calculadores!$B$125*5*52,IF($H17=$H$43,$J17/1000*$K17*Calculadores!$H$125*5*52,IF($H17=$H$44,$J17*$K17*Calculadores!$B$153*Calculadores!$B$152,IF($H17=$H$45,$J17*$K17*Calculadores!$B$180*Calculadores!$B$179,IF($H17=$H$46,$J17*$K17*Calculadores!$B$207*Calculadores!$B$206,IF($H17=$H$47,$J17*$K17*Calculadores!$B$235*Calculadores!$B$234,IF($H17=$H$48,0,IF($H17=$H$49,$J17*$K17*Calculadores!$B$289*Calculadores!$B$288,0)))))))))))))</f>
        <v>0</v>
      </c>
      <c r="AR17" s="482">
        <f t="shared" si="27"/>
        <v>0</v>
      </c>
      <c r="AS17" s="484">
        <f t="shared" si="28"/>
        <v>0</v>
      </c>
      <c r="AT17" s="485">
        <f t="shared" si="29"/>
        <v>0</v>
      </c>
      <c r="AU17" s="485">
        <f t="shared" si="30"/>
        <v>0</v>
      </c>
      <c r="AV17" s="475" t="s">
        <v>17</v>
      </c>
      <c r="AW17" s="486"/>
      <c r="AX17" s="487">
        <f t="shared" si="4"/>
        <v>0</v>
      </c>
      <c r="AY17" s="488"/>
      <c r="AZ17" s="487">
        <f t="shared" si="5"/>
        <v>0</v>
      </c>
      <c r="BA17" s="489">
        <f t="shared" si="6"/>
        <v>0</v>
      </c>
      <c r="BB17" s="490">
        <f t="shared" si="31"/>
        <v>0</v>
      </c>
      <c r="BC17" s="491">
        <f t="shared" si="7"/>
        <v>0</v>
      </c>
      <c r="BD17" s="492" t="s">
        <v>65</v>
      </c>
      <c r="BE17" s="547">
        <f t="shared" si="32"/>
        <v>0</v>
      </c>
      <c r="BF17" s="493">
        <f t="shared" si="33"/>
        <v>0</v>
      </c>
      <c r="BG17" s="550">
        <f t="shared" si="8"/>
        <v>0</v>
      </c>
      <c r="BH17" s="545">
        <f t="shared" si="9"/>
        <v>0</v>
      </c>
      <c r="BI17" s="548">
        <f t="shared" si="10"/>
        <v>0</v>
      </c>
    </row>
    <row r="18" spans="2:61" s="5" customFormat="1" ht="45" customHeight="1" thickBot="1" x14ac:dyDescent="0.3">
      <c r="B18" s="421">
        <f>IF(COUNTA('Datos Instalaciones'!$B$15:$B$34)=1,'Datos Instalaciones'!$B$15,IF('Datos Instalaciones'!$B23="","",'Datos Instalaciones'!$B23))</f>
        <v>0</v>
      </c>
      <c r="C18" s="421">
        <f>IF(COUNTA('Datos Instalaciones'!$C$15:$C$34)=1,'Datos Instalaciones'!$C$15,IF('Datos Instalaciones'!$C23="","",'Datos Instalaciones'!$C23))</f>
        <v>0</v>
      </c>
      <c r="D18" s="507" t="s">
        <v>17</v>
      </c>
      <c r="E18" s="354" t="str">
        <f>IF(D18="Seleccione","",VLOOKUP('MMEE std'!D18,'Datos Instalaciones'!$E$15:$AD$34,26,FALSE))</f>
        <v/>
      </c>
      <c r="F18" s="506">
        <v>9</v>
      </c>
      <c r="G18" s="354" t="s">
        <v>369</v>
      </c>
      <c r="H18" s="507" t="s">
        <v>17</v>
      </c>
      <c r="I18" s="515">
        <f t="shared" si="11"/>
        <v>0</v>
      </c>
      <c r="J18" s="362"/>
      <c r="K18" s="361"/>
      <c r="L18" s="270" t="str">
        <f t="shared" si="12"/>
        <v>Seleccione</v>
      </c>
      <c r="M18" s="270" t="str">
        <f t="shared" si="13"/>
        <v>Seleccione</v>
      </c>
      <c r="N18" s="219"/>
      <c r="O18" s="353" t="str">
        <f t="shared" si="14"/>
        <v/>
      </c>
      <c r="P18" s="508" t="s">
        <v>17</v>
      </c>
      <c r="Q18" s="509" t="s">
        <v>65</v>
      </c>
      <c r="R18" s="510" t="s">
        <v>17</v>
      </c>
      <c r="S18" s="221"/>
      <c r="T18" s="284"/>
      <c r="U18" s="221"/>
      <c r="V18" s="516">
        <f t="shared" si="15"/>
        <v>0</v>
      </c>
      <c r="W18" s="508" t="s">
        <v>17</v>
      </c>
      <c r="X18" s="469" t="str">
        <f t="shared" si="16"/>
        <v>Seleccione</v>
      </c>
      <c r="Y18" s="470">
        <f t="shared" si="17"/>
        <v>0</v>
      </c>
      <c r="Z18" s="471">
        <f t="shared" si="18"/>
        <v>0</v>
      </c>
      <c r="AA18" s="471">
        <f>+IF($H18=$H$37,$K18*Calculadores!$B$9,IF($H18=$H$38,IF('Datos Instalaciones'!D20="Residencial",$J18*$K18*Calculadores!$B$32*365*24,$J18*$K18*Calculadores!$B$32*365*24*0.7),IF($H18=$H$39,$K18*Calculadores!$B$55,IF($H18=$H$40,$K18*Calculadores!$B$76,IF($H18=$H$41,($K18/Calculadores!$B$96)*$J18*Calculadores!$B$100,IF($H18=$H$42,$J18/Calculadores!$B$124/1000*$K18*Calculadores!$B$125*5*52,IF($H18=$H$43,$J18/Calculadores!$H$124/1000*$K18*Calculadores!$H$125*5*52,IF($H18=$H$44,$J18*$K18*Calculadores!$B$151*Calculadores!$B$153,IF($H18=$H$45,$J18*$K18*Calculadores!$B$180*Calculadores!$B$178,IF($H18=$H$46,$J18*$K18*Calculadores!$B$207*Calculadores!$B$205,IF($H18=$H$47,$J18*$K18*Calculadores!$B$235*Calculadores!$B$233,IF($H18=$H$48,$J18*$K18*Calculadores!$B$262*Calculadores!$B$260,IF($H18=$H$49,$J18*$K18*Calculadores!$B$262*Calculadores!$B$260,0)))))))))))))</f>
        <v>0</v>
      </c>
      <c r="AB18" s="469">
        <f t="shared" si="19"/>
        <v>0</v>
      </c>
      <c r="AC18" s="472">
        <f t="shared" si="20"/>
        <v>0</v>
      </c>
      <c r="AD18" s="473">
        <f t="shared" si="21"/>
        <v>0</v>
      </c>
      <c r="AE18" s="474">
        <f t="shared" si="22"/>
        <v>0</v>
      </c>
      <c r="AF18" s="475" t="s">
        <v>17</v>
      </c>
      <c r="AG18" s="476"/>
      <c r="AH18" s="477">
        <f t="shared" si="0"/>
        <v>0</v>
      </c>
      <c r="AI18" s="478"/>
      <c r="AJ18" s="477">
        <f t="shared" si="1"/>
        <v>0</v>
      </c>
      <c r="AK18" s="479">
        <f t="shared" si="2"/>
        <v>0</v>
      </c>
      <c r="AL18" s="480">
        <f t="shared" si="23"/>
        <v>0</v>
      </c>
      <c r="AM18" s="480">
        <f t="shared" si="3"/>
        <v>0</v>
      </c>
      <c r="AN18" s="481" t="str">
        <f t="shared" si="24"/>
        <v>Seleccione</v>
      </c>
      <c r="AO18" s="482">
        <f t="shared" si="25"/>
        <v>0</v>
      </c>
      <c r="AP18" s="482">
        <f t="shared" si="26"/>
        <v>0</v>
      </c>
      <c r="AQ18" s="483">
        <f>+IF($H18=$H$37,$K18*Calculadores!$B$10,IF($H18=$H$38,$J18*$K18*Calculadores!$B$35*365*24,IF($H18=$H$39,$K18*Calculadores!$B$57,IF($H18=$H$40,$K18*Calculadores!$B$77,IF($H18=$H$41,$K18*Calculadores!$B$103*$J18/Calculadores!$B$96,IF($H18=$H$42,$J18/1000*$K18*Calculadores!$B$125*5*52,IF($H18=$H$43,$J18/1000*$K18*Calculadores!$H$125*5*52,IF($H18=$H$44,$J18*$K18*Calculadores!$B$153*Calculadores!$B$152,IF($H18=$H$45,$J18*$K18*Calculadores!$B$180*Calculadores!$B$179,IF($H18=$H$46,$J18*$K18*Calculadores!$B$207*Calculadores!$B$206,IF($H18=$H$47,$J18*$K18*Calculadores!$B$235*Calculadores!$B$234,IF($H18=$H$48,0,IF($H18=$H$49,$J18*$K18*Calculadores!$B$289*Calculadores!$B$288,0)))))))))))))</f>
        <v>0</v>
      </c>
      <c r="AR18" s="482">
        <f t="shared" si="27"/>
        <v>0</v>
      </c>
      <c r="AS18" s="484">
        <f t="shared" si="28"/>
        <v>0</v>
      </c>
      <c r="AT18" s="485">
        <f t="shared" si="29"/>
        <v>0</v>
      </c>
      <c r="AU18" s="485">
        <f t="shared" si="30"/>
        <v>0</v>
      </c>
      <c r="AV18" s="475" t="s">
        <v>17</v>
      </c>
      <c r="AW18" s="486"/>
      <c r="AX18" s="487">
        <f t="shared" si="4"/>
        <v>0</v>
      </c>
      <c r="AY18" s="488"/>
      <c r="AZ18" s="487">
        <f t="shared" si="5"/>
        <v>0</v>
      </c>
      <c r="BA18" s="489">
        <f t="shared" si="6"/>
        <v>0</v>
      </c>
      <c r="BB18" s="490">
        <f t="shared" si="31"/>
        <v>0</v>
      </c>
      <c r="BC18" s="491">
        <f t="shared" si="7"/>
        <v>0</v>
      </c>
      <c r="BD18" s="492" t="s">
        <v>65</v>
      </c>
      <c r="BE18" s="547">
        <f t="shared" si="32"/>
        <v>0</v>
      </c>
      <c r="BF18" s="493">
        <f t="shared" si="33"/>
        <v>0</v>
      </c>
      <c r="BG18" s="550">
        <f t="shared" si="8"/>
        <v>0</v>
      </c>
      <c r="BH18" s="545">
        <f t="shared" si="9"/>
        <v>0</v>
      </c>
      <c r="BI18" s="548">
        <f t="shared" si="10"/>
        <v>0</v>
      </c>
    </row>
    <row r="19" spans="2:61" s="5" customFormat="1" ht="45" customHeight="1" thickBot="1" x14ac:dyDescent="0.3">
      <c r="B19" s="421">
        <f>IF(COUNTA('Datos Instalaciones'!$B$15:$B$34)=1,'Datos Instalaciones'!$B$15,IF('Datos Instalaciones'!$B24="","",'Datos Instalaciones'!$B24))</f>
        <v>0</v>
      </c>
      <c r="C19" s="421">
        <f>IF(COUNTA('Datos Instalaciones'!$C$15:$C$34)=1,'Datos Instalaciones'!$C$15,IF('Datos Instalaciones'!$C24="","",'Datos Instalaciones'!$C24))</f>
        <v>0</v>
      </c>
      <c r="D19" s="507" t="s">
        <v>17</v>
      </c>
      <c r="E19" s="354" t="str">
        <f>IF(D19="Seleccione","",VLOOKUP('MMEE std'!D19,'Datos Instalaciones'!$E$15:$AD$34,26,FALSE))</f>
        <v/>
      </c>
      <c r="F19" s="506">
        <v>10</v>
      </c>
      <c r="G19" s="354" t="s">
        <v>369</v>
      </c>
      <c r="H19" s="507" t="s">
        <v>17</v>
      </c>
      <c r="I19" s="515">
        <f t="shared" si="11"/>
        <v>0</v>
      </c>
      <c r="J19" s="222"/>
      <c r="K19" s="361"/>
      <c r="L19" s="270" t="str">
        <f t="shared" si="12"/>
        <v>Seleccione</v>
      </c>
      <c r="M19" s="270" t="str">
        <f t="shared" si="13"/>
        <v>Seleccione</v>
      </c>
      <c r="N19" s="219"/>
      <c r="O19" s="353" t="str">
        <f t="shared" si="14"/>
        <v/>
      </c>
      <c r="P19" s="508" t="s">
        <v>17</v>
      </c>
      <c r="Q19" s="509" t="s">
        <v>65</v>
      </c>
      <c r="R19" s="510" t="s">
        <v>17</v>
      </c>
      <c r="S19" s="221"/>
      <c r="T19" s="284"/>
      <c r="U19" s="221"/>
      <c r="V19" s="516">
        <f t="shared" si="15"/>
        <v>0</v>
      </c>
      <c r="W19" s="508" t="s">
        <v>17</v>
      </c>
      <c r="X19" s="469" t="str">
        <f t="shared" si="16"/>
        <v>Seleccione</v>
      </c>
      <c r="Y19" s="470">
        <f t="shared" si="17"/>
        <v>0</v>
      </c>
      <c r="Z19" s="471">
        <f t="shared" si="18"/>
        <v>0</v>
      </c>
      <c r="AA19" s="471">
        <f>+IF($H19=$H$37,$K19*Calculadores!$B$9,IF($H19=$H$38,IF('Datos Instalaciones'!D21="Residencial",$J19*$K19*Calculadores!$B$32*365*24,$J19*$K19*Calculadores!$B$32*365*24*0.7),IF($H19=$H$39,$K19*Calculadores!$B$55,IF($H19=$H$40,$K19*Calculadores!$B$76,IF($H19=$H$41,($K19/Calculadores!$B$96)*$J19*Calculadores!$B$100,IF($H19=$H$42,$J19/Calculadores!$B$124/1000*$K19*Calculadores!$B$125*5*52,IF($H19=$H$43,$J19/Calculadores!$H$124/1000*$K19*Calculadores!$H$125*5*52,IF($H19=$H$44,$J19*$K19*Calculadores!$B$151*Calculadores!$B$153,IF($H19=$H$45,$J19*$K19*Calculadores!$B$180*Calculadores!$B$178,IF($H19=$H$46,$J19*$K19*Calculadores!$B$207*Calculadores!$B$205,IF($H19=$H$47,$J19*$K19*Calculadores!$B$235*Calculadores!$B$233,IF($H19=$H$48,$J19*$K19*Calculadores!$B$262*Calculadores!$B$260,IF($H19=$H$49,$J19*$K19*Calculadores!$B$262*Calculadores!$B$260,0)))))))))))))</f>
        <v>0</v>
      </c>
      <c r="AB19" s="469">
        <f t="shared" si="19"/>
        <v>0</v>
      </c>
      <c r="AC19" s="472">
        <f t="shared" si="20"/>
        <v>0</v>
      </c>
      <c r="AD19" s="473">
        <f t="shared" si="21"/>
        <v>0</v>
      </c>
      <c r="AE19" s="474">
        <f t="shared" si="22"/>
        <v>0</v>
      </c>
      <c r="AF19" s="475" t="s">
        <v>17</v>
      </c>
      <c r="AG19" s="476"/>
      <c r="AH19" s="477">
        <f t="shared" si="0"/>
        <v>0</v>
      </c>
      <c r="AI19" s="478"/>
      <c r="AJ19" s="477">
        <f t="shared" si="1"/>
        <v>0</v>
      </c>
      <c r="AK19" s="479">
        <f t="shared" si="2"/>
        <v>0</v>
      </c>
      <c r="AL19" s="480">
        <f t="shared" si="23"/>
        <v>0</v>
      </c>
      <c r="AM19" s="480">
        <f t="shared" si="3"/>
        <v>0</v>
      </c>
      <c r="AN19" s="481" t="str">
        <f t="shared" si="24"/>
        <v>Seleccione</v>
      </c>
      <c r="AO19" s="482">
        <f t="shared" si="25"/>
        <v>0</v>
      </c>
      <c r="AP19" s="482">
        <f t="shared" si="26"/>
        <v>0</v>
      </c>
      <c r="AQ19" s="483">
        <f>+IF($H19=$H$37,$K19*Calculadores!$B$10,IF($H19=$H$38,$J19*$K19*Calculadores!$B$35*365*24,IF($H19=$H$39,$K19*Calculadores!$B$57,IF($H19=$H$40,$K19*Calculadores!$B$77,IF($H19=$H$41,$K19*Calculadores!$B$103*$J19/Calculadores!$B$96,IF($H19=$H$42,$J19/1000*$K19*Calculadores!$B$125*5*52,IF($H19=$H$43,$J19/1000*$K19*Calculadores!$H$125*5*52,IF($H19=$H$44,$J19*$K19*Calculadores!$B$153*Calculadores!$B$152,IF($H19=$H$45,$J19*$K19*Calculadores!$B$180*Calculadores!$B$179,IF($H19=$H$46,$J19*$K19*Calculadores!$B$207*Calculadores!$B$206,IF($H19=$H$47,$J19*$K19*Calculadores!$B$235*Calculadores!$B$234,IF($H19=$H$48,0,IF($H19=$H$49,$J19*$K19*Calculadores!$B$289*Calculadores!$B$288,0)))))))))))))</f>
        <v>0</v>
      </c>
      <c r="AR19" s="482">
        <f t="shared" si="27"/>
        <v>0</v>
      </c>
      <c r="AS19" s="484">
        <f t="shared" si="28"/>
        <v>0</v>
      </c>
      <c r="AT19" s="485">
        <f t="shared" si="29"/>
        <v>0</v>
      </c>
      <c r="AU19" s="485">
        <f t="shared" si="30"/>
        <v>0</v>
      </c>
      <c r="AV19" s="475" t="s">
        <v>17</v>
      </c>
      <c r="AW19" s="486"/>
      <c r="AX19" s="487">
        <f t="shared" si="4"/>
        <v>0</v>
      </c>
      <c r="AY19" s="488"/>
      <c r="AZ19" s="487">
        <f t="shared" si="5"/>
        <v>0</v>
      </c>
      <c r="BA19" s="489">
        <f t="shared" si="6"/>
        <v>0</v>
      </c>
      <c r="BB19" s="490">
        <f t="shared" si="31"/>
        <v>0</v>
      </c>
      <c r="BC19" s="491">
        <f t="shared" si="7"/>
        <v>0</v>
      </c>
      <c r="BD19" s="492" t="s">
        <v>65</v>
      </c>
      <c r="BE19" s="547">
        <f t="shared" si="32"/>
        <v>0</v>
      </c>
      <c r="BF19" s="493">
        <f t="shared" si="33"/>
        <v>0</v>
      </c>
      <c r="BG19" s="550">
        <f t="shared" si="8"/>
        <v>0</v>
      </c>
      <c r="BH19" s="545">
        <f t="shared" si="9"/>
        <v>0</v>
      </c>
      <c r="BI19" s="548">
        <f t="shared" si="10"/>
        <v>0</v>
      </c>
    </row>
    <row r="20" spans="2:61" s="5" customFormat="1" ht="45" customHeight="1" thickBot="1" x14ac:dyDescent="0.3">
      <c r="B20" s="421">
        <f>IF(COUNTA('Datos Instalaciones'!$B$15:$B$34)=1,'Datos Instalaciones'!$B$15,IF('Datos Instalaciones'!$B25="","",'Datos Instalaciones'!$B25))</f>
        <v>0</v>
      </c>
      <c r="C20" s="421">
        <f>IF(COUNTA('Datos Instalaciones'!$C$15:$C$34)=1,'Datos Instalaciones'!$C$15,IF('Datos Instalaciones'!$C25="","",'Datos Instalaciones'!$C25))</f>
        <v>0</v>
      </c>
      <c r="D20" s="507" t="s">
        <v>17</v>
      </c>
      <c r="E20" s="354" t="str">
        <f>IF(D20="Seleccione","",VLOOKUP('MMEE std'!D20,'Datos Instalaciones'!$E$15:$AD$34,26,FALSE))</f>
        <v/>
      </c>
      <c r="F20" s="506">
        <v>11</v>
      </c>
      <c r="G20" s="354" t="s">
        <v>369</v>
      </c>
      <c r="H20" s="507" t="s">
        <v>17</v>
      </c>
      <c r="I20" s="515">
        <f t="shared" si="11"/>
        <v>0</v>
      </c>
      <c r="J20" s="362"/>
      <c r="K20" s="361"/>
      <c r="L20" s="270" t="str">
        <f t="shared" si="12"/>
        <v>Seleccione</v>
      </c>
      <c r="M20" s="270" t="str">
        <f t="shared" si="13"/>
        <v>Seleccione</v>
      </c>
      <c r="N20" s="219"/>
      <c r="O20" s="353" t="str">
        <f t="shared" si="14"/>
        <v/>
      </c>
      <c r="P20" s="508" t="s">
        <v>17</v>
      </c>
      <c r="Q20" s="509" t="s">
        <v>65</v>
      </c>
      <c r="R20" s="510" t="s">
        <v>17</v>
      </c>
      <c r="S20" s="221"/>
      <c r="T20" s="284"/>
      <c r="U20" s="221"/>
      <c r="V20" s="516">
        <f t="shared" si="15"/>
        <v>0</v>
      </c>
      <c r="W20" s="508" t="s">
        <v>17</v>
      </c>
      <c r="X20" s="469" t="str">
        <f t="shared" si="16"/>
        <v>Seleccione</v>
      </c>
      <c r="Y20" s="470">
        <f t="shared" si="17"/>
        <v>0</v>
      </c>
      <c r="Z20" s="471">
        <f t="shared" si="18"/>
        <v>0</v>
      </c>
      <c r="AA20" s="471">
        <f>+IF($H20=$H$37,$K20*Calculadores!$B$9,IF($H20=$H$38,IF('Datos Instalaciones'!D22="Residencial",$J20*$K20*Calculadores!$B$32*365*24,$J20*$K20*Calculadores!$B$32*365*24*0.7),IF($H20=$H$39,$K20*Calculadores!$B$55,IF($H20=$H$40,$K20*Calculadores!$B$76,IF($H20=$H$41,($K20/Calculadores!$B$96)*$J20*Calculadores!$B$100,IF($H20=$H$42,$J20/Calculadores!$B$124/1000*$K20*Calculadores!$B$125*5*52,IF($H20=$H$43,$J20/Calculadores!$H$124/1000*$K20*Calculadores!$H$125*5*52,IF($H20=$H$44,$J20*$K20*Calculadores!$B$151*Calculadores!$B$153,IF($H20=$H$45,$J20*$K20*Calculadores!$B$180*Calculadores!$B$178,IF($H20=$H$46,$J20*$K20*Calculadores!$B$207*Calculadores!$B$205,IF($H20=$H$47,$J20*$K20*Calculadores!$B$235*Calculadores!$B$233,IF($H20=$H$48,$J20*$K20*Calculadores!$B$262*Calculadores!$B$260,IF($H20=$H$49,$J20*$K20*Calculadores!$B$262*Calculadores!$B$260,0)))))))))))))</f>
        <v>0</v>
      </c>
      <c r="AB20" s="469">
        <f t="shared" si="19"/>
        <v>0</v>
      </c>
      <c r="AC20" s="472">
        <f t="shared" si="20"/>
        <v>0</v>
      </c>
      <c r="AD20" s="473">
        <f t="shared" si="21"/>
        <v>0</v>
      </c>
      <c r="AE20" s="474">
        <f t="shared" si="22"/>
        <v>0</v>
      </c>
      <c r="AF20" s="475" t="s">
        <v>17</v>
      </c>
      <c r="AG20" s="476"/>
      <c r="AH20" s="477">
        <f t="shared" si="0"/>
        <v>0</v>
      </c>
      <c r="AI20" s="478"/>
      <c r="AJ20" s="477">
        <f t="shared" si="1"/>
        <v>0</v>
      </c>
      <c r="AK20" s="479">
        <f t="shared" si="2"/>
        <v>0</v>
      </c>
      <c r="AL20" s="480">
        <f t="shared" si="23"/>
        <v>0</v>
      </c>
      <c r="AM20" s="480">
        <f t="shared" si="3"/>
        <v>0</v>
      </c>
      <c r="AN20" s="481" t="str">
        <f t="shared" si="24"/>
        <v>Seleccione</v>
      </c>
      <c r="AO20" s="482">
        <f t="shared" si="25"/>
        <v>0</v>
      </c>
      <c r="AP20" s="482">
        <f t="shared" si="26"/>
        <v>0</v>
      </c>
      <c r="AQ20" s="483">
        <f>+IF($H20=$H$37,$K20*Calculadores!$B$10,IF($H20=$H$38,$J20*$K20*Calculadores!$B$35*365*24,IF($H20=$H$39,$K20*Calculadores!$B$57,IF($H20=$H$40,$K20*Calculadores!$B$77,IF($H20=$H$41,$K20*Calculadores!$B$103*$J20/Calculadores!$B$96,IF($H20=$H$42,$J20/1000*$K20*Calculadores!$B$125*5*52,IF($H20=$H$43,$J20/1000*$K20*Calculadores!$H$125*5*52,IF($H20=$H$44,$J20*$K20*Calculadores!$B$153*Calculadores!$B$152,IF($H20=$H$45,$J20*$K20*Calculadores!$B$180*Calculadores!$B$179,IF($H20=$H$46,$J20*$K20*Calculadores!$B$207*Calculadores!$B$206,IF($H20=$H$47,$J20*$K20*Calculadores!$B$235*Calculadores!$B$234,IF($H20=$H$48,0,IF($H20=$H$49,$J20*$K20*Calculadores!$B$289*Calculadores!$B$288,0)))))))))))))</f>
        <v>0</v>
      </c>
      <c r="AR20" s="482">
        <f t="shared" si="27"/>
        <v>0</v>
      </c>
      <c r="AS20" s="484">
        <f t="shared" si="28"/>
        <v>0</v>
      </c>
      <c r="AT20" s="485">
        <f t="shared" si="29"/>
        <v>0</v>
      </c>
      <c r="AU20" s="485">
        <f t="shared" si="30"/>
        <v>0</v>
      </c>
      <c r="AV20" s="475" t="s">
        <v>17</v>
      </c>
      <c r="AW20" s="486"/>
      <c r="AX20" s="487">
        <f t="shared" si="4"/>
        <v>0</v>
      </c>
      <c r="AY20" s="488"/>
      <c r="AZ20" s="487">
        <f t="shared" si="5"/>
        <v>0</v>
      </c>
      <c r="BA20" s="489">
        <f t="shared" si="6"/>
        <v>0</v>
      </c>
      <c r="BB20" s="490">
        <f t="shared" si="31"/>
        <v>0</v>
      </c>
      <c r="BC20" s="491">
        <f t="shared" si="7"/>
        <v>0</v>
      </c>
      <c r="BD20" s="492" t="s">
        <v>65</v>
      </c>
      <c r="BE20" s="547">
        <f t="shared" si="32"/>
        <v>0</v>
      </c>
      <c r="BF20" s="493">
        <f t="shared" si="33"/>
        <v>0</v>
      </c>
      <c r="BG20" s="550">
        <f t="shared" si="8"/>
        <v>0</v>
      </c>
      <c r="BH20" s="545">
        <f t="shared" si="9"/>
        <v>0</v>
      </c>
      <c r="BI20" s="548">
        <f t="shared" si="10"/>
        <v>0</v>
      </c>
    </row>
    <row r="21" spans="2:61" s="5" customFormat="1" ht="45" customHeight="1" thickBot="1" x14ac:dyDescent="0.3">
      <c r="B21" s="421">
        <f>IF(COUNTA('Datos Instalaciones'!$B$15:$B$34)=1,'Datos Instalaciones'!$B$15,IF('Datos Instalaciones'!$B26="","",'Datos Instalaciones'!$B26))</f>
        <v>0</v>
      </c>
      <c r="C21" s="421">
        <f>IF(COUNTA('Datos Instalaciones'!$C$15:$C$34)=1,'Datos Instalaciones'!$C$15,IF('Datos Instalaciones'!$C26="","",'Datos Instalaciones'!$C26))</f>
        <v>0</v>
      </c>
      <c r="D21" s="507" t="s">
        <v>17</v>
      </c>
      <c r="E21" s="354" t="str">
        <f>IF(D21="Seleccione","",VLOOKUP('MMEE std'!D21,'Datos Instalaciones'!$E$15:$AD$34,26,FALSE))</f>
        <v/>
      </c>
      <c r="F21" s="506">
        <v>12</v>
      </c>
      <c r="G21" s="354" t="s">
        <v>369</v>
      </c>
      <c r="H21" s="507" t="s">
        <v>17</v>
      </c>
      <c r="I21" s="515">
        <f t="shared" si="11"/>
        <v>0</v>
      </c>
      <c r="J21" s="222"/>
      <c r="K21" s="361"/>
      <c r="L21" s="270" t="str">
        <f t="shared" si="12"/>
        <v>Seleccione</v>
      </c>
      <c r="M21" s="270" t="str">
        <f t="shared" si="13"/>
        <v>Seleccione</v>
      </c>
      <c r="N21" s="219"/>
      <c r="O21" s="353" t="str">
        <f t="shared" si="14"/>
        <v/>
      </c>
      <c r="P21" s="508" t="s">
        <v>17</v>
      </c>
      <c r="Q21" s="509" t="s">
        <v>65</v>
      </c>
      <c r="R21" s="510" t="s">
        <v>17</v>
      </c>
      <c r="S21" s="221"/>
      <c r="T21" s="284"/>
      <c r="U21" s="221"/>
      <c r="V21" s="516">
        <f t="shared" si="15"/>
        <v>0</v>
      </c>
      <c r="W21" s="508" t="s">
        <v>17</v>
      </c>
      <c r="X21" s="469" t="str">
        <f t="shared" si="16"/>
        <v>Seleccione</v>
      </c>
      <c r="Y21" s="470">
        <f t="shared" si="17"/>
        <v>0</v>
      </c>
      <c r="Z21" s="471">
        <f t="shared" si="18"/>
        <v>0</v>
      </c>
      <c r="AA21" s="471">
        <f>+IF($H21=$H$37,$K21*Calculadores!$B$9,IF($H21=$H$38,IF('Datos Instalaciones'!D23="Residencial",$J21*$K21*Calculadores!$B$32*365*24,$J21*$K21*Calculadores!$B$32*365*24*0.7),IF($H21=$H$39,$K21*Calculadores!$B$55,IF($H21=$H$40,$K21*Calculadores!$B$76,IF($H21=$H$41,($K21/Calculadores!$B$96)*$J21*Calculadores!$B$100,IF($H21=$H$42,$J21/Calculadores!$B$124/1000*$K21*Calculadores!$B$125*5*52,IF($H21=$H$43,$J21/Calculadores!$H$124/1000*$K21*Calculadores!$H$125*5*52,IF($H21=$H$44,$J21*$K21*Calculadores!$B$151*Calculadores!$B$153,IF($H21=$H$45,$J21*$K21*Calculadores!$B$180*Calculadores!$B$178,IF($H21=$H$46,$J21*$K21*Calculadores!$B$207*Calculadores!$B$205,IF($H21=$H$47,$J21*$K21*Calculadores!$B$235*Calculadores!$B$233,IF($H21=$H$48,$J21*$K21*Calculadores!$B$262*Calculadores!$B$260,IF($H21=$H$49,$J21*$K21*Calculadores!$B$262*Calculadores!$B$260,0)))))))))))))</f>
        <v>0</v>
      </c>
      <c r="AB21" s="469">
        <f t="shared" si="19"/>
        <v>0</v>
      </c>
      <c r="AC21" s="472">
        <f t="shared" si="20"/>
        <v>0</v>
      </c>
      <c r="AD21" s="473">
        <f t="shared" si="21"/>
        <v>0</v>
      </c>
      <c r="AE21" s="474">
        <f t="shared" si="22"/>
        <v>0</v>
      </c>
      <c r="AF21" s="475" t="s">
        <v>17</v>
      </c>
      <c r="AG21" s="476"/>
      <c r="AH21" s="477">
        <f t="shared" si="0"/>
        <v>0</v>
      </c>
      <c r="AI21" s="478"/>
      <c r="AJ21" s="477">
        <f t="shared" si="1"/>
        <v>0</v>
      </c>
      <c r="AK21" s="479">
        <f t="shared" si="2"/>
        <v>0</v>
      </c>
      <c r="AL21" s="480">
        <f t="shared" si="23"/>
        <v>0</v>
      </c>
      <c r="AM21" s="480">
        <f t="shared" si="3"/>
        <v>0</v>
      </c>
      <c r="AN21" s="481" t="str">
        <f t="shared" si="24"/>
        <v>Seleccione</v>
      </c>
      <c r="AO21" s="482">
        <f t="shared" si="25"/>
        <v>0</v>
      </c>
      <c r="AP21" s="482">
        <f t="shared" si="26"/>
        <v>0</v>
      </c>
      <c r="AQ21" s="483">
        <f>+IF($H21=$H$37,$K21*Calculadores!$B$10,IF($H21=$H$38,$J21*$K21*Calculadores!$B$35*365*24,IF($H21=$H$39,$K21*Calculadores!$B$57,IF($H21=$H$40,$K21*Calculadores!$B$77,IF($H21=$H$41,$K21*Calculadores!$B$103*$J21/Calculadores!$B$96,IF($H21=$H$42,$J21/1000*$K21*Calculadores!$B$125*5*52,IF($H21=$H$43,$J21/1000*$K21*Calculadores!$H$125*5*52,IF($H21=$H$44,$J21*$K21*Calculadores!$B$153*Calculadores!$B$152,IF($H21=$H$45,$J21*$K21*Calculadores!$B$180*Calculadores!$B$179,IF($H21=$H$46,$J21*$K21*Calculadores!$B$207*Calculadores!$B$206,IF($H21=$H$47,$J21*$K21*Calculadores!$B$235*Calculadores!$B$234,IF($H21=$H$48,0,IF($H21=$H$49,$J21*$K21*Calculadores!$B$289*Calculadores!$B$288,0)))))))))))))</f>
        <v>0</v>
      </c>
      <c r="AR21" s="482">
        <f t="shared" si="27"/>
        <v>0</v>
      </c>
      <c r="AS21" s="484">
        <f t="shared" si="28"/>
        <v>0</v>
      </c>
      <c r="AT21" s="485">
        <f t="shared" si="29"/>
        <v>0</v>
      </c>
      <c r="AU21" s="485">
        <f t="shared" si="30"/>
        <v>0</v>
      </c>
      <c r="AV21" s="475" t="s">
        <v>17</v>
      </c>
      <c r="AW21" s="486"/>
      <c r="AX21" s="487">
        <f t="shared" si="4"/>
        <v>0</v>
      </c>
      <c r="AY21" s="488"/>
      <c r="AZ21" s="487">
        <f t="shared" si="5"/>
        <v>0</v>
      </c>
      <c r="BA21" s="489">
        <f t="shared" si="6"/>
        <v>0</v>
      </c>
      <c r="BB21" s="490">
        <f t="shared" si="31"/>
        <v>0</v>
      </c>
      <c r="BC21" s="491">
        <f t="shared" si="7"/>
        <v>0</v>
      </c>
      <c r="BD21" s="492" t="s">
        <v>65</v>
      </c>
      <c r="BE21" s="547">
        <f t="shared" si="32"/>
        <v>0</v>
      </c>
      <c r="BF21" s="493">
        <f t="shared" si="33"/>
        <v>0</v>
      </c>
      <c r="BG21" s="550">
        <f t="shared" si="8"/>
        <v>0</v>
      </c>
      <c r="BH21" s="545">
        <f t="shared" si="9"/>
        <v>0</v>
      </c>
      <c r="BI21" s="548">
        <f t="shared" si="10"/>
        <v>0</v>
      </c>
    </row>
    <row r="22" spans="2:61" s="5" customFormat="1" ht="45" customHeight="1" thickBot="1" x14ac:dyDescent="0.3">
      <c r="B22" s="421">
        <f>IF(COUNTA('Datos Instalaciones'!$B$15:$B$34)=1,'Datos Instalaciones'!$B$15,IF('Datos Instalaciones'!$B27="","",'Datos Instalaciones'!$B27))</f>
        <v>0</v>
      </c>
      <c r="C22" s="421">
        <f>IF(COUNTA('Datos Instalaciones'!$C$15:$C$34)=1,'Datos Instalaciones'!$C$15,IF('Datos Instalaciones'!$C27="","",'Datos Instalaciones'!$C27))</f>
        <v>0</v>
      </c>
      <c r="D22" s="507" t="s">
        <v>17</v>
      </c>
      <c r="E22" s="354" t="str">
        <f>IF(D22="Seleccione","",VLOOKUP('MMEE std'!D22,'Datos Instalaciones'!$E$15:$AD$34,26,FALSE))</f>
        <v/>
      </c>
      <c r="F22" s="506">
        <v>13</v>
      </c>
      <c r="G22" s="354" t="s">
        <v>369</v>
      </c>
      <c r="H22" s="507" t="s">
        <v>17</v>
      </c>
      <c r="I22" s="515">
        <f t="shared" si="11"/>
        <v>0</v>
      </c>
      <c r="J22" s="222"/>
      <c r="K22" s="361"/>
      <c r="L22" s="270" t="str">
        <f t="shared" si="12"/>
        <v>Seleccione</v>
      </c>
      <c r="M22" s="270" t="str">
        <f t="shared" si="13"/>
        <v>Seleccione</v>
      </c>
      <c r="N22" s="219"/>
      <c r="O22" s="353" t="str">
        <f t="shared" si="14"/>
        <v/>
      </c>
      <c r="P22" s="508" t="s">
        <v>17</v>
      </c>
      <c r="Q22" s="509" t="s">
        <v>65</v>
      </c>
      <c r="R22" s="510" t="s">
        <v>17</v>
      </c>
      <c r="S22" s="221"/>
      <c r="T22" s="284"/>
      <c r="U22" s="221"/>
      <c r="V22" s="516">
        <f t="shared" si="15"/>
        <v>0</v>
      </c>
      <c r="W22" s="508" t="s">
        <v>17</v>
      </c>
      <c r="X22" s="469" t="str">
        <f t="shared" si="16"/>
        <v>Seleccione</v>
      </c>
      <c r="Y22" s="470">
        <f t="shared" si="17"/>
        <v>0</v>
      </c>
      <c r="Z22" s="471">
        <f t="shared" si="18"/>
        <v>0</v>
      </c>
      <c r="AA22" s="471">
        <f>+IF($H22=$H$37,$K22*Calculadores!$B$9,IF($H22=$H$38,IF('Datos Instalaciones'!D24="Residencial",$J22*$K22*Calculadores!$B$32*365*24,$J22*$K22*Calculadores!$B$32*365*24*0.7),IF($H22=$H$39,$K22*Calculadores!$B$55,IF($H22=$H$40,$K22*Calculadores!$B$76,IF($H22=$H$41,($K22/Calculadores!$B$96)*$J22*Calculadores!$B$100,IF($H22=$H$42,$J22/Calculadores!$B$124/1000*$K22*Calculadores!$B$125*5*52,IF($H22=$H$43,$J22/Calculadores!$H$124/1000*$K22*Calculadores!$H$125*5*52,IF($H22=$H$44,$J22*$K22*Calculadores!$B$151*Calculadores!$B$153,IF($H22=$H$45,$J22*$K22*Calculadores!$B$180*Calculadores!$B$178,IF($H22=$H$46,$J22*$K22*Calculadores!$B$207*Calculadores!$B$205,IF($H22=$H$47,$J22*$K22*Calculadores!$B$235*Calculadores!$B$233,IF($H22=$H$48,$J22*$K22*Calculadores!$B$262*Calculadores!$B$260,IF($H22=$H$49,$J22*$K22*Calculadores!$B$262*Calculadores!$B$260,0)))))))))))))</f>
        <v>0</v>
      </c>
      <c r="AB22" s="469">
        <f t="shared" si="19"/>
        <v>0</v>
      </c>
      <c r="AC22" s="472">
        <f t="shared" si="20"/>
        <v>0</v>
      </c>
      <c r="AD22" s="473">
        <f t="shared" si="21"/>
        <v>0</v>
      </c>
      <c r="AE22" s="474">
        <f t="shared" si="22"/>
        <v>0</v>
      </c>
      <c r="AF22" s="475" t="s">
        <v>17</v>
      </c>
      <c r="AG22" s="476"/>
      <c r="AH22" s="477">
        <f t="shared" si="0"/>
        <v>0</v>
      </c>
      <c r="AI22" s="478"/>
      <c r="AJ22" s="477">
        <f t="shared" si="1"/>
        <v>0</v>
      </c>
      <c r="AK22" s="479">
        <f t="shared" si="2"/>
        <v>0</v>
      </c>
      <c r="AL22" s="480">
        <f t="shared" si="23"/>
        <v>0</v>
      </c>
      <c r="AM22" s="480">
        <f t="shared" si="3"/>
        <v>0</v>
      </c>
      <c r="AN22" s="481" t="str">
        <f t="shared" si="24"/>
        <v>Seleccione</v>
      </c>
      <c r="AO22" s="482">
        <f t="shared" si="25"/>
        <v>0</v>
      </c>
      <c r="AP22" s="482">
        <f t="shared" si="26"/>
        <v>0</v>
      </c>
      <c r="AQ22" s="483">
        <f>+IF($H22=$H$37,$K22*Calculadores!$B$10,IF($H22=$H$38,$J22*$K22*Calculadores!$B$35*365*24,IF($H22=$H$39,$K22*Calculadores!$B$57,IF($H22=$H$40,$K22*Calculadores!$B$77,IF($H22=$H$41,$K22*Calculadores!$B$103*$J22/Calculadores!$B$96,IF($H22=$H$42,$J22/1000*$K22*Calculadores!$B$125*5*52,IF($H22=$H$43,$J22/1000*$K22*Calculadores!$H$125*5*52,IF($H22=$H$44,$J22*$K22*Calculadores!$B$153*Calculadores!$B$152,IF($H22=$H$45,$J22*$K22*Calculadores!$B$180*Calculadores!$B$179,IF($H22=$H$46,$J22*$K22*Calculadores!$B$207*Calculadores!$B$206,IF($H22=$H$47,$J22*$K22*Calculadores!$B$235*Calculadores!$B$234,IF($H22=$H$48,0,IF($H22=$H$49,$J22*$K22*Calculadores!$B$289*Calculadores!$B$288,0)))))))))))))</f>
        <v>0</v>
      </c>
      <c r="AR22" s="482">
        <f t="shared" si="27"/>
        <v>0</v>
      </c>
      <c r="AS22" s="484">
        <f t="shared" si="28"/>
        <v>0</v>
      </c>
      <c r="AT22" s="485">
        <f t="shared" si="29"/>
        <v>0</v>
      </c>
      <c r="AU22" s="485">
        <f t="shared" si="30"/>
        <v>0</v>
      </c>
      <c r="AV22" s="475" t="s">
        <v>17</v>
      </c>
      <c r="AW22" s="486"/>
      <c r="AX22" s="487">
        <f t="shared" si="4"/>
        <v>0</v>
      </c>
      <c r="AY22" s="488"/>
      <c r="AZ22" s="487">
        <f t="shared" si="5"/>
        <v>0</v>
      </c>
      <c r="BA22" s="489">
        <f t="shared" si="6"/>
        <v>0</v>
      </c>
      <c r="BB22" s="490">
        <f t="shared" si="31"/>
        <v>0</v>
      </c>
      <c r="BC22" s="491">
        <f t="shared" si="7"/>
        <v>0</v>
      </c>
      <c r="BD22" s="492" t="s">
        <v>65</v>
      </c>
      <c r="BE22" s="547">
        <f t="shared" si="32"/>
        <v>0</v>
      </c>
      <c r="BF22" s="493">
        <f t="shared" si="33"/>
        <v>0</v>
      </c>
      <c r="BG22" s="550">
        <f t="shared" si="8"/>
        <v>0</v>
      </c>
      <c r="BH22" s="545">
        <f t="shared" si="9"/>
        <v>0</v>
      </c>
      <c r="BI22" s="548">
        <f t="shared" si="10"/>
        <v>0</v>
      </c>
    </row>
    <row r="23" spans="2:61" s="5" customFormat="1" ht="45" customHeight="1" thickBot="1" x14ac:dyDescent="0.3">
      <c r="B23" s="421">
        <f>IF(COUNTA('Datos Instalaciones'!$B$15:$B$34)=1,'Datos Instalaciones'!$B$15,IF('Datos Instalaciones'!$B28="","",'Datos Instalaciones'!$B28))</f>
        <v>0</v>
      </c>
      <c r="C23" s="421">
        <f>IF(COUNTA('Datos Instalaciones'!$C$15:$C$34)=1,'Datos Instalaciones'!$C$15,IF('Datos Instalaciones'!$C28="","",'Datos Instalaciones'!$C28))</f>
        <v>0</v>
      </c>
      <c r="D23" s="507" t="s">
        <v>17</v>
      </c>
      <c r="E23" s="354" t="str">
        <f>IF(D23="Seleccione","",VLOOKUP('MMEE std'!D23,'Datos Instalaciones'!$E$15:$AD$34,26,FALSE))</f>
        <v/>
      </c>
      <c r="F23" s="506">
        <v>14</v>
      </c>
      <c r="G23" s="354" t="s">
        <v>369</v>
      </c>
      <c r="H23" s="507" t="s">
        <v>17</v>
      </c>
      <c r="I23" s="515">
        <f t="shared" si="11"/>
        <v>0</v>
      </c>
      <c r="J23" s="222"/>
      <c r="K23" s="360"/>
      <c r="L23" s="270" t="str">
        <f t="shared" si="12"/>
        <v>Seleccione</v>
      </c>
      <c r="M23" s="270" t="str">
        <f t="shared" si="13"/>
        <v>Seleccione</v>
      </c>
      <c r="N23" s="219"/>
      <c r="O23" s="353" t="str">
        <f t="shared" si="14"/>
        <v/>
      </c>
      <c r="P23" s="508" t="s">
        <v>17</v>
      </c>
      <c r="Q23" s="509" t="s">
        <v>65</v>
      </c>
      <c r="R23" s="510" t="s">
        <v>17</v>
      </c>
      <c r="S23" s="221"/>
      <c r="T23" s="284"/>
      <c r="U23" s="221"/>
      <c r="V23" s="516">
        <f t="shared" si="15"/>
        <v>0</v>
      </c>
      <c r="W23" s="508" t="s">
        <v>17</v>
      </c>
      <c r="X23" s="469" t="str">
        <f t="shared" si="16"/>
        <v>Seleccione</v>
      </c>
      <c r="Y23" s="470">
        <f t="shared" si="17"/>
        <v>0</v>
      </c>
      <c r="Z23" s="471">
        <f t="shared" si="18"/>
        <v>0</v>
      </c>
      <c r="AA23" s="471">
        <f>+IF($H23=$H$37,$K23*Calculadores!$B$9,IF($H23=$H$38,IF('Datos Instalaciones'!D25="Residencial",$J23*$K23*Calculadores!$B$32*365*24,$J23*$K23*Calculadores!$B$32*365*24*0.7),IF($H23=$H$39,$K23*Calculadores!$B$55,IF($H23=$H$40,$K23*Calculadores!$B$76,IF($H23=$H$41,($K23/Calculadores!$B$96)*$J23*Calculadores!$B$100,IF($H23=$H$42,$J23/Calculadores!$B$124/1000*$K23*Calculadores!$B$125*5*52,IF($H23=$H$43,$J23/Calculadores!$H$124/1000*$K23*Calculadores!$H$125*5*52,IF($H23=$H$44,$J23*$K23*Calculadores!$B$151*Calculadores!$B$153,IF($H23=$H$45,$J23*$K23*Calculadores!$B$180*Calculadores!$B$178,IF($H23=$H$46,$J23*$K23*Calculadores!$B$207*Calculadores!$B$205,IF($H23=$H$47,$J23*$K23*Calculadores!$B$235*Calculadores!$B$233,IF($H23=$H$48,$J23*$K23*Calculadores!$B$262*Calculadores!$B$260,IF($H23=$H$49,$J23*$K23*Calculadores!$B$262*Calculadores!$B$260,0)))))))))))))</f>
        <v>0</v>
      </c>
      <c r="AB23" s="469">
        <f t="shared" si="19"/>
        <v>0</v>
      </c>
      <c r="AC23" s="472">
        <f t="shared" si="20"/>
        <v>0</v>
      </c>
      <c r="AD23" s="473">
        <f t="shared" si="21"/>
        <v>0</v>
      </c>
      <c r="AE23" s="474">
        <f t="shared" si="22"/>
        <v>0</v>
      </c>
      <c r="AF23" s="475" t="s">
        <v>17</v>
      </c>
      <c r="AG23" s="476"/>
      <c r="AH23" s="477">
        <f t="shared" si="0"/>
        <v>0</v>
      </c>
      <c r="AI23" s="478"/>
      <c r="AJ23" s="477">
        <f t="shared" si="1"/>
        <v>0</v>
      </c>
      <c r="AK23" s="479">
        <f t="shared" si="2"/>
        <v>0</v>
      </c>
      <c r="AL23" s="480">
        <f t="shared" si="23"/>
        <v>0</v>
      </c>
      <c r="AM23" s="480">
        <f t="shared" si="3"/>
        <v>0</v>
      </c>
      <c r="AN23" s="481" t="str">
        <f t="shared" si="24"/>
        <v>Seleccione</v>
      </c>
      <c r="AO23" s="482">
        <f t="shared" si="25"/>
        <v>0</v>
      </c>
      <c r="AP23" s="482">
        <f t="shared" si="26"/>
        <v>0</v>
      </c>
      <c r="AQ23" s="483">
        <f>+IF($H23=$H$37,$K23*Calculadores!$B$10,IF($H23=$H$38,$J23*$K23*Calculadores!$B$35*365*24,IF($H23=$H$39,$K23*Calculadores!$B$57,IF($H23=$H$40,$K23*Calculadores!$B$77,IF($H23=$H$41,$K23*Calculadores!$B$103*$J23/Calculadores!$B$96,IF($H23=$H$42,$J23/1000*$K23*Calculadores!$B$125*5*52,IF($H23=$H$43,$J23/1000*$K23*Calculadores!$H$125*5*52,IF($H23=$H$44,$J23*$K23*Calculadores!$B$153*Calculadores!$B$152,IF($H23=$H$45,$J23*$K23*Calculadores!$B$180*Calculadores!$B$179,IF($H23=$H$46,$J23*$K23*Calculadores!$B$207*Calculadores!$B$206,IF($H23=$H$47,$J23*$K23*Calculadores!$B$235*Calculadores!$B$234,IF($H23=$H$48,0,IF($H23=$H$49,$J23*$K23*Calculadores!$B$289*Calculadores!$B$288,0)))))))))))))</f>
        <v>0</v>
      </c>
      <c r="AR23" s="482">
        <f t="shared" si="27"/>
        <v>0</v>
      </c>
      <c r="AS23" s="484">
        <f t="shared" si="28"/>
        <v>0</v>
      </c>
      <c r="AT23" s="485">
        <f t="shared" si="29"/>
        <v>0</v>
      </c>
      <c r="AU23" s="485">
        <f t="shared" si="30"/>
        <v>0</v>
      </c>
      <c r="AV23" s="475" t="s">
        <v>17</v>
      </c>
      <c r="AW23" s="486"/>
      <c r="AX23" s="487">
        <f t="shared" si="4"/>
        <v>0</v>
      </c>
      <c r="AY23" s="488"/>
      <c r="AZ23" s="487">
        <f t="shared" si="5"/>
        <v>0</v>
      </c>
      <c r="BA23" s="489">
        <f t="shared" si="6"/>
        <v>0</v>
      </c>
      <c r="BB23" s="490">
        <f t="shared" si="31"/>
        <v>0</v>
      </c>
      <c r="BC23" s="491">
        <f t="shared" si="7"/>
        <v>0</v>
      </c>
      <c r="BD23" s="492" t="s">
        <v>65</v>
      </c>
      <c r="BE23" s="547">
        <f t="shared" si="32"/>
        <v>0</v>
      </c>
      <c r="BF23" s="493">
        <f t="shared" si="33"/>
        <v>0</v>
      </c>
      <c r="BG23" s="550">
        <f t="shared" si="8"/>
        <v>0</v>
      </c>
      <c r="BH23" s="545">
        <f t="shared" si="9"/>
        <v>0</v>
      </c>
      <c r="BI23" s="548">
        <f t="shared" si="10"/>
        <v>0</v>
      </c>
    </row>
    <row r="24" spans="2:61" s="5" customFormat="1" ht="45" customHeight="1" thickBot="1" x14ac:dyDescent="0.3">
      <c r="B24" s="421">
        <f>IF(COUNTA('Datos Instalaciones'!$B$15:$B$34)=1,'Datos Instalaciones'!$B$15,IF('Datos Instalaciones'!$B29="","",'Datos Instalaciones'!$B29))</f>
        <v>0</v>
      </c>
      <c r="C24" s="421">
        <f>IF(COUNTA('Datos Instalaciones'!$C$15:$C$34)=1,'Datos Instalaciones'!$C$15,IF('Datos Instalaciones'!$C29="","",'Datos Instalaciones'!$C29))</f>
        <v>0</v>
      </c>
      <c r="D24" s="507" t="s">
        <v>17</v>
      </c>
      <c r="E24" s="354" t="str">
        <f>IF(D24="Seleccione","",VLOOKUP('MMEE std'!D24,'Datos Instalaciones'!$E$15:$AD$34,26,FALSE))</f>
        <v/>
      </c>
      <c r="F24" s="506">
        <v>15</v>
      </c>
      <c r="G24" s="354" t="s">
        <v>369</v>
      </c>
      <c r="H24" s="507" t="s">
        <v>17</v>
      </c>
      <c r="I24" s="515">
        <f t="shared" si="11"/>
        <v>0</v>
      </c>
      <c r="J24" s="222"/>
      <c r="K24" s="360"/>
      <c r="L24" s="270" t="str">
        <f t="shared" si="12"/>
        <v>Seleccione</v>
      </c>
      <c r="M24" s="270" t="str">
        <f t="shared" si="13"/>
        <v>Seleccione</v>
      </c>
      <c r="N24" s="219"/>
      <c r="O24" s="353" t="str">
        <f t="shared" si="14"/>
        <v/>
      </c>
      <c r="P24" s="508" t="s">
        <v>17</v>
      </c>
      <c r="Q24" s="509" t="s">
        <v>65</v>
      </c>
      <c r="R24" s="510" t="s">
        <v>17</v>
      </c>
      <c r="S24" s="221"/>
      <c r="T24" s="284"/>
      <c r="U24" s="221"/>
      <c r="V24" s="516">
        <f t="shared" si="15"/>
        <v>0</v>
      </c>
      <c r="W24" s="508" t="s">
        <v>17</v>
      </c>
      <c r="X24" s="469" t="str">
        <f t="shared" si="16"/>
        <v>Seleccione</v>
      </c>
      <c r="Y24" s="470">
        <f t="shared" si="17"/>
        <v>0</v>
      </c>
      <c r="Z24" s="471">
        <f t="shared" si="18"/>
        <v>0</v>
      </c>
      <c r="AA24" s="471">
        <f>+IF($H24=$H$37,$K24*Calculadores!$B$9,IF($H24=$H$38,IF('Datos Instalaciones'!D26="Residencial",$J24*$K24*Calculadores!$B$32*365*24,$J24*$K24*Calculadores!$B$32*365*24*0.7),IF($H24=$H$39,$K24*Calculadores!$B$55,IF($H24=$H$40,$K24*Calculadores!$B$76,IF($H24=$H$41,($K24/Calculadores!$B$96)*$J24*Calculadores!$B$100,IF($H24=$H$42,$J24/Calculadores!$B$124/1000*$K24*Calculadores!$B$125*5*52,IF($H24=$H$43,$J24/Calculadores!$H$124/1000*$K24*Calculadores!$H$125*5*52,IF($H24=$H$44,$J24*$K24*Calculadores!$B$151*Calculadores!$B$153,IF($H24=$H$45,$J24*$K24*Calculadores!$B$180*Calculadores!$B$178,IF($H24=$H$46,$J24*$K24*Calculadores!$B$207*Calculadores!$B$205,IF($H24=$H$47,$J24*$K24*Calculadores!$B$235*Calculadores!$B$233,IF($H24=$H$48,$J24*$K24*Calculadores!$B$262*Calculadores!$B$260,IF($H24=$H$49,$J24*$K24*Calculadores!$B$262*Calculadores!$B$260,0)))))))))))))</f>
        <v>0</v>
      </c>
      <c r="AB24" s="469">
        <f t="shared" si="19"/>
        <v>0</v>
      </c>
      <c r="AC24" s="472">
        <f t="shared" si="20"/>
        <v>0</v>
      </c>
      <c r="AD24" s="473">
        <f t="shared" si="21"/>
        <v>0</v>
      </c>
      <c r="AE24" s="474">
        <f t="shared" si="22"/>
        <v>0</v>
      </c>
      <c r="AF24" s="475" t="s">
        <v>17</v>
      </c>
      <c r="AG24" s="476"/>
      <c r="AH24" s="477">
        <f t="shared" si="0"/>
        <v>0</v>
      </c>
      <c r="AI24" s="478"/>
      <c r="AJ24" s="477">
        <f t="shared" si="1"/>
        <v>0</v>
      </c>
      <c r="AK24" s="479">
        <f t="shared" si="2"/>
        <v>0</v>
      </c>
      <c r="AL24" s="480">
        <f t="shared" si="23"/>
        <v>0</v>
      </c>
      <c r="AM24" s="480">
        <f t="shared" si="3"/>
        <v>0</v>
      </c>
      <c r="AN24" s="481" t="str">
        <f t="shared" si="24"/>
        <v>Seleccione</v>
      </c>
      <c r="AO24" s="482">
        <f t="shared" si="25"/>
        <v>0</v>
      </c>
      <c r="AP24" s="482">
        <f t="shared" si="26"/>
        <v>0</v>
      </c>
      <c r="AQ24" s="483">
        <f>+IF($H24=$H$37,$K24*Calculadores!$B$10,IF($H24=$H$38,$J24*$K24*Calculadores!$B$35*365*24,IF($H24=$H$39,$K24*Calculadores!$B$57,IF($H24=$H$40,$K24*Calculadores!$B$77,IF($H24=$H$41,$K24*Calculadores!$B$103*$J24/Calculadores!$B$96,IF($H24=$H$42,$J24/1000*$K24*Calculadores!$B$125*5*52,IF($H24=$H$43,$J24/1000*$K24*Calculadores!$H$125*5*52,IF($H24=$H$44,$J24*$K24*Calculadores!$B$153*Calculadores!$B$152,IF($H24=$H$45,$J24*$K24*Calculadores!$B$180*Calculadores!$B$179,IF($H24=$H$46,$J24*$K24*Calculadores!$B$207*Calculadores!$B$206,IF($H24=$H$47,$J24*$K24*Calculadores!$B$235*Calculadores!$B$234,IF($H24=$H$48,0,IF($H24=$H$49,$J24*$K24*Calculadores!$B$289*Calculadores!$B$288,0)))))))))))))</f>
        <v>0</v>
      </c>
      <c r="AR24" s="482">
        <f t="shared" si="27"/>
        <v>0</v>
      </c>
      <c r="AS24" s="484">
        <f t="shared" si="28"/>
        <v>0</v>
      </c>
      <c r="AT24" s="485">
        <f t="shared" si="29"/>
        <v>0</v>
      </c>
      <c r="AU24" s="485">
        <f t="shared" si="30"/>
        <v>0</v>
      </c>
      <c r="AV24" s="475" t="s">
        <v>17</v>
      </c>
      <c r="AW24" s="486"/>
      <c r="AX24" s="487">
        <f t="shared" si="4"/>
        <v>0</v>
      </c>
      <c r="AY24" s="488"/>
      <c r="AZ24" s="487">
        <f t="shared" si="5"/>
        <v>0</v>
      </c>
      <c r="BA24" s="489">
        <f t="shared" si="6"/>
        <v>0</v>
      </c>
      <c r="BB24" s="490">
        <f t="shared" si="31"/>
        <v>0</v>
      </c>
      <c r="BC24" s="491">
        <f t="shared" si="7"/>
        <v>0</v>
      </c>
      <c r="BD24" s="492" t="s">
        <v>65</v>
      </c>
      <c r="BE24" s="547">
        <f t="shared" si="32"/>
        <v>0</v>
      </c>
      <c r="BF24" s="493">
        <f t="shared" si="33"/>
        <v>0</v>
      </c>
      <c r="BG24" s="550">
        <f t="shared" si="8"/>
        <v>0</v>
      </c>
      <c r="BH24" s="545">
        <f t="shared" si="9"/>
        <v>0</v>
      </c>
      <c r="BI24" s="548">
        <f t="shared" si="10"/>
        <v>0</v>
      </c>
    </row>
    <row r="25" spans="2:61" s="5" customFormat="1" ht="45" customHeight="1" thickBot="1" x14ac:dyDescent="0.3">
      <c r="B25" s="421">
        <f>IF(COUNTA('Datos Instalaciones'!$B$15:$B$34)=1,'Datos Instalaciones'!$B$15,IF('Datos Instalaciones'!$B30="","",'Datos Instalaciones'!$B30))</f>
        <v>0</v>
      </c>
      <c r="C25" s="421">
        <f>IF(COUNTA('Datos Instalaciones'!$C$15:$C$34)=1,'Datos Instalaciones'!$C$15,IF('Datos Instalaciones'!$C30="","",'Datos Instalaciones'!$C30))</f>
        <v>0</v>
      </c>
      <c r="D25" s="507" t="s">
        <v>17</v>
      </c>
      <c r="E25" s="354" t="str">
        <f>IF(D25="Seleccione","",VLOOKUP('MMEE std'!D25,'Datos Instalaciones'!$E$15:$AD$34,26,FALSE))</f>
        <v/>
      </c>
      <c r="F25" s="506">
        <v>16</v>
      </c>
      <c r="G25" s="354" t="s">
        <v>369</v>
      </c>
      <c r="H25" s="507" t="s">
        <v>17</v>
      </c>
      <c r="I25" s="515">
        <f t="shared" si="11"/>
        <v>0</v>
      </c>
      <c r="J25" s="222"/>
      <c r="K25" s="360"/>
      <c r="L25" s="270" t="str">
        <f t="shared" si="12"/>
        <v>Seleccione</v>
      </c>
      <c r="M25" s="270" t="str">
        <f t="shared" si="13"/>
        <v>Seleccione</v>
      </c>
      <c r="N25" s="219"/>
      <c r="O25" s="353" t="str">
        <f t="shared" si="14"/>
        <v/>
      </c>
      <c r="P25" s="508" t="s">
        <v>17</v>
      </c>
      <c r="Q25" s="509" t="s">
        <v>65</v>
      </c>
      <c r="R25" s="510" t="s">
        <v>17</v>
      </c>
      <c r="S25" s="221"/>
      <c r="T25" s="284"/>
      <c r="U25" s="221"/>
      <c r="V25" s="516">
        <f t="shared" si="15"/>
        <v>0</v>
      </c>
      <c r="W25" s="508" t="s">
        <v>17</v>
      </c>
      <c r="X25" s="469" t="str">
        <f t="shared" si="16"/>
        <v>Seleccione</v>
      </c>
      <c r="Y25" s="470">
        <f t="shared" si="17"/>
        <v>0</v>
      </c>
      <c r="Z25" s="471">
        <f t="shared" si="18"/>
        <v>0</v>
      </c>
      <c r="AA25" s="471">
        <f>+IF($H25=$H$37,$K25*Calculadores!$B$9,IF($H25=$H$38,IF('Datos Instalaciones'!D27="Residencial",$J25*$K25*Calculadores!$B$32*365*24,$J25*$K25*Calculadores!$B$32*365*24*0.7),IF($H25=$H$39,$K25*Calculadores!$B$55,IF($H25=$H$40,$K25*Calculadores!$B$76,IF($H25=$H$41,($K25/Calculadores!$B$96)*$J25*Calculadores!$B$100,IF($H25=$H$42,$J25/Calculadores!$B$124/1000*$K25*Calculadores!$B$125*5*52,IF($H25=$H$43,$J25/Calculadores!$H$124/1000*$K25*Calculadores!$H$125*5*52,IF($H25=$H$44,$J25*$K25*Calculadores!$B$151*Calculadores!$B$153,IF($H25=$H$45,$J25*$K25*Calculadores!$B$180*Calculadores!$B$178,IF($H25=$H$46,$J25*$K25*Calculadores!$B$207*Calculadores!$B$205,IF($H25=$H$47,$J25*$K25*Calculadores!$B$235*Calculadores!$B$233,IF($H25=$H$48,$J25*$K25*Calculadores!$B$262*Calculadores!$B$260,IF($H25=$H$49,$J25*$K25*Calculadores!$B$262*Calculadores!$B$260,0)))))))))))))</f>
        <v>0</v>
      </c>
      <c r="AB25" s="469">
        <f t="shared" si="19"/>
        <v>0</v>
      </c>
      <c r="AC25" s="472">
        <f t="shared" si="20"/>
        <v>0</v>
      </c>
      <c r="AD25" s="473">
        <f t="shared" si="21"/>
        <v>0</v>
      </c>
      <c r="AE25" s="474">
        <f t="shared" si="22"/>
        <v>0</v>
      </c>
      <c r="AF25" s="475" t="s">
        <v>17</v>
      </c>
      <c r="AG25" s="476"/>
      <c r="AH25" s="477">
        <f t="shared" si="0"/>
        <v>0</v>
      </c>
      <c r="AI25" s="478"/>
      <c r="AJ25" s="477">
        <f t="shared" si="1"/>
        <v>0</v>
      </c>
      <c r="AK25" s="479">
        <f t="shared" si="2"/>
        <v>0</v>
      </c>
      <c r="AL25" s="480">
        <f t="shared" si="23"/>
        <v>0</v>
      </c>
      <c r="AM25" s="480">
        <f t="shared" si="3"/>
        <v>0</v>
      </c>
      <c r="AN25" s="481" t="str">
        <f t="shared" si="24"/>
        <v>Seleccione</v>
      </c>
      <c r="AO25" s="482">
        <f t="shared" si="25"/>
        <v>0</v>
      </c>
      <c r="AP25" s="482">
        <f t="shared" si="26"/>
        <v>0</v>
      </c>
      <c r="AQ25" s="483">
        <f>+IF($H25=$H$37,$K25*Calculadores!$B$10,IF($H25=$H$38,$J25*$K25*Calculadores!$B$35*365*24,IF($H25=$H$39,$K25*Calculadores!$B$57,IF($H25=$H$40,$K25*Calculadores!$B$77,IF($H25=$H$41,$K25*Calculadores!$B$103*$J25/Calculadores!$B$96,IF($H25=$H$42,$J25/1000*$K25*Calculadores!$B$125*5*52,IF($H25=$H$43,$J25/1000*$K25*Calculadores!$H$125*5*52,IF($H25=$H$44,$J25*$K25*Calculadores!$B$153*Calculadores!$B$152,IF($H25=$H$45,$J25*$K25*Calculadores!$B$180*Calculadores!$B$179,IF($H25=$H$46,$J25*$K25*Calculadores!$B$207*Calculadores!$B$206,IF($H25=$H$47,$J25*$K25*Calculadores!$B$235*Calculadores!$B$234,IF($H25=$H$48,0,IF($H25=$H$49,$J25*$K25*Calculadores!$B$289*Calculadores!$B$288,0)))))))))))))</f>
        <v>0</v>
      </c>
      <c r="AR25" s="482">
        <f t="shared" si="27"/>
        <v>0</v>
      </c>
      <c r="AS25" s="484">
        <f t="shared" si="28"/>
        <v>0</v>
      </c>
      <c r="AT25" s="485">
        <f t="shared" si="29"/>
        <v>0</v>
      </c>
      <c r="AU25" s="485">
        <f t="shared" si="30"/>
        <v>0</v>
      </c>
      <c r="AV25" s="475" t="s">
        <v>17</v>
      </c>
      <c r="AW25" s="486"/>
      <c r="AX25" s="487">
        <f t="shared" si="4"/>
        <v>0</v>
      </c>
      <c r="AY25" s="488"/>
      <c r="AZ25" s="487">
        <f t="shared" si="5"/>
        <v>0</v>
      </c>
      <c r="BA25" s="489">
        <f t="shared" si="6"/>
        <v>0</v>
      </c>
      <c r="BB25" s="490">
        <f t="shared" si="31"/>
        <v>0</v>
      </c>
      <c r="BC25" s="491">
        <f t="shared" si="7"/>
        <v>0</v>
      </c>
      <c r="BD25" s="492" t="s">
        <v>65</v>
      </c>
      <c r="BE25" s="547">
        <f t="shared" si="32"/>
        <v>0</v>
      </c>
      <c r="BF25" s="493">
        <f t="shared" si="33"/>
        <v>0</v>
      </c>
      <c r="BG25" s="550">
        <f t="shared" si="8"/>
        <v>0</v>
      </c>
      <c r="BH25" s="545">
        <f t="shared" si="9"/>
        <v>0</v>
      </c>
      <c r="BI25" s="548">
        <f t="shared" si="10"/>
        <v>0</v>
      </c>
    </row>
    <row r="26" spans="2:61" s="5" customFormat="1" ht="45" customHeight="1" thickBot="1" x14ac:dyDescent="0.3">
      <c r="B26" s="421">
        <f>IF(COUNTA('Datos Instalaciones'!$B$15:$B$34)=1,'Datos Instalaciones'!$B$15,IF('Datos Instalaciones'!$B31="","",'Datos Instalaciones'!$B31))</f>
        <v>0</v>
      </c>
      <c r="C26" s="421">
        <f>IF(COUNTA('Datos Instalaciones'!$C$15:$C$34)=1,'Datos Instalaciones'!$C$15,IF('Datos Instalaciones'!$C31="","",'Datos Instalaciones'!$C31))</f>
        <v>0</v>
      </c>
      <c r="D26" s="507" t="s">
        <v>17</v>
      </c>
      <c r="E26" s="354" t="str">
        <f>IF(D26="Seleccione","",VLOOKUP('MMEE std'!D26,'Datos Instalaciones'!$E$15:$AD$34,26,FALSE))</f>
        <v/>
      </c>
      <c r="F26" s="506">
        <v>17</v>
      </c>
      <c r="G26" s="354" t="s">
        <v>369</v>
      </c>
      <c r="H26" s="507" t="s">
        <v>17</v>
      </c>
      <c r="I26" s="515">
        <f t="shared" si="11"/>
        <v>0</v>
      </c>
      <c r="J26" s="222"/>
      <c r="K26" s="360"/>
      <c r="L26" s="270" t="str">
        <f t="shared" si="12"/>
        <v>Seleccione</v>
      </c>
      <c r="M26" s="270" t="str">
        <f t="shared" si="13"/>
        <v>Seleccione</v>
      </c>
      <c r="N26" s="219"/>
      <c r="O26" s="353" t="str">
        <f t="shared" si="14"/>
        <v/>
      </c>
      <c r="P26" s="508" t="s">
        <v>17</v>
      </c>
      <c r="Q26" s="509" t="s">
        <v>65</v>
      </c>
      <c r="R26" s="510" t="s">
        <v>17</v>
      </c>
      <c r="S26" s="221"/>
      <c r="T26" s="284"/>
      <c r="U26" s="221"/>
      <c r="V26" s="516">
        <f t="shared" si="15"/>
        <v>0</v>
      </c>
      <c r="W26" s="508" t="s">
        <v>17</v>
      </c>
      <c r="X26" s="469" t="str">
        <f t="shared" si="16"/>
        <v>Seleccione</v>
      </c>
      <c r="Y26" s="470">
        <f t="shared" si="17"/>
        <v>0</v>
      </c>
      <c r="Z26" s="471">
        <f t="shared" si="18"/>
        <v>0</v>
      </c>
      <c r="AA26" s="471">
        <f>+IF($H26=$H$37,$K26*Calculadores!$B$9,IF($H26=$H$38,IF('Datos Instalaciones'!D28="Residencial",$J26*$K26*Calculadores!$B$32*365*24,$J26*$K26*Calculadores!$B$32*365*24*0.7),IF($H26=$H$39,$K26*Calculadores!$B$55,IF($H26=$H$40,$K26*Calculadores!$B$76,IF($H26=$H$41,($K26/Calculadores!$B$96)*$J26*Calculadores!$B$100,IF($H26=$H$42,$J26/Calculadores!$B$124/1000*$K26*Calculadores!$B$125*5*52,IF($H26=$H$43,$J26/Calculadores!$H$124/1000*$K26*Calculadores!$H$125*5*52,IF($H26=$H$44,$J26*$K26*Calculadores!$B$151*Calculadores!$B$153,IF($H26=$H$45,$J26*$K26*Calculadores!$B$180*Calculadores!$B$178,IF($H26=$H$46,$J26*$K26*Calculadores!$B$207*Calculadores!$B$205,IF($H26=$H$47,$J26*$K26*Calculadores!$B$235*Calculadores!$B$233,IF($H26=$H$48,$J26*$K26*Calculadores!$B$262*Calculadores!$B$260,IF($H26=$H$49,$J26*$K26*Calculadores!$B$262*Calculadores!$B$260,0)))))))))))))</f>
        <v>0</v>
      </c>
      <c r="AB26" s="469">
        <f t="shared" si="19"/>
        <v>0</v>
      </c>
      <c r="AC26" s="472">
        <f t="shared" si="20"/>
        <v>0</v>
      </c>
      <c r="AD26" s="473">
        <f t="shared" si="21"/>
        <v>0</v>
      </c>
      <c r="AE26" s="474">
        <f t="shared" si="22"/>
        <v>0</v>
      </c>
      <c r="AF26" s="475" t="s">
        <v>17</v>
      </c>
      <c r="AG26" s="476"/>
      <c r="AH26" s="477">
        <f t="shared" si="0"/>
        <v>0</v>
      </c>
      <c r="AI26" s="478"/>
      <c r="AJ26" s="477">
        <f t="shared" si="1"/>
        <v>0</v>
      </c>
      <c r="AK26" s="479">
        <f t="shared" si="2"/>
        <v>0</v>
      </c>
      <c r="AL26" s="480">
        <f t="shared" si="23"/>
        <v>0</v>
      </c>
      <c r="AM26" s="480">
        <f t="shared" si="3"/>
        <v>0</v>
      </c>
      <c r="AN26" s="481" t="str">
        <f t="shared" si="24"/>
        <v>Seleccione</v>
      </c>
      <c r="AO26" s="482">
        <f t="shared" si="25"/>
        <v>0</v>
      </c>
      <c r="AP26" s="482">
        <f t="shared" si="26"/>
        <v>0</v>
      </c>
      <c r="AQ26" s="483">
        <f>+IF($H26=$H$37,$K26*Calculadores!$B$10,IF($H26=$H$38,$J26*$K26*Calculadores!$B$35*365*24,IF($H26=$H$39,$K26*Calculadores!$B$57,IF($H26=$H$40,$K26*Calculadores!$B$77,IF($H26=$H$41,$K26*Calculadores!$B$103*$J26/Calculadores!$B$96,IF($H26=$H$42,$J26/1000*$K26*Calculadores!$B$125*5*52,IF($H26=$H$43,$J26/1000*$K26*Calculadores!$H$125*5*52,IF($H26=$H$44,$J26*$K26*Calculadores!$B$153*Calculadores!$B$152,IF($H26=$H$45,$J26*$K26*Calculadores!$B$180*Calculadores!$B$179,IF($H26=$H$46,$J26*$K26*Calculadores!$B$207*Calculadores!$B$206,IF($H26=$H$47,$J26*$K26*Calculadores!$B$235*Calculadores!$B$234,IF($H26=$H$48,0,IF($H26=$H$49,$J26*$K26*Calculadores!$B$289*Calculadores!$B$288,0)))))))))))))</f>
        <v>0</v>
      </c>
      <c r="AR26" s="482">
        <f t="shared" si="27"/>
        <v>0</v>
      </c>
      <c r="AS26" s="484">
        <f t="shared" si="28"/>
        <v>0</v>
      </c>
      <c r="AT26" s="485">
        <f t="shared" si="29"/>
        <v>0</v>
      </c>
      <c r="AU26" s="485">
        <f t="shared" si="30"/>
        <v>0</v>
      </c>
      <c r="AV26" s="475" t="s">
        <v>17</v>
      </c>
      <c r="AW26" s="486"/>
      <c r="AX26" s="487">
        <f t="shared" si="4"/>
        <v>0</v>
      </c>
      <c r="AY26" s="488"/>
      <c r="AZ26" s="487">
        <f t="shared" si="5"/>
        <v>0</v>
      </c>
      <c r="BA26" s="489">
        <f t="shared" si="6"/>
        <v>0</v>
      </c>
      <c r="BB26" s="490">
        <f t="shared" si="31"/>
        <v>0</v>
      </c>
      <c r="BC26" s="491">
        <f t="shared" si="7"/>
        <v>0</v>
      </c>
      <c r="BD26" s="492" t="s">
        <v>65</v>
      </c>
      <c r="BE26" s="547">
        <f t="shared" si="32"/>
        <v>0</v>
      </c>
      <c r="BF26" s="493">
        <f t="shared" si="33"/>
        <v>0</v>
      </c>
      <c r="BG26" s="550">
        <f t="shared" si="8"/>
        <v>0</v>
      </c>
      <c r="BH26" s="545">
        <f t="shared" si="9"/>
        <v>0</v>
      </c>
      <c r="BI26" s="548">
        <f t="shared" si="10"/>
        <v>0</v>
      </c>
    </row>
    <row r="27" spans="2:61" s="5" customFormat="1" ht="45" customHeight="1" thickBot="1" x14ac:dyDescent="0.3">
      <c r="B27" s="421">
        <f>IF(COUNTA('Datos Instalaciones'!$B$15:$B$34)=1,'Datos Instalaciones'!$B$15,IF('Datos Instalaciones'!$B32="","",'Datos Instalaciones'!$B32))</f>
        <v>0</v>
      </c>
      <c r="C27" s="421">
        <f>IF(COUNTA('Datos Instalaciones'!$C$15:$C$34)=1,'Datos Instalaciones'!$C$15,IF('Datos Instalaciones'!$C32="","",'Datos Instalaciones'!$C32))</f>
        <v>0</v>
      </c>
      <c r="D27" s="507" t="s">
        <v>17</v>
      </c>
      <c r="E27" s="354" t="str">
        <f>IF(D27="Seleccione","",VLOOKUP('MMEE std'!D27,'Datos Instalaciones'!$E$15:$AD$34,26,FALSE))</f>
        <v/>
      </c>
      <c r="F27" s="506">
        <v>18</v>
      </c>
      <c r="G27" s="354" t="s">
        <v>369</v>
      </c>
      <c r="H27" s="507" t="s">
        <v>17</v>
      </c>
      <c r="I27" s="515">
        <f t="shared" si="11"/>
        <v>0</v>
      </c>
      <c r="J27" s="222"/>
      <c r="K27" s="360"/>
      <c r="L27" s="270" t="str">
        <f t="shared" si="12"/>
        <v>Seleccione</v>
      </c>
      <c r="M27" s="270" t="str">
        <f t="shared" si="13"/>
        <v>Seleccione</v>
      </c>
      <c r="N27" s="219"/>
      <c r="O27" s="353" t="str">
        <f t="shared" si="14"/>
        <v/>
      </c>
      <c r="P27" s="508" t="s">
        <v>17</v>
      </c>
      <c r="Q27" s="509" t="s">
        <v>65</v>
      </c>
      <c r="R27" s="510" t="s">
        <v>17</v>
      </c>
      <c r="S27" s="221"/>
      <c r="T27" s="284"/>
      <c r="U27" s="221"/>
      <c r="V27" s="516">
        <f t="shared" si="15"/>
        <v>0</v>
      </c>
      <c r="W27" s="508" t="s">
        <v>17</v>
      </c>
      <c r="X27" s="469" t="str">
        <f t="shared" si="16"/>
        <v>Seleccione</v>
      </c>
      <c r="Y27" s="470">
        <f t="shared" si="17"/>
        <v>0</v>
      </c>
      <c r="Z27" s="471">
        <f t="shared" si="18"/>
        <v>0</v>
      </c>
      <c r="AA27" s="471">
        <f>+IF($H27=$H$37,$K27*Calculadores!$B$9,IF($H27=$H$38,IF('Datos Instalaciones'!D29="Residencial",$J27*$K27*Calculadores!$B$32*365*24,$J27*$K27*Calculadores!$B$32*365*24*0.7),IF($H27=$H$39,$K27*Calculadores!$B$55,IF($H27=$H$40,$K27*Calculadores!$B$76,IF($H27=$H$41,($K27/Calculadores!$B$96)*$J27*Calculadores!$B$100,IF($H27=$H$42,$J27/Calculadores!$B$124/1000*$K27*Calculadores!$B$125*5*52,IF($H27=$H$43,$J27/Calculadores!$H$124/1000*$K27*Calculadores!$H$125*5*52,IF($H27=$H$44,$J27*$K27*Calculadores!$B$151*Calculadores!$B$153,IF($H27=$H$45,$J27*$K27*Calculadores!$B$180*Calculadores!$B$178,IF($H27=$H$46,$J27*$K27*Calculadores!$B$207*Calculadores!$B$205,IF($H27=$H$47,$J27*$K27*Calculadores!$B$235*Calculadores!$B$233,IF($H27=$H$48,$J27*$K27*Calculadores!$B$262*Calculadores!$B$260,IF($H27=$H$49,$J27*$K27*Calculadores!$B$262*Calculadores!$B$260,0)))))))))))))</f>
        <v>0</v>
      </c>
      <c r="AB27" s="469">
        <f t="shared" si="19"/>
        <v>0</v>
      </c>
      <c r="AC27" s="472">
        <f t="shared" si="20"/>
        <v>0</v>
      </c>
      <c r="AD27" s="473">
        <f t="shared" si="21"/>
        <v>0</v>
      </c>
      <c r="AE27" s="474">
        <f t="shared" si="22"/>
        <v>0</v>
      </c>
      <c r="AF27" s="475" t="s">
        <v>17</v>
      </c>
      <c r="AG27" s="476"/>
      <c r="AH27" s="477">
        <f t="shared" si="0"/>
        <v>0</v>
      </c>
      <c r="AI27" s="478"/>
      <c r="AJ27" s="477">
        <f t="shared" si="1"/>
        <v>0</v>
      </c>
      <c r="AK27" s="479">
        <f t="shared" si="2"/>
        <v>0</v>
      </c>
      <c r="AL27" s="480">
        <f t="shared" si="23"/>
        <v>0</v>
      </c>
      <c r="AM27" s="480">
        <f t="shared" si="3"/>
        <v>0</v>
      </c>
      <c r="AN27" s="481" t="str">
        <f t="shared" si="24"/>
        <v>Seleccione</v>
      </c>
      <c r="AO27" s="482">
        <f t="shared" si="25"/>
        <v>0</v>
      </c>
      <c r="AP27" s="482">
        <f t="shared" si="26"/>
        <v>0</v>
      </c>
      <c r="AQ27" s="483">
        <f>+IF($H27=$H$37,$K27*Calculadores!$B$10,IF($H27=$H$38,$J27*$K27*Calculadores!$B$35*365*24,IF($H27=$H$39,$K27*Calculadores!$B$57,IF($H27=$H$40,$K27*Calculadores!$B$77,IF($H27=$H$41,$K27*Calculadores!$B$103*$J27/Calculadores!$B$96,IF($H27=$H$42,$J27/1000*$K27*Calculadores!$B$125*5*52,IF($H27=$H$43,$J27/1000*$K27*Calculadores!$H$125*5*52,IF($H27=$H$44,$J27*$K27*Calculadores!$B$153*Calculadores!$B$152,IF($H27=$H$45,$J27*$K27*Calculadores!$B$180*Calculadores!$B$179,IF($H27=$H$46,$J27*$K27*Calculadores!$B$207*Calculadores!$B$206,IF($H27=$H$47,$J27*$K27*Calculadores!$B$235*Calculadores!$B$234,IF($H27=$H$48,0,IF($H27=$H$49,$J27*$K27*Calculadores!$B$289*Calculadores!$B$288,0)))))))))))))</f>
        <v>0</v>
      </c>
      <c r="AR27" s="482">
        <f t="shared" si="27"/>
        <v>0</v>
      </c>
      <c r="AS27" s="484">
        <f t="shared" si="28"/>
        <v>0</v>
      </c>
      <c r="AT27" s="485">
        <f t="shared" si="29"/>
        <v>0</v>
      </c>
      <c r="AU27" s="485">
        <f t="shared" si="30"/>
        <v>0</v>
      </c>
      <c r="AV27" s="475" t="s">
        <v>17</v>
      </c>
      <c r="AW27" s="486"/>
      <c r="AX27" s="487">
        <f t="shared" si="4"/>
        <v>0</v>
      </c>
      <c r="AY27" s="488"/>
      <c r="AZ27" s="487">
        <f t="shared" si="5"/>
        <v>0</v>
      </c>
      <c r="BA27" s="489">
        <f t="shared" si="6"/>
        <v>0</v>
      </c>
      <c r="BB27" s="490">
        <f t="shared" si="31"/>
        <v>0</v>
      </c>
      <c r="BC27" s="491">
        <f t="shared" si="7"/>
        <v>0</v>
      </c>
      <c r="BD27" s="492" t="s">
        <v>65</v>
      </c>
      <c r="BE27" s="547">
        <f t="shared" si="32"/>
        <v>0</v>
      </c>
      <c r="BF27" s="493">
        <f t="shared" si="33"/>
        <v>0</v>
      </c>
      <c r="BG27" s="550">
        <f t="shared" si="8"/>
        <v>0</v>
      </c>
      <c r="BH27" s="545">
        <f t="shared" si="9"/>
        <v>0</v>
      </c>
      <c r="BI27" s="548">
        <f t="shared" si="10"/>
        <v>0</v>
      </c>
    </row>
    <row r="28" spans="2:61" s="5" customFormat="1" ht="45" customHeight="1" thickBot="1" x14ac:dyDescent="0.3">
      <c r="B28" s="421">
        <f>IF(COUNTA('Datos Instalaciones'!$B$15:$B$34)=1,'Datos Instalaciones'!$B$15,IF('Datos Instalaciones'!$B33="","",'Datos Instalaciones'!$B33))</f>
        <v>0</v>
      </c>
      <c r="C28" s="421">
        <f>IF(COUNTA('Datos Instalaciones'!$C$15:$C$34)=1,'Datos Instalaciones'!$C$15,IF('Datos Instalaciones'!$C33="","",'Datos Instalaciones'!$C33))</f>
        <v>0</v>
      </c>
      <c r="D28" s="507" t="s">
        <v>17</v>
      </c>
      <c r="E28" s="354" t="str">
        <f>IF(D28="Seleccione","",VLOOKUP('MMEE std'!D28,'Datos Instalaciones'!$E$15:$AD$34,26,FALSE))</f>
        <v/>
      </c>
      <c r="F28" s="506">
        <v>19</v>
      </c>
      <c r="G28" s="354" t="s">
        <v>369</v>
      </c>
      <c r="H28" s="507" t="s">
        <v>17</v>
      </c>
      <c r="I28" s="515">
        <f t="shared" si="11"/>
        <v>0</v>
      </c>
      <c r="J28" s="222"/>
      <c r="K28" s="360"/>
      <c r="L28" s="270" t="str">
        <f t="shared" si="12"/>
        <v>Seleccione</v>
      </c>
      <c r="M28" s="270" t="str">
        <f t="shared" si="13"/>
        <v>Seleccione</v>
      </c>
      <c r="N28" s="219"/>
      <c r="O28" s="353" t="str">
        <f t="shared" si="14"/>
        <v/>
      </c>
      <c r="P28" s="511" t="s">
        <v>17</v>
      </c>
      <c r="Q28" s="509" t="s">
        <v>65</v>
      </c>
      <c r="R28" s="510" t="s">
        <v>17</v>
      </c>
      <c r="S28" s="221"/>
      <c r="T28" s="284"/>
      <c r="U28" s="221"/>
      <c r="V28" s="516">
        <f t="shared" si="15"/>
        <v>0</v>
      </c>
      <c r="W28" s="508" t="s">
        <v>17</v>
      </c>
      <c r="X28" s="469" t="str">
        <f t="shared" si="16"/>
        <v>Seleccione</v>
      </c>
      <c r="Y28" s="470">
        <f t="shared" si="17"/>
        <v>0</v>
      </c>
      <c r="Z28" s="471">
        <f t="shared" si="18"/>
        <v>0</v>
      </c>
      <c r="AA28" s="471">
        <f>+IF($H28=$H$37,$K28*Calculadores!$B$9,IF($H28=$H$38,IF('Datos Instalaciones'!D30="Residencial",$J28*$K28*Calculadores!$B$32*365*24,$J28*$K28*Calculadores!$B$32*365*24*0.7),IF($H28=$H$39,$K28*Calculadores!$B$55,IF($H28=$H$40,$K28*Calculadores!$B$76,IF($H28=$H$41,($K28/Calculadores!$B$96)*$J28*Calculadores!$B$100,IF($H28=$H$42,$J28/Calculadores!$B$124/1000*$K28*Calculadores!$B$125*5*52,IF($H28=$H$43,$J28/Calculadores!$H$124/1000*$K28*Calculadores!$H$125*5*52,IF($H28=$H$44,$J28*$K28*Calculadores!$B$151*Calculadores!$B$153,IF($H28=$H$45,$J28*$K28*Calculadores!$B$180*Calculadores!$B$178,IF($H28=$H$46,$J28*$K28*Calculadores!$B$207*Calculadores!$B$205,IF($H28=$H$47,$J28*$K28*Calculadores!$B$235*Calculadores!$B$233,IF($H28=$H$48,$J28*$K28*Calculadores!$B$262*Calculadores!$B$260,IF($H28=$H$49,$J28*$K28*Calculadores!$B$262*Calculadores!$B$260,0)))))))))))))</f>
        <v>0</v>
      </c>
      <c r="AB28" s="469">
        <f t="shared" si="19"/>
        <v>0</v>
      </c>
      <c r="AC28" s="472">
        <f t="shared" si="20"/>
        <v>0</v>
      </c>
      <c r="AD28" s="473">
        <f t="shared" si="21"/>
        <v>0</v>
      </c>
      <c r="AE28" s="474">
        <f t="shared" si="22"/>
        <v>0</v>
      </c>
      <c r="AF28" s="475" t="s">
        <v>17</v>
      </c>
      <c r="AG28" s="476"/>
      <c r="AH28" s="477">
        <f t="shared" si="0"/>
        <v>0</v>
      </c>
      <c r="AI28" s="478"/>
      <c r="AJ28" s="477">
        <f t="shared" si="1"/>
        <v>0</v>
      </c>
      <c r="AK28" s="479">
        <f t="shared" si="2"/>
        <v>0</v>
      </c>
      <c r="AL28" s="480">
        <f t="shared" ref="AL28" si="34">+AG28*AI28</f>
        <v>0</v>
      </c>
      <c r="AM28" s="480">
        <f t="shared" si="3"/>
        <v>0</v>
      </c>
      <c r="AN28" s="481" t="str">
        <f t="shared" si="24"/>
        <v>Seleccione</v>
      </c>
      <c r="AO28" s="482">
        <f t="shared" si="25"/>
        <v>0</v>
      </c>
      <c r="AP28" s="482">
        <f t="shared" si="26"/>
        <v>0</v>
      </c>
      <c r="AQ28" s="483">
        <f>+IF($H28=$H$37,$K28*Calculadores!$B$10,IF($H28=$H$38,$J28*$K28*Calculadores!$B$35*365*24,IF($H28=$H$39,$K28*Calculadores!$B$57,IF($H28=$H$40,$K28*Calculadores!$B$77,IF($H28=$H$41,$K28*Calculadores!$B$103*$J28/Calculadores!$B$96,IF($H28=$H$42,$J28/1000*$K28*Calculadores!$B$125*5*52,IF($H28=$H$43,$J28/1000*$K28*Calculadores!$H$125*5*52,IF($H28=$H$44,$J28*$K28*Calculadores!$B$153*Calculadores!$B$152,IF($H28=$H$45,$J28*$K28*Calculadores!$B$180*Calculadores!$B$179,IF($H28=$H$46,$J28*$K28*Calculadores!$B$207*Calculadores!$B$206,IF($H28=$H$47,$J28*$K28*Calculadores!$B$235*Calculadores!$B$234,IF($H28=$H$48,0,IF($H28=$H$49,$J28*$K28*Calculadores!$B$289*Calculadores!$B$288,0)))))))))))))</f>
        <v>0</v>
      </c>
      <c r="AR28" s="482">
        <f t="shared" si="27"/>
        <v>0</v>
      </c>
      <c r="AS28" s="484">
        <f t="shared" si="28"/>
        <v>0</v>
      </c>
      <c r="AT28" s="485">
        <f t="shared" si="29"/>
        <v>0</v>
      </c>
      <c r="AU28" s="485">
        <f t="shared" si="30"/>
        <v>0</v>
      </c>
      <c r="AV28" s="475" t="s">
        <v>17</v>
      </c>
      <c r="AW28" s="486"/>
      <c r="AX28" s="487">
        <f t="shared" si="4"/>
        <v>0</v>
      </c>
      <c r="AY28" s="488"/>
      <c r="AZ28" s="487">
        <f t="shared" si="5"/>
        <v>0</v>
      </c>
      <c r="BA28" s="489">
        <f t="shared" si="6"/>
        <v>0</v>
      </c>
      <c r="BB28" s="490">
        <f t="shared" ref="BB28" si="35">+AW28*AY28</f>
        <v>0</v>
      </c>
      <c r="BC28" s="491">
        <f t="shared" si="7"/>
        <v>0</v>
      </c>
      <c r="BD28" s="492" t="s">
        <v>65</v>
      </c>
      <c r="BE28" s="547">
        <f t="shared" si="32"/>
        <v>0</v>
      </c>
      <c r="BF28" s="493">
        <f t="shared" si="33"/>
        <v>0</v>
      </c>
      <c r="BG28" s="550">
        <f t="shared" ref="BG28" si="36">(AD28+AL28)-(AT28+BB28)</f>
        <v>0</v>
      </c>
      <c r="BH28" s="545">
        <f t="shared" si="9"/>
        <v>0</v>
      </c>
      <c r="BI28" s="548">
        <f t="shared" ref="BI28" si="37">+(AE28+AM28)-(AU28+BC28)</f>
        <v>0</v>
      </c>
    </row>
    <row r="29" spans="2:61" s="5" customFormat="1" ht="45" customHeight="1" thickBot="1" x14ac:dyDescent="0.3">
      <c r="B29" s="421">
        <f>IF(COUNTA('Datos Instalaciones'!$B$15:$B$34)=1,'Datos Instalaciones'!$B$15,IF('Datos Instalaciones'!$B34="","",'Datos Instalaciones'!$B34))</f>
        <v>0</v>
      </c>
      <c r="C29" s="421">
        <f>IF(COUNTA('Datos Instalaciones'!$C$15:$C$34)=1,'Datos Instalaciones'!$C$15,IF('Datos Instalaciones'!$C34="","",'Datos Instalaciones'!$C34))</f>
        <v>0</v>
      </c>
      <c r="D29" s="507" t="s">
        <v>17</v>
      </c>
      <c r="E29" s="354" t="str">
        <f>IF(D29="Seleccione","",VLOOKUP('MMEE std'!D29,'Datos Instalaciones'!$E$15:$AD$34,26,FALSE))</f>
        <v/>
      </c>
      <c r="F29" s="506">
        <v>20</v>
      </c>
      <c r="G29" s="354" t="s">
        <v>369</v>
      </c>
      <c r="H29" s="507" t="s">
        <v>17</v>
      </c>
      <c r="I29" s="515">
        <f t="shared" si="11"/>
        <v>0</v>
      </c>
      <c r="J29" s="223"/>
      <c r="K29" s="363"/>
      <c r="L29" s="270" t="str">
        <f t="shared" si="12"/>
        <v>Seleccione</v>
      </c>
      <c r="M29" s="270" t="str">
        <f t="shared" si="13"/>
        <v>Seleccione</v>
      </c>
      <c r="N29" s="364"/>
      <c r="O29" s="353" t="str">
        <f t="shared" si="14"/>
        <v/>
      </c>
      <c r="P29" s="512" t="s">
        <v>17</v>
      </c>
      <c r="Q29" s="513" t="s">
        <v>65</v>
      </c>
      <c r="R29" s="514" t="s">
        <v>17</v>
      </c>
      <c r="S29" s="224"/>
      <c r="T29" s="285"/>
      <c r="U29" s="224"/>
      <c r="V29" s="516">
        <f t="shared" si="15"/>
        <v>0</v>
      </c>
      <c r="W29" s="508" t="s">
        <v>17</v>
      </c>
      <c r="X29" s="469" t="str">
        <f t="shared" si="16"/>
        <v>Seleccione</v>
      </c>
      <c r="Y29" s="470">
        <f t="shared" si="17"/>
        <v>0</v>
      </c>
      <c r="Z29" s="471">
        <f t="shared" si="18"/>
        <v>0</v>
      </c>
      <c r="AA29" s="471">
        <f>+IF($H29=$H$37,$K29*Calculadores!$B$9,IF($H29=$H$38,IF('Datos Instalaciones'!D31="Residencial",$J29*$K29*Calculadores!$B$32*365*24,$J29*$K29*Calculadores!$B$32*365*24*0.7),IF($H29=$H$39,$K29*Calculadores!$B$55,IF($H29=$H$40,$K29*Calculadores!$B$76,IF($H29=$H$41,($K29/Calculadores!$B$96)*$J29*Calculadores!$B$100,IF($H29=$H$42,$J29/Calculadores!$B$124/1000*$K29*Calculadores!$B$125*5*52,IF($H29=$H$43,$J29/Calculadores!$H$124/1000*$K29*Calculadores!$H$125*5*52,IF($H29=$H$44,$J29*$K29*Calculadores!$B$151*Calculadores!$B$153,IF($H29=$H$45,$J29*$K29*Calculadores!$B$180*Calculadores!$B$178,IF($H29=$H$46,$J29*$K29*Calculadores!$B$207*Calculadores!$B$205,IF($H29=$H$47,$J29*$K29*Calculadores!$B$235*Calculadores!$B$233,IF($H29=$H$48,$J29*$K29*Calculadores!$B$262*Calculadores!$B$260,IF($H29=$H$49,$J29*$K29*Calculadores!$B$262*Calculadores!$B$260,0)))))))))))))</f>
        <v>0</v>
      </c>
      <c r="AB29" s="469">
        <f t="shared" si="19"/>
        <v>0</v>
      </c>
      <c r="AC29" s="472">
        <f t="shared" si="20"/>
        <v>0</v>
      </c>
      <c r="AD29" s="473">
        <f t="shared" si="21"/>
        <v>0</v>
      </c>
      <c r="AE29" s="474">
        <f t="shared" si="22"/>
        <v>0</v>
      </c>
      <c r="AF29" s="494" t="s">
        <v>17</v>
      </c>
      <c r="AG29" s="495"/>
      <c r="AH29" s="496">
        <f t="shared" si="0"/>
        <v>0</v>
      </c>
      <c r="AI29" s="497"/>
      <c r="AJ29" s="496">
        <f t="shared" si="1"/>
        <v>0</v>
      </c>
      <c r="AK29" s="498">
        <f t="shared" si="2"/>
        <v>0</v>
      </c>
      <c r="AL29" s="499">
        <f t="shared" si="23"/>
        <v>0</v>
      </c>
      <c r="AM29" s="499">
        <f t="shared" si="3"/>
        <v>0</v>
      </c>
      <c r="AN29" s="481" t="str">
        <f t="shared" si="24"/>
        <v>Seleccione</v>
      </c>
      <c r="AO29" s="482">
        <f t="shared" si="25"/>
        <v>0</v>
      </c>
      <c r="AP29" s="482">
        <f t="shared" si="26"/>
        <v>0</v>
      </c>
      <c r="AQ29" s="483">
        <f>+IF($H29=$H$37,$K29*Calculadores!$B$10,IF($H29=$H$38,$J29*$K29*Calculadores!$B$35*365*24,IF($H29=$H$39,$K29*Calculadores!$B$57,IF($H29=$H$40,$K29*Calculadores!$B$77,IF($H29=$H$41,$K29*Calculadores!$B$103*$J29/Calculadores!$B$96,IF($H29=$H$42,$J29/1000*$K29*Calculadores!$B$125*5*52,IF($H29=$H$43,$J29/1000*$K29*Calculadores!$H$125*5*52,IF($H29=$H$44,$J29*$K29*Calculadores!$B$153*Calculadores!$B$152,IF($H29=$H$45,$J29*$K29*Calculadores!$B$180*Calculadores!$B$179,IF($H29=$H$46,$J29*$K29*Calculadores!$B$207*Calculadores!$B$206,IF($H29=$H$47,$J29*$K29*Calculadores!$B$235*Calculadores!$B$234,IF($H29=$H$48,0,IF($H29=$H$49,$J29*$K29*Calculadores!$B$289*Calculadores!$B$288,0)))))))))))))</f>
        <v>0</v>
      </c>
      <c r="AR29" s="482">
        <f t="shared" si="27"/>
        <v>0</v>
      </c>
      <c r="AS29" s="484">
        <f t="shared" si="28"/>
        <v>0</v>
      </c>
      <c r="AT29" s="485">
        <f t="shared" si="29"/>
        <v>0</v>
      </c>
      <c r="AU29" s="485">
        <f t="shared" si="30"/>
        <v>0</v>
      </c>
      <c r="AV29" s="494" t="s">
        <v>17</v>
      </c>
      <c r="AW29" s="500"/>
      <c r="AX29" s="501">
        <f t="shared" si="4"/>
        <v>0</v>
      </c>
      <c r="AY29" s="502"/>
      <c r="AZ29" s="501">
        <f t="shared" si="5"/>
        <v>0</v>
      </c>
      <c r="BA29" s="503">
        <f t="shared" si="6"/>
        <v>0</v>
      </c>
      <c r="BB29" s="504">
        <f t="shared" si="31"/>
        <v>0</v>
      </c>
      <c r="BC29" s="505">
        <f t="shared" si="7"/>
        <v>0</v>
      </c>
      <c r="BD29" s="492" t="s">
        <v>65</v>
      </c>
      <c r="BE29" s="547">
        <f t="shared" si="32"/>
        <v>0</v>
      </c>
      <c r="BF29" s="493">
        <f t="shared" si="33"/>
        <v>0</v>
      </c>
      <c r="BG29" s="551">
        <f t="shared" si="8"/>
        <v>0</v>
      </c>
      <c r="BH29" s="546">
        <f t="shared" si="9"/>
        <v>0</v>
      </c>
      <c r="BI29" s="549">
        <f t="shared" si="10"/>
        <v>0</v>
      </c>
    </row>
    <row r="30" spans="2:61" s="6" customFormat="1" x14ac:dyDescent="0.25">
      <c r="J30" s="7"/>
      <c r="K30" s="205"/>
      <c r="L30" s="7"/>
      <c r="M30" s="7"/>
      <c r="N30" s="7"/>
      <c r="O30" s="7"/>
      <c r="P30" s="7"/>
      <c r="Q30" s="7"/>
      <c r="R30" s="7"/>
      <c r="S30" s="7"/>
      <c r="T30" s="7"/>
      <c r="U30" s="7"/>
      <c r="V30" s="7"/>
      <c r="W30" s="254"/>
      <c r="X30" s="351"/>
      <c r="Y30" s="274"/>
      <c r="Z30" s="274"/>
      <c r="AA30" s="274"/>
      <c r="AB30" s="274"/>
      <c r="AC30" s="274"/>
      <c r="AD30" s="274"/>
      <c r="AE30" s="274"/>
      <c r="AF30" s="274"/>
      <c r="AG30" s="274"/>
      <c r="AH30" s="274"/>
      <c r="AI30" s="274"/>
      <c r="AJ30" s="274"/>
      <c r="AK30" s="274"/>
      <c r="AL30" s="274"/>
      <c r="AM30" s="274"/>
      <c r="AN30" s="297"/>
      <c r="AO30" s="298"/>
      <c r="AP30" s="298"/>
      <c r="AQ30" s="274"/>
      <c r="AR30" s="274"/>
      <c r="AS30" s="274"/>
      <c r="AT30" s="274"/>
      <c r="AU30" s="274"/>
      <c r="AV30" s="298"/>
      <c r="AW30" s="298"/>
      <c r="AX30" s="298"/>
      <c r="AY30" s="274"/>
      <c r="AZ30" s="274"/>
      <c r="BA30" s="274"/>
      <c r="BB30" s="274"/>
      <c r="BC30" s="274"/>
      <c r="BD30" s="274"/>
      <c r="BE30" s="299"/>
      <c r="BF30" s="200"/>
    </row>
    <row r="31" spans="2:61" s="81" customFormat="1" ht="15.75" customHeight="1" x14ac:dyDescent="0.25">
      <c r="B31" s="82" t="s">
        <v>12</v>
      </c>
      <c r="C31" s="82"/>
      <c r="D31" s="82" t="s">
        <v>12</v>
      </c>
      <c r="E31" s="82"/>
      <c r="G31" s="82"/>
      <c r="H31" s="82"/>
      <c r="I31" s="82"/>
      <c r="J31" s="83"/>
      <c r="K31" s="201"/>
      <c r="L31" s="83"/>
      <c r="M31" s="83"/>
      <c r="N31" s="83"/>
      <c r="W31" s="255"/>
      <c r="X31" s="300"/>
      <c r="Y31" s="255"/>
      <c r="Z31" s="255"/>
      <c r="AA31" s="255"/>
      <c r="AB31" s="255"/>
      <c r="AC31" s="255"/>
      <c r="AD31" s="255"/>
      <c r="AE31" s="255"/>
      <c r="AF31" s="255"/>
      <c r="AG31" s="255"/>
      <c r="AH31" s="255"/>
      <c r="AI31" s="255"/>
      <c r="AJ31" s="255"/>
      <c r="AK31" s="255"/>
      <c r="AL31" s="255"/>
      <c r="AM31" s="255"/>
      <c r="AN31" s="300"/>
      <c r="AO31" s="255"/>
      <c r="AP31" s="255"/>
      <c r="AQ31" s="255"/>
      <c r="AR31" s="255"/>
      <c r="AS31" s="255"/>
      <c r="AT31" s="255"/>
      <c r="AU31" s="255"/>
      <c r="AV31" s="255"/>
      <c r="AW31" s="255"/>
      <c r="AX31" s="255"/>
      <c r="AY31" s="255"/>
      <c r="AZ31" s="255"/>
      <c r="BA31" s="255"/>
      <c r="BB31" s="255"/>
      <c r="BC31" s="255"/>
      <c r="BD31" s="255"/>
      <c r="BE31" s="301"/>
      <c r="BF31" s="201"/>
    </row>
    <row r="32" spans="2:61" s="2" customFormat="1" hidden="1" x14ac:dyDescent="0.25">
      <c r="J32" s="84"/>
      <c r="K32" s="206"/>
      <c r="L32" s="84"/>
      <c r="M32" s="84"/>
      <c r="N32" s="84"/>
      <c r="O32" s="84"/>
      <c r="P32" s="206"/>
      <c r="Q32" s="206"/>
      <c r="R32" s="206"/>
      <c r="S32" s="206"/>
      <c r="T32" s="84"/>
      <c r="U32" s="85"/>
      <c r="V32" s="85"/>
      <c r="W32" s="256"/>
      <c r="X32" s="307"/>
      <c r="Y32" s="256"/>
      <c r="Z32" s="256"/>
      <c r="AA32" s="256"/>
      <c r="AB32" s="256"/>
      <c r="AC32" s="256"/>
      <c r="AD32" s="256"/>
      <c r="AE32" s="256"/>
      <c r="AF32" s="256"/>
      <c r="AG32" s="256"/>
      <c r="AH32" s="256"/>
      <c r="AI32" s="256"/>
      <c r="AJ32" s="256"/>
      <c r="AK32" s="256"/>
      <c r="AL32" s="302"/>
      <c r="AM32" s="256"/>
      <c r="AN32" s="303"/>
      <c r="AO32" s="302"/>
      <c r="AP32" s="256"/>
      <c r="AQ32" s="256"/>
      <c r="AR32" s="256"/>
      <c r="AS32" s="256"/>
      <c r="AT32" s="302"/>
      <c r="AU32" s="256"/>
      <c r="AV32" s="302"/>
      <c r="AW32" s="302"/>
      <c r="AX32" s="256"/>
      <c r="AY32" s="256"/>
      <c r="AZ32" s="256"/>
      <c r="BA32" s="256"/>
      <c r="BB32" s="256"/>
      <c r="BC32" s="256"/>
      <c r="BD32" s="256"/>
      <c r="BE32" s="304"/>
      <c r="BF32" s="202"/>
    </row>
    <row r="33" spans="2:58" s="2" customFormat="1" hidden="1" x14ac:dyDescent="0.25">
      <c r="B33" s="86"/>
      <c r="C33" s="86"/>
      <c r="D33" s="86"/>
      <c r="E33" s="86"/>
      <c r="F33" s="86" t="s">
        <v>172</v>
      </c>
      <c r="G33" s="86"/>
      <c r="H33" s="4"/>
      <c r="I33" s="4"/>
      <c r="J33" s="8"/>
      <c r="K33" s="207"/>
      <c r="L33" s="244"/>
      <c r="M33" s="244"/>
      <c r="N33" s="4"/>
      <c r="O33" s="4"/>
      <c r="P33" s="216"/>
      <c r="Q33" s="216"/>
      <c r="R33" s="244"/>
      <c r="S33" s="244"/>
      <c r="T33" s="4"/>
      <c r="U33" s="85"/>
      <c r="V33" s="85"/>
      <c r="W33" s="256"/>
      <c r="X33" s="307"/>
      <c r="Y33" s="256"/>
      <c r="Z33" s="256"/>
      <c r="AA33" s="256"/>
      <c r="AB33" s="256"/>
      <c r="AC33" s="256"/>
      <c r="AD33" s="256"/>
      <c r="AE33" s="256"/>
      <c r="AF33" s="256"/>
      <c r="AG33" s="256"/>
      <c r="AH33" s="256"/>
      <c r="AI33" s="256"/>
      <c r="AJ33" s="256"/>
      <c r="AK33" s="302"/>
      <c r="AL33" s="256"/>
      <c r="AM33" s="302"/>
      <c r="AN33" s="303"/>
      <c r="AO33" s="256"/>
      <c r="AP33" s="256"/>
      <c r="AQ33" s="256"/>
      <c r="AR33" s="256"/>
      <c r="AS33" s="302"/>
      <c r="AT33" s="256"/>
      <c r="AU33" s="302"/>
      <c r="AV33" s="302"/>
      <c r="AW33" s="256"/>
      <c r="AX33" s="256"/>
      <c r="AY33" s="256"/>
      <c r="AZ33" s="256"/>
      <c r="BA33" s="256"/>
      <c r="BB33" s="256"/>
      <c r="BC33" s="256"/>
      <c r="BD33" s="256"/>
      <c r="BE33" s="304"/>
      <c r="BF33" s="202"/>
    </row>
    <row r="34" spans="2:58" s="2" customFormat="1" ht="15.75" hidden="1" customHeight="1" x14ac:dyDescent="0.25">
      <c r="B34" s="4"/>
      <c r="C34" s="4"/>
      <c r="D34" s="4"/>
      <c r="E34" s="4"/>
      <c r="F34" s="4"/>
      <c r="G34" s="4"/>
      <c r="H34" s="4"/>
      <c r="I34" s="4"/>
      <c r="J34" s="8"/>
      <c r="K34" s="207"/>
      <c r="L34" s="239"/>
      <c r="M34" s="239"/>
      <c r="N34" s="4"/>
      <c r="O34" s="4"/>
      <c r="P34" s="217"/>
      <c r="Q34" s="217"/>
      <c r="R34" s="239"/>
      <c r="S34" s="239"/>
      <c r="T34" s="4"/>
      <c r="U34" s="4"/>
      <c r="V34" s="4"/>
      <c r="W34" s="256"/>
      <c r="X34" s="307"/>
      <c r="Z34" s="256"/>
      <c r="AA34" s="256"/>
      <c r="AB34" s="305" t="s">
        <v>94</v>
      </c>
      <c r="AC34" s="305" t="s">
        <v>501</v>
      </c>
      <c r="AD34" s="256"/>
      <c r="AE34" s="256"/>
      <c r="AF34" s="306" t="s">
        <v>59</v>
      </c>
      <c r="AG34" s="256"/>
      <c r="AH34" s="256"/>
      <c r="AI34" s="256"/>
      <c r="AJ34" s="256"/>
      <c r="AK34" s="256"/>
      <c r="AL34" s="256"/>
      <c r="AM34" s="256"/>
      <c r="AN34" s="307"/>
      <c r="AO34" s="302"/>
      <c r="AP34" s="256"/>
      <c r="AQ34" s="302"/>
      <c r="AR34" s="302"/>
      <c r="AS34" s="256"/>
      <c r="AT34" s="256"/>
      <c r="AU34" s="256"/>
      <c r="AV34" s="256"/>
      <c r="AW34" s="302"/>
      <c r="AX34" s="256"/>
      <c r="AY34" s="302"/>
      <c r="AZ34" s="302"/>
      <c r="BA34" s="256"/>
      <c r="BB34" s="256"/>
      <c r="BC34" s="256"/>
      <c r="BD34" s="256"/>
      <c r="BE34" s="304"/>
      <c r="BF34" s="202"/>
    </row>
    <row r="35" spans="2:58" s="2" customFormat="1" ht="51.75" hidden="1" customHeight="1" x14ac:dyDescent="0.25">
      <c r="H35" s="275" t="s">
        <v>121</v>
      </c>
      <c r="I35" s="275" t="s">
        <v>201</v>
      </c>
      <c r="K35" s="88"/>
      <c r="L35" s="245" t="s">
        <v>392</v>
      </c>
      <c r="M35" s="266" t="s">
        <v>391</v>
      </c>
      <c r="N35" s="88"/>
      <c r="O35" s="87" t="s">
        <v>413</v>
      </c>
      <c r="P35" s="326" t="s">
        <v>380</v>
      </c>
      <c r="Q35" s="240"/>
      <c r="R35" s="245" t="s">
        <v>387</v>
      </c>
      <c r="S35" s="413"/>
      <c r="T35" s="88"/>
      <c r="U35" s="88"/>
      <c r="V35" s="88"/>
      <c r="W35" s="257" t="s">
        <v>58</v>
      </c>
      <c r="X35" s="308" t="s">
        <v>101</v>
      </c>
      <c r="Y35" s="308" t="s">
        <v>415</v>
      </c>
      <c r="Z35" s="308" t="s">
        <v>18</v>
      </c>
      <c r="AA35" s="308" t="s">
        <v>111</v>
      </c>
      <c r="AB35" s="308" t="s">
        <v>78</v>
      </c>
      <c r="AC35" s="308" t="s">
        <v>10</v>
      </c>
      <c r="AD35" s="308" t="s">
        <v>107</v>
      </c>
      <c r="AE35" s="256"/>
      <c r="AF35" s="308" t="s">
        <v>174</v>
      </c>
      <c r="AG35" s="256"/>
      <c r="AH35" s="688"/>
      <c r="AI35" s="688"/>
      <c r="AJ35" s="688"/>
      <c r="AK35" s="256"/>
      <c r="AL35" s="256"/>
      <c r="AM35" s="275" t="s">
        <v>121</v>
      </c>
      <c r="AN35" s="344" t="s">
        <v>101</v>
      </c>
      <c r="AO35" s="344" t="s">
        <v>415</v>
      </c>
      <c r="AP35" s="341" t="s">
        <v>111</v>
      </c>
      <c r="AQ35" s="341" t="s">
        <v>18</v>
      </c>
      <c r="AR35" s="302"/>
      <c r="AS35" s="256"/>
      <c r="AT35" s="256"/>
      <c r="AU35" s="256"/>
      <c r="AV35" s="256"/>
      <c r="AW35" s="302"/>
      <c r="AX35" s="256"/>
      <c r="AY35" s="302"/>
      <c r="AZ35" s="302"/>
      <c r="BA35" s="256"/>
      <c r="BB35" s="256"/>
      <c r="BC35" s="256"/>
      <c r="BD35" s="309" t="s">
        <v>79</v>
      </c>
      <c r="BE35" s="304"/>
      <c r="BF35" s="202"/>
    </row>
    <row r="36" spans="2:58" s="2" customFormat="1" ht="15" hidden="1" customHeight="1" x14ac:dyDescent="0.25">
      <c r="H36" s="276" t="s">
        <v>17</v>
      </c>
      <c r="I36" s="110"/>
      <c r="K36" s="208"/>
      <c r="L36" s="267" t="s">
        <v>17</v>
      </c>
      <c r="M36" s="268" t="s">
        <v>17</v>
      </c>
      <c r="N36" s="89"/>
      <c r="O36" s="330"/>
      <c r="P36" s="327" t="s">
        <v>17</v>
      </c>
      <c r="Q36" s="241"/>
      <c r="R36" s="246" t="s">
        <v>17</v>
      </c>
      <c r="S36" s="414"/>
      <c r="T36" s="89"/>
      <c r="U36" s="89"/>
      <c r="V36" s="89"/>
      <c r="W36" s="258" t="s">
        <v>17</v>
      </c>
      <c r="X36" s="260" t="s">
        <v>17</v>
      </c>
      <c r="Y36" s="310"/>
      <c r="Z36" s="310"/>
      <c r="AA36" s="310"/>
      <c r="AB36" s="310"/>
      <c r="AC36" s="310"/>
      <c r="AD36" s="311"/>
      <c r="AE36" s="256"/>
      <c r="AF36" s="312"/>
      <c r="AG36" s="256"/>
      <c r="AH36" s="256"/>
      <c r="AI36" s="256"/>
      <c r="AJ36" s="256"/>
      <c r="AK36" s="256"/>
      <c r="AL36" s="256"/>
      <c r="AM36" s="276" t="s">
        <v>17</v>
      </c>
      <c r="AN36" s="345" t="s">
        <v>17</v>
      </c>
      <c r="AO36" s="346"/>
      <c r="AP36" s="342"/>
      <c r="AQ36" s="343"/>
      <c r="AR36" s="302"/>
      <c r="AS36" s="256"/>
      <c r="AT36" s="256"/>
      <c r="AU36" s="256"/>
      <c r="AV36" s="256"/>
      <c r="AW36" s="302"/>
      <c r="AX36" s="256"/>
      <c r="AY36" s="302"/>
      <c r="AZ36" s="302"/>
      <c r="BA36" s="256"/>
      <c r="BB36" s="256"/>
      <c r="BC36" s="256"/>
      <c r="BD36" s="309" t="s">
        <v>17</v>
      </c>
      <c r="BE36" s="304"/>
      <c r="BF36" s="202"/>
    </row>
    <row r="37" spans="2:58" s="2" customFormat="1" ht="39" hidden="1" x14ac:dyDescent="0.25">
      <c r="H37" s="277" t="s">
        <v>82</v>
      </c>
      <c r="I37" s="111" t="s">
        <v>274</v>
      </c>
      <c r="K37" s="209"/>
      <c r="L37" s="280" t="s">
        <v>393</v>
      </c>
      <c r="M37" s="281" t="s">
        <v>82</v>
      </c>
      <c r="N37" s="91"/>
      <c r="O37" s="331">
        <v>15</v>
      </c>
      <c r="P37" s="328" t="s">
        <v>63</v>
      </c>
      <c r="Q37" s="242"/>
      <c r="R37" s="247" t="s">
        <v>388</v>
      </c>
      <c r="S37" s="415"/>
      <c r="T37" s="91"/>
      <c r="U37" s="91"/>
      <c r="V37" s="91"/>
      <c r="W37" s="259" t="s">
        <v>68</v>
      </c>
      <c r="X37" s="340" t="s">
        <v>73</v>
      </c>
      <c r="Y37" s="338">
        <f>0.1537*42.015</f>
        <v>6.4577055000000003</v>
      </c>
      <c r="Z37" s="313" t="s">
        <v>11</v>
      </c>
      <c r="AA37" s="313" t="s">
        <v>114</v>
      </c>
      <c r="AB37" s="313" t="s">
        <v>91</v>
      </c>
      <c r="AC37" s="314">
        <v>8.599999999999999E-5</v>
      </c>
      <c r="AD37" s="315">
        <v>1.1732028241934558</v>
      </c>
      <c r="AE37" s="316" t="s">
        <v>82</v>
      </c>
      <c r="AF37" s="312">
        <f>+Calculadores!B9</f>
        <v>1380</v>
      </c>
      <c r="AG37" s="256"/>
      <c r="AH37" s="317"/>
      <c r="AI37" s="256"/>
      <c r="AJ37" s="318"/>
      <c r="AK37" s="256"/>
      <c r="AL37" s="256"/>
      <c r="AM37" s="277" t="str">
        <f>+H37</f>
        <v>Paneles solares térmicos</v>
      </c>
      <c r="AN37" s="347" t="s">
        <v>73</v>
      </c>
      <c r="AO37" s="348">
        <f>0.1551*43.553</f>
        <v>6.755070299999999</v>
      </c>
      <c r="AP37" s="343" t="s">
        <v>114</v>
      </c>
      <c r="AQ37" s="343" t="s">
        <v>11</v>
      </c>
      <c r="AR37" s="302"/>
      <c r="AS37" s="256"/>
      <c r="AT37" s="256"/>
      <c r="AU37" s="256"/>
      <c r="AV37" s="256"/>
      <c r="AW37" s="302"/>
      <c r="AX37" s="256"/>
      <c r="AY37" s="302"/>
      <c r="AZ37" s="302"/>
      <c r="BA37" s="256"/>
      <c r="BB37" s="256"/>
      <c r="BC37" s="256"/>
      <c r="BD37" s="312" t="s">
        <v>65</v>
      </c>
      <c r="BE37" s="304"/>
      <c r="BF37" s="202"/>
    </row>
    <row r="38" spans="2:58" s="2" customFormat="1" ht="51.75" hidden="1" x14ac:dyDescent="0.25">
      <c r="H38" s="277" t="s">
        <v>377</v>
      </c>
      <c r="I38" s="111" t="s">
        <v>202</v>
      </c>
      <c r="K38" s="210"/>
      <c r="L38" s="280" t="s">
        <v>395</v>
      </c>
      <c r="M38" s="281" t="s">
        <v>398</v>
      </c>
      <c r="N38" s="91"/>
      <c r="O38" s="331">
        <v>20</v>
      </c>
      <c r="P38" s="329" t="s">
        <v>65</v>
      </c>
      <c r="Q38" s="243"/>
      <c r="R38" s="248" t="s">
        <v>442</v>
      </c>
      <c r="S38" s="415"/>
      <c r="T38" s="91"/>
      <c r="U38" s="91"/>
      <c r="V38" s="91"/>
      <c r="W38" s="260" t="s">
        <v>69</v>
      </c>
      <c r="X38" s="340" t="s">
        <v>73</v>
      </c>
      <c r="Y38" s="338">
        <f t="shared" ref="Y38:Y43" si="38">0.1537*42.015</f>
        <v>6.4577055000000003</v>
      </c>
      <c r="Z38" s="313" t="s">
        <v>11</v>
      </c>
      <c r="AA38" s="313" t="s">
        <v>114</v>
      </c>
      <c r="AB38" s="313" t="s">
        <v>91</v>
      </c>
      <c r="AC38" s="314">
        <v>8.599999999999999E-5</v>
      </c>
      <c r="AD38" s="315">
        <v>1.1732028241934558</v>
      </c>
      <c r="AE38" s="316" t="s">
        <v>377</v>
      </c>
      <c r="AF38" s="312"/>
      <c r="AG38" s="256"/>
      <c r="AH38" s="256"/>
      <c r="AI38" s="256"/>
      <c r="AJ38" s="318"/>
      <c r="AK38" s="256"/>
      <c r="AL38" s="256"/>
      <c r="AM38" s="277" t="str">
        <f t="shared" ref="AM38:AM47" si="39">+H38</f>
        <v>Paneles fotovoltaicos para autoconsumo</v>
      </c>
      <c r="AN38" s="347" t="s">
        <v>73</v>
      </c>
      <c r="AO38" s="348">
        <f>+AO37</f>
        <v>6.755070299999999</v>
      </c>
      <c r="AP38" s="343" t="s">
        <v>114</v>
      </c>
      <c r="AQ38" s="343" t="s">
        <v>11</v>
      </c>
      <c r="AR38" s="302"/>
      <c r="AS38" s="256"/>
      <c r="AT38" s="256"/>
      <c r="AU38" s="256"/>
      <c r="AV38" s="256"/>
      <c r="AW38" s="302"/>
      <c r="AX38" s="256"/>
      <c r="AY38" s="302"/>
      <c r="AZ38" s="302"/>
      <c r="BA38" s="256"/>
      <c r="BB38" s="256"/>
      <c r="BC38" s="256"/>
      <c r="BD38" s="312" t="s">
        <v>63</v>
      </c>
      <c r="BE38" s="304"/>
      <c r="BF38" s="202"/>
    </row>
    <row r="39" spans="2:58" s="2" customFormat="1" ht="34.5" hidden="1" customHeight="1" x14ac:dyDescent="0.25">
      <c r="H39" s="278" t="s">
        <v>374</v>
      </c>
      <c r="I39" s="111" t="s">
        <v>272</v>
      </c>
      <c r="K39" s="211"/>
      <c r="L39" s="280" t="s">
        <v>393</v>
      </c>
      <c r="M39" s="282" t="s">
        <v>374</v>
      </c>
      <c r="N39" s="91"/>
      <c r="O39" s="331">
        <v>10</v>
      </c>
      <c r="P39" s="211"/>
      <c r="Q39" s="211"/>
      <c r="R39" s="248" t="s">
        <v>443</v>
      </c>
      <c r="S39" s="415"/>
      <c r="T39" s="91"/>
      <c r="U39" s="91"/>
      <c r="V39" s="91"/>
      <c r="W39" s="260" t="s">
        <v>70</v>
      </c>
      <c r="X39" s="340" t="s">
        <v>73</v>
      </c>
      <c r="Y39" s="338">
        <f t="shared" si="38"/>
        <v>6.4577055000000003</v>
      </c>
      <c r="Z39" s="313" t="s">
        <v>11</v>
      </c>
      <c r="AA39" s="313" t="s">
        <v>114</v>
      </c>
      <c r="AB39" s="313" t="s">
        <v>91</v>
      </c>
      <c r="AC39" s="314">
        <v>8.599999999999999E-5</v>
      </c>
      <c r="AD39" s="315">
        <v>1.1732028241934558</v>
      </c>
      <c r="AE39" s="319" t="s">
        <v>374</v>
      </c>
      <c r="AF39" s="312"/>
      <c r="AG39" s="256"/>
      <c r="AH39" s="320"/>
      <c r="AI39" s="256"/>
      <c r="AJ39" s="318"/>
      <c r="AK39" s="256"/>
      <c r="AL39" s="256"/>
      <c r="AM39" s="277" t="str">
        <f t="shared" si="39"/>
        <v>Termotanques eléctricos - Clase A</v>
      </c>
      <c r="AN39" s="347" t="s">
        <v>73</v>
      </c>
      <c r="AO39" s="348">
        <f t="shared" ref="AO39:AO43" si="40">+AO38</f>
        <v>6.755070299999999</v>
      </c>
      <c r="AP39" s="343" t="s">
        <v>114</v>
      </c>
      <c r="AQ39" s="343" t="s">
        <v>11</v>
      </c>
      <c r="AR39" s="302"/>
      <c r="AS39" s="256"/>
      <c r="AT39" s="256"/>
      <c r="AU39" s="256"/>
      <c r="AV39" s="256"/>
      <c r="AW39" s="302"/>
      <c r="AX39" s="256"/>
      <c r="AY39" s="302"/>
      <c r="AZ39" s="302"/>
      <c r="BA39" s="256"/>
      <c r="BB39" s="256"/>
      <c r="BC39" s="256"/>
      <c r="BD39" s="256"/>
      <c r="BE39" s="304"/>
      <c r="BF39" s="202"/>
    </row>
    <row r="40" spans="2:58" s="2" customFormat="1" ht="26.25" hidden="1" x14ac:dyDescent="0.25">
      <c r="H40" s="277" t="s">
        <v>375</v>
      </c>
      <c r="I40" s="111" t="s">
        <v>271</v>
      </c>
      <c r="K40" s="211"/>
      <c r="L40" s="280" t="s">
        <v>394</v>
      </c>
      <c r="M40" s="281" t="s">
        <v>399</v>
      </c>
      <c r="N40" s="91"/>
      <c r="O40" s="331">
        <v>12</v>
      </c>
      <c r="P40" s="202"/>
      <c r="Q40" s="202"/>
      <c r="R40" s="248" t="s">
        <v>444</v>
      </c>
      <c r="S40" s="415"/>
      <c r="T40" s="91"/>
      <c r="U40" s="91"/>
      <c r="V40" s="91"/>
      <c r="W40" s="261"/>
      <c r="X40" s="340" t="s">
        <v>73</v>
      </c>
      <c r="Y40" s="338">
        <f t="shared" si="38"/>
        <v>6.4577055000000003</v>
      </c>
      <c r="Z40" s="313" t="s">
        <v>11</v>
      </c>
      <c r="AA40" s="313" t="s">
        <v>114</v>
      </c>
      <c r="AB40" s="313" t="s">
        <v>91</v>
      </c>
      <c r="AC40" s="314">
        <v>8.599999999999999E-5</v>
      </c>
      <c r="AD40" s="315">
        <v>1.1732028241934558</v>
      </c>
      <c r="AE40" s="316" t="s">
        <v>375</v>
      </c>
      <c r="AF40" s="312"/>
      <c r="AG40" s="256"/>
      <c r="AH40" s="320"/>
      <c r="AI40" s="256"/>
      <c r="AJ40" s="318"/>
      <c r="AK40" s="256"/>
      <c r="AL40" s="256"/>
      <c r="AM40" s="277" t="str">
        <f t="shared" si="39"/>
        <v>Refrigeradores - Clase A</v>
      </c>
      <c r="AN40" s="347" t="s">
        <v>73</v>
      </c>
      <c r="AO40" s="348">
        <f t="shared" si="40"/>
        <v>6.755070299999999</v>
      </c>
      <c r="AP40" s="343" t="s">
        <v>114</v>
      </c>
      <c r="AQ40" s="343" t="s">
        <v>11</v>
      </c>
      <c r="AR40" s="302"/>
      <c r="AS40" s="256"/>
      <c r="AT40" s="256"/>
      <c r="AU40" s="256"/>
      <c r="AV40" s="256"/>
      <c r="AW40" s="302"/>
      <c r="AX40" s="256"/>
      <c r="AY40" s="302"/>
      <c r="AZ40" s="302"/>
      <c r="BA40" s="256"/>
      <c r="BB40" s="256"/>
      <c r="BC40" s="256"/>
      <c r="BD40" s="256"/>
      <c r="BE40" s="304"/>
      <c r="BF40" s="202"/>
    </row>
    <row r="41" spans="2:58" s="2" customFormat="1" ht="39" hidden="1" x14ac:dyDescent="0.25">
      <c r="H41" s="278" t="s">
        <v>373</v>
      </c>
      <c r="I41" s="111" t="s">
        <v>206</v>
      </c>
      <c r="K41" s="202"/>
      <c r="L41" s="280" t="s">
        <v>403</v>
      </c>
      <c r="M41" s="282" t="s">
        <v>373</v>
      </c>
      <c r="O41" s="90">
        <v>8</v>
      </c>
      <c r="P41" s="211"/>
      <c r="Q41" s="211"/>
      <c r="R41" s="248" t="s">
        <v>445</v>
      </c>
      <c r="S41" s="415"/>
      <c r="W41" s="261"/>
      <c r="X41" s="340" t="s">
        <v>73</v>
      </c>
      <c r="Y41" s="338">
        <f t="shared" si="38"/>
        <v>6.4577055000000003</v>
      </c>
      <c r="Z41" s="313" t="s">
        <v>11</v>
      </c>
      <c r="AA41" s="313" t="s">
        <v>114</v>
      </c>
      <c r="AB41" s="313" t="s">
        <v>91</v>
      </c>
      <c r="AC41" s="314">
        <v>8.599999999999999E-5</v>
      </c>
      <c r="AD41" s="315">
        <v>1.1732028241934558</v>
      </c>
      <c r="AE41" s="319" t="s">
        <v>373</v>
      </c>
      <c r="AF41" s="312"/>
      <c r="AG41" s="256"/>
      <c r="AH41" s="320"/>
      <c r="AI41" s="256"/>
      <c r="AJ41" s="318"/>
      <c r="AK41" s="256"/>
      <c r="AL41" s="256"/>
      <c r="AM41" s="277" t="str">
        <f t="shared" si="39"/>
        <v>Acondicionadores de aire - Clase A</v>
      </c>
      <c r="AN41" s="347" t="s">
        <v>73</v>
      </c>
      <c r="AO41" s="348">
        <f t="shared" si="40"/>
        <v>6.755070299999999</v>
      </c>
      <c r="AP41" s="343" t="s">
        <v>114</v>
      </c>
      <c r="AQ41" s="343" t="s">
        <v>11</v>
      </c>
      <c r="AR41" s="302"/>
      <c r="AS41" s="256"/>
      <c r="AT41" s="256"/>
      <c r="AU41" s="256"/>
      <c r="AV41" s="256"/>
      <c r="AW41" s="302"/>
      <c r="AX41" s="256"/>
      <c r="AY41" s="302"/>
      <c r="AZ41" s="302"/>
      <c r="BA41" s="256"/>
      <c r="BB41" s="256"/>
      <c r="BC41" s="256"/>
      <c r="BD41" s="256"/>
      <c r="BE41" s="304"/>
      <c r="BF41" s="202"/>
    </row>
    <row r="42" spans="2:58" s="2" customFormat="1" ht="28.5" hidden="1" customHeight="1" x14ac:dyDescent="0.25">
      <c r="H42" s="277" t="s">
        <v>254</v>
      </c>
      <c r="I42" s="111" t="s">
        <v>275</v>
      </c>
      <c r="K42" s="211"/>
      <c r="L42" s="280" t="s">
        <v>396</v>
      </c>
      <c r="M42" s="282" t="s">
        <v>404</v>
      </c>
      <c r="N42" s="91"/>
      <c r="O42" s="332">
        <v>9.615384615384615</v>
      </c>
      <c r="P42" s="91" t="s">
        <v>414</v>
      </c>
      <c r="Q42" s="211"/>
      <c r="R42" s="249" t="s">
        <v>475</v>
      </c>
      <c r="S42" s="416"/>
      <c r="T42" s="91"/>
      <c r="U42" s="91"/>
      <c r="V42" s="91"/>
      <c r="W42" s="261"/>
      <c r="X42" s="340" t="s">
        <v>73</v>
      </c>
      <c r="Y42" s="338">
        <f t="shared" si="38"/>
        <v>6.4577055000000003</v>
      </c>
      <c r="Z42" s="313" t="s">
        <v>11</v>
      </c>
      <c r="AA42" s="313" t="s">
        <v>114</v>
      </c>
      <c r="AB42" s="313" t="s">
        <v>91</v>
      </c>
      <c r="AC42" s="314">
        <v>8.599999999999999E-5</v>
      </c>
      <c r="AD42" s="315">
        <v>1.1732028241934558</v>
      </c>
      <c r="AE42" s="316" t="s">
        <v>254</v>
      </c>
      <c r="AF42" s="312"/>
      <c r="AG42" s="256"/>
      <c r="AH42" s="261"/>
      <c r="AI42" s="256"/>
      <c r="AJ42" s="318"/>
      <c r="AK42" s="256"/>
      <c r="AL42" s="256"/>
      <c r="AM42" s="277" t="str">
        <f t="shared" si="39"/>
        <v>Lámparas LED</v>
      </c>
      <c r="AN42" s="347" t="s">
        <v>73</v>
      </c>
      <c r="AO42" s="348">
        <f t="shared" si="40"/>
        <v>6.755070299999999</v>
      </c>
      <c r="AP42" s="343" t="s">
        <v>114</v>
      </c>
      <c r="AQ42" s="343" t="s">
        <v>11</v>
      </c>
      <c r="AR42" s="302"/>
      <c r="AS42" s="256"/>
      <c r="AT42" s="256"/>
      <c r="AU42" s="256"/>
      <c r="AV42" s="256"/>
      <c r="AW42" s="302"/>
      <c r="AX42" s="256"/>
      <c r="AY42" s="302"/>
      <c r="AZ42" s="302"/>
      <c r="BA42" s="256"/>
      <c r="BB42" s="256"/>
      <c r="BC42" s="256"/>
      <c r="BD42" s="256"/>
      <c r="BE42" s="304"/>
      <c r="BF42" s="202"/>
    </row>
    <row r="43" spans="2:58" s="2" customFormat="1" ht="30.75" hidden="1" customHeight="1" x14ac:dyDescent="0.25">
      <c r="H43" s="277" t="s">
        <v>255</v>
      </c>
      <c r="I43" s="111" t="s">
        <v>276</v>
      </c>
      <c r="K43" s="211"/>
      <c r="L43" s="280" t="s">
        <v>396</v>
      </c>
      <c r="M43" s="282" t="s">
        <v>404</v>
      </c>
      <c r="N43" s="91"/>
      <c r="O43" s="332">
        <v>9.615384615384615</v>
      </c>
      <c r="P43" s="91" t="s">
        <v>414</v>
      </c>
      <c r="Q43" s="211"/>
      <c r="R43" s="91"/>
      <c r="S43" s="91"/>
      <c r="T43" s="91"/>
      <c r="U43" s="91"/>
      <c r="V43" s="91"/>
      <c r="W43" s="261"/>
      <c r="X43" s="340" t="s">
        <v>73</v>
      </c>
      <c r="Y43" s="338">
        <f t="shared" si="38"/>
        <v>6.4577055000000003</v>
      </c>
      <c r="Z43" s="313" t="s">
        <v>11</v>
      </c>
      <c r="AA43" s="313" t="s">
        <v>114</v>
      </c>
      <c r="AB43" s="313" t="s">
        <v>91</v>
      </c>
      <c r="AC43" s="314">
        <v>8.599999999999999E-5</v>
      </c>
      <c r="AD43" s="315">
        <v>1.1732028241934558</v>
      </c>
      <c r="AE43" s="316" t="s">
        <v>255</v>
      </c>
      <c r="AF43" s="312"/>
      <c r="AG43" s="256"/>
      <c r="AH43" s="256"/>
      <c r="AI43" s="256"/>
      <c r="AJ43" s="318"/>
      <c r="AK43" s="256"/>
      <c r="AL43" s="256"/>
      <c r="AM43" s="277" t="str">
        <f t="shared" si="39"/>
        <v>Tubos LED</v>
      </c>
      <c r="AN43" s="347" t="s">
        <v>73</v>
      </c>
      <c r="AO43" s="348">
        <f t="shared" si="40"/>
        <v>6.755070299999999</v>
      </c>
      <c r="AP43" s="343" t="s">
        <v>114</v>
      </c>
      <c r="AQ43" s="343" t="s">
        <v>11</v>
      </c>
      <c r="AR43" s="302"/>
      <c r="AS43" s="256"/>
      <c r="AT43" s="256"/>
      <c r="AU43" s="256"/>
      <c r="AV43" s="256"/>
      <c r="AW43" s="302"/>
      <c r="AX43" s="256"/>
      <c r="AY43" s="302"/>
      <c r="AZ43" s="302"/>
      <c r="BA43" s="256"/>
      <c r="BB43" s="256"/>
      <c r="BC43" s="256"/>
      <c r="BD43" s="256"/>
      <c r="BE43" s="304"/>
      <c r="BF43" s="202"/>
    </row>
    <row r="44" spans="2:58" s="2" customFormat="1" ht="141" hidden="1" x14ac:dyDescent="0.25">
      <c r="H44" s="277" t="s">
        <v>340</v>
      </c>
      <c r="I44" s="111" t="s">
        <v>358</v>
      </c>
      <c r="K44" s="211"/>
      <c r="L44" s="280" t="s">
        <v>62</v>
      </c>
      <c r="M44" s="281" t="s">
        <v>401</v>
      </c>
      <c r="N44" s="91"/>
      <c r="O44" s="331">
        <v>12</v>
      </c>
      <c r="P44" s="211"/>
      <c r="Q44" s="211"/>
      <c r="R44" s="91"/>
      <c r="S44" s="91"/>
      <c r="T44" s="91"/>
      <c r="U44" s="91"/>
      <c r="V44" s="91"/>
      <c r="W44" s="261"/>
      <c r="X44" s="340" t="s">
        <v>106</v>
      </c>
      <c r="Y44" s="338">
        <v>70.81</v>
      </c>
      <c r="Z44" s="313" t="s">
        <v>15</v>
      </c>
      <c r="AA44" s="313" t="s">
        <v>115</v>
      </c>
      <c r="AB44" s="313" t="s">
        <v>90</v>
      </c>
      <c r="AC44" s="314">
        <v>7.8470000000000005E-4</v>
      </c>
      <c r="AD44" s="315">
        <v>2.9020067999999997</v>
      </c>
      <c r="AE44" s="316" t="s">
        <v>340</v>
      </c>
      <c r="AF44" s="312"/>
      <c r="AG44" s="256"/>
      <c r="AH44" s="256"/>
      <c r="AI44" s="256"/>
      <c r="AJ44" s="318"/>
      <c r="AK44" s="256"/>
      <c r="AL44" s="256"/>
      <c r="AM44" s="277" t="str">
        <f t="shared" si="39"/>
        <v>Vehículos livianos eléctricos puros categorías M1, N1 y N2 con batería de litio o superior densidad de energía gravimétrica</v>
      </c>
      <c r="AN44" s="347" t="s">
        <v>418</v>
      </c>
      <c r="AO44" s="348">
        <v>2.0939999999999999</v>
      </c>
      <c r="AP44" s="343" t="s">
        <v>114</v>
      </c>
      <c r="AQ44" s="343" t="s">
        <v>11</v>
      </c>
      <c r="AR44" s="302"/>
      <c r="AS44" s="256"/>
      <c r="AT44" s="256"/>
      <c r="AU44" s="256"/>
      <c r="AV44" s="256"/>
      <c r="AW44" s="302"/>
      <c r="AX44" s="256"/>
      <c r="AY44" s="302"/>
      <c r="AZ44" s="302"/>
      <c r="BA44" s="256"/>
      <c r="BB44" s="256"/>
      <c r="BC44" s="256"/>
      <c r="BD44" s="256"/>
      <c r="BE44" s="304"/>
      <c r="BF44" s="202"/>
    </row>
    <row r="45" spans="2:58" s="2" customFormat="1" ht="141" hidden="1" x14ac:dyDescent="0.25">
      <c r="H45" s="277" t="s">
        <v>341</v>
      </c>
      <c r="I45" s="111" t="s">
        <v>358</v>
      </c>
      <c r="K45" s="211"/>
      <c r="L45" s="280" t="s">
        <v>62</v>
      </c>
      <c r="M45" s="281" t="s">
        <v>401</v>
      </c>
      <c r="N45" s="91"/>
      <c r="O45" s="331">
        <v>7</v>
      </c>
      <c r="P45" s="211"/>
      <c r="Q45" s="211"/>
      <c r="R45" s="91"/>
      <c r="S45" s="91"/>
      <c r="T45" s="91"/>
      <c r="U45" s="91"/>
      <c r="V45" s="91"/>
      <c r="W45" s="261"/>
      <c r="X45" s="340" t="s">
        <v>106</v>
      </c>
      <c r="Y45" s="338">
        <v>70.81</v>
      </c>
      <c r="Z45" s="313" t="s">
        <v>15</v>
      </c>
      <c r="AA45" s="313" t="s">
        <v>115</v>
      </c>
      <c r="AB45" s="313" t="s">
        <v>90</v>
      </c>
      <c r="AC45" s="314">
        <v>7.8470000000000005E-4</v>
      </c>
      <c r="AD45" s="315">
        <v>2.9020067999999997</v>
      </c>
      <c r="AE45" s="316" t="s">
        <v>341</v>
      </c>
      <c r="AF45" s="312"/>
      <c r="AG45" s="256"/>
      <c r="AH45" s="256"/>
      <c r="AI45" s="256"/>
      <c r="AJ45" s="318"/>
      <c r="AK45" s="256"/>
      <c r="AL45" s="256"/>
      <c r="AM45" s="277" t="str">
        <f t="shared" si="39"/>
        <v>Otros vehículos livianos eléctricos puros de 4 o 3 ruedas con batería de litio o superior densidad de energía gravimétrica</v>
      </c>
      <c r="AN45" s="347" t="s">
        <v>418</v>
      </c>
      <c r="AO45" s="348">
        <v>2.0939999999999999</v>
      </c>
      <c r="AP45" s="343" t="s">
        <v>114</v>
      </c>
      <c r="AQ45" s="343" t="s">
        <v>11</v>
      </c>
      <c r="AR45" s="302"/>
      <c r="AS45" s="256"/>
      <c r="AT45" s="256"/>
      <c r="AU45" s="256"/>
      <c r="AV45" s="256"/>
      <c r="AW45" s="302"/>
      <c r="AX45" s="256"/>
      <c r="AY45" s="302"/>
      <c r="AZ45" s="302"/>
      <c r="BA45" s="256"/>
      <c r="BB45" s="256"/>
      <c r="BC45" s="256"/>
      <c r="BD45" s="256"/>
      <c r="BE45" s="304"/>
      <c r="BF45" s="202"/>
    </row>
    <row r="46" spans="2:58" s="2" customFormat="1" ht="128.25" hidden="1" x14ac:dyDescent="0.25">
      <c r="E46" s="182"/>
      <c r="H46" s="279" t="s">
        <v>424</v>
      </c>
      <c r="I46" s="111" t="s">
        <v>358</v>
      </c>
      <c r="K46" s="211"/>
      <c r="L46" s="280" t="s">
        <v>62</v>
      </c>
      <c r="M46" s="281" t="s">
        <v>397</v>
      </c>
      <c r="N46" s="91"/>
      <c r="O46" s="331">
        <v>7</v>
      </c>
      <c r="P46" s="211"/>
      <c r="Q46" s="211"/>
      <c r="R46" s="91"/>
      <c r="S46" s="91"/>
      <c r="T46" s="91"/>
      <c r="U46" s="91"/>
      <c r="V46" s="91"/>
      <c r="W46" s="261"/>
      <c r="X46" s="340" t="s">
        <v>106</v>
      </c>
      <c r="Y46" s="338">
        <v>70.81</v>
      </c>
      <c r="Z46" s="313" t="s">
        <v>15</v>
      </c>
      <c r="AA46" s="313" t="s">
        <v>115</v>
      </c>
      <c r="AB46" s="313" t="s">
        <v>90</v>
      </c>
      <c r="AC46" s="314">
        <v>7.8470000000000005E-4</v>
      </c>
      <c r="AD46" s="315">
        <v>2.9020067999999997</v>
      </c>
      <c r="AE46" s="321" t="s">
        <v>376</v>
      </c>
      <c r="AF46" s="312"/>
      <c r="AG46" s="256"/>
      <c r="AH46" s="256"/>
      <c r="AI46" s="256"/>
      <c r="AJ46" s="318"/>
      <c r="AK46" s="256"/>
      <c r="AL46" s="256"/>
      <c r="AM46" s="277" t="str">
        <f t="shared" si="39"/>
        <v xml:space="preserve">Motocicleta eléctrica pura con batería de litio o superior densidad de energía gravimétrica, empadronadas </v>
      </c>
      <c r="AN46" s="347" t="s">
        <v>418</v>
      </c>
      <c r="AO46" s="348">
        <v>2.0939999999999999</v>
      </c>
      <c r="AP46" s="343" t="s">
        <v>114</v>
      </c>
      <c r="AQ46" s="343" t="s">
        <v>11</v>
      </c>
      <c r="AR46" s="302"/>
      <c r="AS46" s="256"/>
      <c r="AT46" s="256"/>
      <c r="AU46" s="256"/>
      <c r="AV46" s="256"/>
      <c r="AW46" s="302"/>
      <c r="AX46" s="256"/>
      <c r="AY46" s="302"/>
      <c r="AZ46" s="302"/>
      <c r="BA46" s="256"/>
      <c r="BB46" s="256"/>
      <c r="BC46" s="256"/>
      <c r="BD46" s="256"/>
      <c r="BE46" s="304"/>
      <c r="BF46" s="202"/>
    </row>
    <row r="47" spans="2:58" s="2" customFormat="1" ht="153.75" hidden="1" x14ac:dyDescent="0.25">
      <c r="H47" s="277" t="s">
        <v>378</v>
      </c>
      <c r="I47" s="111" t="s">
        <v>358</v>
      </c>
      <c r="K47" s="211"/>
      <c r="L47" s="280" t="s">
        <v>62</v>
      </c>
      <c r="M47" s="281" t="s">
        <v>400</v>
      </c>
      <c r="N47" s="91"/>
      <c r="O47" s="331">
        <v>12</v>
      </c>
      <c r="P47" s="211"/>
      <c r="Q47" s="211"/>
      <c r="R47" s="91"/>
      <c r="S47" s="91"/>
      <c r="T47" s="91"/>
      <c r="U47" s="91"/>
      <c r="V47" s="91"/>
      <c r="W47" s="261"/>
      <c r="X47" s="340" t="s">
        <v>106</v>
      </c>
      <c r="Y47" s="338">
        <v>70.81</v>
      </c>
      <c r="Z47" s="313" t="s">
        <v>15</v>
      </c>
      <c r="AA47" s="313" t="s">
        <v>115</v>
      </c>
      <c r="AB47" s="313" t="s">
        <v>90</v>
      </c>
      <c r="AC47" s="314">
        <v>7.8470000000000005E-4</v>
      </c>
      <c r="AD47" s="315">
        <v>2.9020067999999997</v>
      </c>
      <c r="AE47" s="316" t="s">
        <v>378</v>
      </c>
      <c r="AF47" s="312"/>
      <c r="AG47" s="256"/>
      <c r="AH47" s="256"/>
      <c r="AI47" s="256"/>
      <c r="AJ47" s="318"/>
      <c r="AK47" s="256"/>
      <c r="AL47" s="256"/>
      <c r="AM47" s="277" t="str">
        <f t="shared" si="39"/>
        <v>Taxis, remises o transporte de pasajeros por aplicaciones eléctricos puros con batería de litio o superior densidad de energía gravimétrica</v>
      </c>
      <c r="AN47" s="347" t="s">
        <v>418</v>
      </c>
      <c r="AO47" s="348">
        <v>2.0939999999999999</v>
      </c>
      <c r="AP47" s="343" t="s">
        <v>114</v>
      </c>
      <c r="AQ47" s="343" t="s">
        <v>11</v>
      </c>
      <c r="AR47" s="302"/>
      <c r="AS47" s="256"/>
      <c r="AT47" s="256"/>
      <c r="AU47" s="256"/>
      <c r="AV47" s="256"/>
      <c r="AW47" s="302"/>
      <c r="AX47" s="256"/>
      <c r="AY47" s="302"/>
      <c r="AZ47" s="302"/>
      <c r="BA47" s="256"/>
      <c r="BB47" s="256"/>
      <c r="BC47" s="256"/>
      <c r="BD47" s="256"/>
      <c r="BE47" s="304"/>
      <c r="BF47" s="202"/>
    </row>
    <row r="48" spans="2:58" s="2" customFormat="1" ht="26.25" hidden="1" x14ac:dyDescent="0.25">
      <c r="H48" s="554" t="s">
        <v>490</v>
      </c>
      <c r="I48" s="111" t="s">
        <v>499</v>
      </c>
      <c r="K48" s="211"/>
      <c r="L48" s="280" t="s">
        <v>62</v>
      </c>
      <c r="M48" s="554" t="s">
        <v>490</v>
      </c>
      <c r="N48" s="91"/>
      <c r="O48" s="331">
        <v>12</v>
      </c>
      <c r="P48" s="211"/>
      <c r="Q48" s="211"/>
      <c r="R48" s="91"/>
      <c r="S48" s="91"/>
      <c r="T48" s="91"/>
      <c r="U48" s="91"/>
      <c r="V48" s="91"/>
      <c r="W48" s="261"/>
      <c r="X48" s="340" t="s">
        <v>418</v>
      </c>
      <c r="Y48" s="348">
        <v>2.0939999999999999</v>
      </c>
      <c r="Z48" s="313" t="s">
        <v>11</v>
      </c>
      <c r="AA48" s="313" t="s">
        <v>114</v>
      </c>
      <c r="AB48" s="313" t="s">
        <v>91</v>
      </c>
      <c r="AC48" s="314">
        <v>8.599999999999999E-5</v>
      </c>
      <c r="AD48" s="315">
        <v>1.1732028241934558</v>
      </c>
      <c r="AE48" s="340"/>
      <c r="AF48" s="340"/>
      <c r="AG48" s="256"/>
      <c r="AH48" s="256"/>
      <c r="AI48" s="256"/>
      <c r="AJ48" s="256"/>
      <c r="AK48" s="256"/>
      <c r="AL48" s="256"/>
      <c r="AM48" s="554" t="s">
        <v>490</v>
      </c>
      <c r="AN48" s="347" t="s">
        <v>211</v>
      </c>
      <c r="AO48" s="348">
        <v>0</v>
      </c>
      <c r="AP48" s="343"/>
      <c r="AQ48" s="343"/>
      <c r="AR48" s="302"/>
      <c r="AS48" s="256"/>
      <c r="AT48" s="256"/>
      <c r="AU48" s="256"/>
      <c r="AV48" s="256"/>
      <c r="AW48" s="302"/>
      <c r="AX48" s="256"/>
      <c r="AY48" s="302"/>
      <c r="AZ48" s="302"/>
      <c r="BA48" s="256"/>
      <c r="BB48" s="256"/>
      <c r="BC48" s="256"/>
      <c r="BD48" s="256"/>
      <c r="BE48" s="304"/>
      <c r="BF48" s="202"/>
    </row>
    <row r="49" spans="2:58" s="2" customFormat="1" ht="26.25" hidden="1" x14ac:dyDescent="0.25">
      <c r="H49" s="554" t="s">
        <v>495</v>
      </c>
      <c r="I49" s="111" t="s">
        <v>499</v>
      </c>
      <c r="K49" s="211"/>
      <c r="L49" s="280" t="s">
        <v>62</v>
      </c>
      <c r="M49" s="554" t="s">
        <v>495</v>
      </c>
      <c r="N49" s="91"/>
      <c r="O49" s="331">
        <v>12</v>
      </c>
      <c r="P49" s="211"/>
      <c r="Q49" s="211"/>
      <c r="R49" s="91"/>
      <c r="S49" s="91"/>
      <c r="T49" s="91"/>
      <c r="U49" s="91"/>
      <c r="V49" s="91"/>
      <c r="W49" s="261"/>
      <c r="X49" s="340" t="s">
        <v>106</v>
      </c>
      <c r="Y49" s="338">
        <v>70.81</v>
      </c>
      <c r="Z49" s="313" t="s">
        <v>15</v>
      </c>
      <c r="AA49" s="313" t="s">
        <v>115</v>
      </c>
      <c r="AB49" s="313" t="s">
        <v>90</v>
      </c>
      <c r="AC49" s="314">
        <v>7.8470000000000005E-4</v>
      </c>
      <c r="AD49" s="315">
        <v>2.9020067999999997</v>
      </c>
      <c r="AE49" s="554" t="s">
        <v>490</v>
      </c>
      <c r="AF49" s="256"/>
      <c r="AG49" s="256"/>
      <c r="AH49" s="256"/>
      <c r="AI49" s="256"/>
      <c r="AJ49" s="256"/>
      <c r="AK49" s="256"/>
      <c r="AL49" s="256"/>
      <c r="AM49" s="554" t="s">
        <v>495</v>
      </c>
      <c r="AN49" s="347" t="s">
        <v>418</v>
      </c>
      <c r="AO49" s="348">
        <v>2.0939999999999999</v>
      </c>
      <c r="AP49" s="343" t="s">
        <v>114</v>
      </c>
      <c r="AQ49" s="343" t="s">
        <v>11</v>
      </c>
      <c r="AR49"/>
      <c r="AS49"/>
      <c r="AT49"/>
      <c r="AU49"/>
      <c r="AV49"/>
      <c r="AW49"/>
      <c r="AX49"/>
      <c r="AY49" s="302"/>
      <c r="AZ49" s="302"/>
      <c r="BA49" s="256"/>
      <c r="BB49" s="256"/>
      <c r="BC49" s="256"/>
      <c r="BD49" s="256"/>
      <c r="BE49" s="304"/>
      <c r="BF49" s="202"/>
    </row>
    <row r="50" spans="2:58" s="2" customFormat="1" ht="25.5" hidden="1" x14ac:dyDescent="0.25">
      <c r="I50" s="4"/>
      <c r="K50" s="211"/>
      <c r="L50" s="231"/>
      <c r="M50" s="231"/>
      <c r="N50" s="91"/>
      <c r="O50" s="91"/>
      <c r="P50" s="211"/>
      <c r="Q50" s="211"/>
      <c r="R50" s="91"/>
      <c r="S50" s="91"/>
      <c r="T50" s="91"/>
      <c r="U50" s="91"/>
      <c r="V50" s="91"/>
      <c r="W50" s="261"/>
      <c r="X50" s="340" t="s">
        <v>106</v>
      </c>
      <c r="Y50" s="338">
        <v>70.81</v>
      </c>
      <c r="Z50" s="313" t="s">
        <v>15</v>
      </c>
      <c r="AA50" s="313" t="s">
        <v>115</v>
      </c>
      <c r="AB50" s="313" t="s">
        <v>90</v>
      </c>
      <c r="AC50" s="314">
        <v>7.8470000000000005E-4</v>
      </c>
      <c r="AD50" s="315">
        <v>2.9020067999999997</v>
      </c>
      <c r="AE50" s="554" t="s">
        <v>495</v>
      </c>
      <c r="AF50" s="256"/>
      <c r="AG50" s="256"/>
      <c r="AH50" s="256"/>
      <c r="AI50" s="256"/>
      <c r="AJ50" s="256"/>
      <c r="AK50" s="256"/>
      <c r="AL50" s="256"/>
      <c r="AM50" s="256"/>
      <c r="AN50"/>
      <c r="AO50"/>
      <c r="AP50"/>
      <c r="AQ50"/>
      <c r="AR50"/>
      <c r="AS50"/>
      <c r="AT50"/>
      <c r="AU50"/>
      <c r="AV50"/>
      <c r="AW50"/>
      <c r="AX50"/>
      <c r="AY50" s="302"/>
      <c r="AZ50" s="302"/>
      <c r="BA50" s="256"/>
      <c r="BB50" s="256"/>
      <c r="BC50" s="256"/>
      <c r="BD50" s="256"/>
      <c r="BE50" s="304"/>
      <c r="BF50" s="202"/>
    </row>
    <row r="51" spans="2:58" s="2" customFormat="1" x14ac:dyDescent="0.25">
      <c r="H51" s="4"/>
      <c r="I51" s="4"/>
      <c r="K51" s="211"/>
      <c r="L51" s="231"/>
      <c r="N51" s="91"/>
      <c r="O51" s="91"/>
      <c r="P51" s="211"/>
      <c r="Q51" s="211"/>
      <c r="R51" s="91"/>
      <c r="S51" s="91"/>
      <c r="T51" s="91"/>
      <c r="U51" s="91"/>
      <c r="V51" s="91"/>
      <c r="W51" s="261"/>
      <c r="X51" s="307"/>
      <c r="Y51" s="256"/>
      <c r="Z51" s="256"/>
      <c r="AA51" s="256"/>
      <c r="AB51" s="256"/>
      <c r="AC51" s="256"/>
      <c r="AD51" s="256"/>
      <c r="AE51" s="256"/>
      <c r="AF51" s="256"/>
      <c r="AG51" s="256"/>
      <c r="AH51" s="256"/>
      <c r="AI51" s="256"/>
      <c r="AJ51" s="256"/>
      <c r="AK51" s="256"/>
      <c r="AL51" s="256"/>
      <c r="AM51" s="256"/>
      <c r="AN51"/>
      <c r="AO51"/>
      <c r="AP51"/>
      <c r="AQ51"/>
      <c r="AR51"/>
      <c r="AS51"/>
      <c r="AT51"/>
      <c r="AU51"/>
      <c r="AV51"/>
      <c r="AW51"/>
      <c r="AX51"/>
      <c r="AY51" s="302"/>
      <c r="AZ51" s="302"/>
      <c r="BA51" s="256"/>
      <c r="BB51" s="256"/>
      <c r="BC51" s="256"/>
      <c r="BD51" s="256"/>
      <c r="BE51" s="304"/>
      <c r="BF51" s="202"/>
    </row>
    <row r="52" spans="2:58" s="2" customFormat="1" x14ac:dyDescent="0.25">
      <c r="H52" s="4"/>
      <c r="I52" s="4"/>
      <c r="K52" s="211"/>
      <c r="L52" s="231"/>
      <c r="M52" s="231"/>
      <c r="N52" s="91"/>
      <c r="O52" s="91"/>
      <c r="P52" s="211"/>
      <c r="Q52" s="211"/>
      <c r="R52" s="91"/>
      <c r="S52" s="91"/>
      <c r="T52" s="91"/>
      <c r="U52" s="91"/>
      <c r="V52" s="91"/>
      <c r="W52" s="261"/>
      <c r="X52" s="307"/>
      <c r="Y52" s="256"/>
      <c r="Z52" s="256"/>
      <c r="AA52" s="256"/>
      <c r="AB52" s="256"/>
      <c r="AC52" s="256"/>
      <c r="AD52" s="256"/>
      <c r="AE52" s="256"/>
      <c r="AF52" s="256"/>
      <c r="AG52" s="322"/>
      <c r="AH52" s="256"/>
      <c r="AI52" s="256"/>
      <c r="AJ52" s="256"/>
      <c r="AK52" s="256"/>
      <c r="AL52" s="256"/>
      <c r="AM52" s="256"/>
      <c r="AN52"/>
      <c r="AO52"/>
      <c r="AP52"/>
      <c r="AQ52"/>
      <c r="AR52"/>
      <c r="AS52"/>
      <c r="AT52"/>
      <c r="AU52"/>
      <c r="AV52"/>
      <c r="AW52"/>
      <c r="AX52"/>
      <c r="AY52" s="302"/>
      <c r="AZ52" s="302"/>
      <c r="BA52" s="256"/>
      <c r="BB52" s="256"/>
      <c r="BC52" s="256"/>
      <c r="BD52" s="256"/>
      <c r="BE52" s="304"/>
      <c r="BF52" s="202"/>
    </row>
    <row r="53" spans="2:58" s="2" customFormat="1" x14ac:dyDescent="0.25">
      <c r="H53" s="4"/>
      <c r="I53" s="4"/>
      <c r="K53" s="211"/>
      <c r="L53" s="231"/>
      <c r="M53" s="231"/>
      <c r="N53" s="91"/>
      <c r="O53" s="91"/>
      <c r="P53" s="211"/>
      <c r="Q53" s="211"/>
      <c r="R53" s="91"/>
      <c r="S53" s="91"/>
      <c r="T53" s="91"/>
      <c r="U53" s="91"/>
      <c r="V53" s="91"/>
      <c r="W53" s="261"/>
      <c r="X53" s="307"/>
      <c r="Y53" s="256"/>
      <c r="Z53" s="261"/>
      <c r="AA53" s="256"/>
      <c r="AB53" s="256"/>
      <c r="AC53" s="256"/>
      <c r="AD53" s="256"/>
      <c r="AE53" s="256"/>
      <c r="AF53" s="256"/>
      <c r="AG53" s="256"/>
      <c r="AH53" s="256"/>
      <c r="AI53" s="256"/>
      <c r="AJ53" s="256"/>
      <c r="AK53" s="256"/>
      <c r="AL53" s="256"/>
      <c r="AM53" s="256"/>
      <c r="AN53"/>
      <c r="AO53"/>
      <c r="AP53"/>
      <c r="AQ53"/>
      <c r="AR53"/>
      <c r="AS53"/>
      <c r="AT53"/>
      <c r="AU53"/>
      <c r="AV53"/>
      <c r="AW53"/>
      <c r="AX53"/>
      <c r="AY53" s="302"/>
      <c r="AZ53" s="302"/>
      <c r="BA53" s="256"/>
      <c r="BB53" s="256"/>
      <c r="BC53" s="256"/>
      <c r="BD53" s="256"/>
      <c r="BE53" s="304"/>
      <c r="BF53" s="202"/>
    </row>
    <row r="54" spans="2:58" s="2" customFormat="1" ht="15" customHeight="1" x14ac:dyDescent="0.25">
      <c r="H54" s="4"/>
      <c r="I54" s="4"/>
      <c r="K54" s="211"/>
      <c r="L54" s="231"/>
      <c r="M54" s="231"/>
      <c r="N54" s="91"/>
      <c r="O54" s="91"/>
      <c r="P54" s="211"/>
      <c r="Q54" s="211"/>
      <c r="R54" s="91"/>
      <c r="S54" s="91"/>
      <c r="T54" s="91"/>
      <c r="U54" s="91"/>
      <c r="V54" s="91"/>
      <c r="W54" s="261"/>
      <c r="X54" s="307"/>
      <c r="Y54" s="256"/>
      <c r="Z54" s="256"/>
      <c r="AA54" s="256"/>
      <c r="AB54" s="256"/>
      <c r="AC54" s="256"/>
      <c r="AD54" s="256"/>
      <c r="AE54" s="256"/>
      <c r="AF54" s="256"/>
      <c r="AG54" s="256"/>
      <c r="AH54" s="256"/>
      <c r="AI54" s="256"/>
      <c r="AJ54" s="256"/>
      <c r="AK54" s="256"/>
      <c r="AL54" s="256"/>
      <c r="AM54" s="256"/>
      <c r="AN54"/>
      <c r="AO54"/>
      <c r="AP54"/>
      <c r="AQ54"/>
      <c r="AR54"/>
      <c r="AS54"/>
      <c r="AT54"/>
      <c r="AU54"/>
      <c r="AV54"/>
      <c r="AW54"/>
      <c r="AX54"/>
      <c r="AY54" s="302"/>
      <c r="AZ54" s="302"/>
      <c r="BA54" s="256"/>
      <c r="BB54" s="256"/>
      <c r="BC54" s="256"/>
      <c r="BD54" s="256"/>
      <c r="BE54" s="304"/>
      <c r="BF54" s="202"/>
    </row>
    <row r="55" spans="2:58" s="2" customFormat="1" x14ac:dyDescent="0.25">
      <c r="B55" s="92"/>
      <c r="C55" s="92"/>
      <c r="D55" s="92"/>
      <c r="E55" s="92"/>
      <c r="F55" s="92"/>
      <c r="G55" s="92"/>
      <c r="H55" s="4"/>
      <c r="I55" s="4"/>
      <c r="J55" s="84"/>
      <c r="K55" s="211"/>
      <c r="L55" s="231"/>
      <c r="M55" s="269"/>
      <c r="N55" s="91"/>
      <c r="O55" s="91"/>
      <c r="P55" s="211"/>
      <c r="Q55" s="211"/>
      <c r="R55" s="91"/>
      <c r="S55" s="91"/>
      <c r="T55" s="91"/>
      <c r="U55" s="91"/>
      <c r="V55" s="91"/>
      <c r="W55" s="261"/>
      <c r="X55" s="307"/>
      <c r="Y55" s="256"/>
      <c r="Z55" s="323"/>
      <c r="AA55" s="256"/>
      <c r="AB55" s="256"/>
      <c r="AC55" s="256"/>
      <c r="AD55" s="256"/>
      <c r="AE55" s="256"/>
      <c r="AF55" s="256"/>
      <c r="AG55" s="256"/>
      <c r="AH55" s="256"/>
      <c r="AI55" s="256"/>
      <c r="AJ55" s="256"/>
      <c r="AK55" s="256"/>
      <c r="AL55" s="256"/>
      <c r="AM55" s="256"/>
      <c r="AN55"/>
      <c r="AO55"/>
      <c r="AP55"/>
      <c r="AQ55"/>
      <c r="AR55"/>
      <c r="AS55"/>
      <c r="AT55"/>
      <c r="AU55"/>
      <c r="AV55"/>
      <c r="AW55"/>
      <c r="AX55"/>
      <c r="AY55" s="302"/>
      <c r="AZ55" s="302"/>
      <c r="BA55" s="256"/>
      <c r="BB55" s="256"/>
      <c r="BC55" s="256"/>
      <c r="BD55" s="256"/>
      <c r="BE55" s="304"/>
      <c r="BF55" s="202"/>
    </row>
    <row r="56" spans="2:58" s="2" customFormat="1" x14ac:dyDescent="0.25">
      <c r="B56" s="92"/>
      <c r="C56" s="92"/>
      <c r="D56" s="92"/>
      <c r="E56" s="92"/>
      <c r="F56" s="92"/>
      <c r="G56" s="92"/>
      <c r="H56" s="4"/>
      <c r="I56" s="4"/>
      <c r="J56" s="8"/>
      <c r="K56" s="211"/>
      <c r="L56" s="231"/>
      <c r="M56" s="269"/>
      <c r="N56" s="91"/>
      <c r="O56" s="91"/>
      <c r="P56" s="211"/>
      <c r="Q56" s="211"/>
      <c r="R56" s="91"/>
      <c r="S56" s="91"/>
      <c r="T56" s="91"/>
      <c r="U56" s="91"/>
      <c r="V56" s="91"/>
      <c r="W56" s="261"/>
      <c r="X56" s="307"/>
      <c r="Y56" s="256"/>
      <c r="Z56" s="256"/>
      <c r="AA56" s="256"/>
      <c r="AB56" s="256"/>
      <c r="AC56" s="256"/>
      <c r="AD56" s="256"/>
      <c r="AE56" s="256"/>
      <c r="AF56" s="256"/>
      <c r="AG56" s="256"/>
      <c r="AH56" s="256"/>
      <c r="AI56" s="256"/>
      <c r="AJ56" s="256"/>
      <c r="AK56" s="256"/>
      <c r="AL56" s="256"/>
      <c r="AM56" s="256"/>
      <c r="AN56"/>
      <c r="AO56"/>
      <c r="AP56"/>
      <c r="AQ56"/>
      <c r="AR56"/>
      <c r="AS56"/>
      <c r="AT56"/>
      <c r="AU56"/>
      <c r="AV56"/>
      <c r="AW56"/>
      <c r="AX56"/>
      <c r="AY56" s="302"/>
      <c r="AZ56" s="302"/>
      <c r="BA56" s="256"/>
      <c r="BB56" s="256"/>
      <c r="BC56" s="256"/>
      <c r="BD56" s="256"/>
      <c r="BE56" s="304"/>
      <c r="BF56" s="202"/>
    </row>
    <row r="57" spans="2:58" s="2" customFormat="1" x14ac:dyDescent="0.25">
      <c r="B57" s="92"/>
      <c r="C57" s="92"/>
      <c r="D57" s="92"/>
      <c r="E57" s="92"/>
      <c r="F57" s="92"/>
      <c r="G57" s="92"/>
      <c r="H57" s="4"/>
      <c r="I57" s="4"/>
      <c r="J57" s="8"/>
      <c r="K57" s="211"/>
      <c r="L57" s="231"/>
      <c r="M57" s="269"/>
      <c r="N57" s="91"/>
      <c r="O57" s="91"/>
      <c r="P57" s="211"/>
      <c r="Q57" s="211"/>
      <c r="R57" s="91"/>
      <c r="S57" s="91"/>
      <c r="T57" s="91"/>
      <c r="U57" s="91"/>
      <c r="V57" s="91"/>
      <c r="W57" s="261"/>
      <c r="X57" s="307"/>
      <c r="Y57" s="256"/>
      <c r="Z57" s="256"/>
      <c r="AA57" s="256"/>
      <c r="AB57" s="256"/>
      <c r="AC57" s="256"/>
      <c r="AD57" s="256"/>
      <c r="AE57" s="256"/>
      <c r="AF57" s="256"/>
      <c r="AG57" s="256"/>
      <c r="AH57" s="256"/>
      <c r="AI57" s="256"/>
      <c r="AJ57" s="256"/>
      <c r="AK57" s="256"/>
      <c r="AL57" s="256"/>
      <c r="AM57" s="256"/>
      <c r="AN57"/>
      <c r="AO57"/>
      <c r="AP57"/>
      <c r="AQ57"/>
      <c r="AR57"/>
      <c r="AS57"/>
      <c r="AT57"/>
      <c r="AU57"/>
      <c r="AV57"/>
      <c r="AW57"/>
      <c r="AX57"/>
      <c r="AY57" s="302"/>
      <c r="AZ57" s="302"/>
      <c r="BA57" s="256"/>
      <c r="BB57" s="256"/>
      <c r="BC57" s="256"/>
      <c r="BD57" s="256"/>
      <c r="BE57" s="304"/>
      <c r="BF57" s="202"/>
    </row>
    <row r="58" spans="2:58" s="2" customFormat="1" x14ac:dyDescent="0.25">
      <c r="B58" s="92"/>
      <c r="C58" s="92"/>
      <c r="D58" s="92"/>
      <c r="E58" s="92"/>
      <c r="F58" s="92"/>
      <c r="G58" s="92"/>
      <c r="H58" s="4"/>
      <c r="I58" s="4"/>
      <c r="J58" s="8"/>
      <c r="K58" s="211"/>
      <c r="L58" s="231"/>
      <c r="M58" s="269"/>
      <c r="N58" s="91"/>
      <c r="O58" s="91"/>
      <c r="P58" s="211"/>
      <c r="Q58" s="211"/>
      <c r="R58" s="91"/>
      <c r="S58" s="91"/>
      <c r="T58" s="91"/>
      <c r="U58" s="91"/>
      <c r="V58" s="91"/>
      <c r="W58" s="261"/>
      <c r="X58" s="307"/>
      <c r="Y58" s="256"/>
      <c r="Z58" s="256"/>
      <c r="AA58" s="256"/>
      <c r="AB58" s="256"/>
      <c r="AC58" s="256"/>
      <c r="AD58" s="256"/>
      <c r="AE58" s="256"/>
      <c r="AF58" s="256"/>
      <c r="AG58" s="256"/>
      <c r="AH58" s="256"/>
      <c r="AI58" s="256"/>
      <c r="AJ58" s="256"/>
      <c r="AK58" s="256"/>
      <c r="AL58" s="256"/>
      <c r="AM58" s="256"/>
      <c r="AN58"/>
      <c r="AO58"/>
      <c r="AP58"/>
      <c r="AQ58"/>
      <c r="AR58"/>
      <c r="AS58"/>
      <c r="AT58"/>
      <c r="AU58"/>
      <c r="AV58"/>
      <c r="AW58"/>
      <c r="AX58"/>
      <c r="AY58" s="302"/>
      <c r="AZ58" s="302"/>
      <c r="BA58" s="256"/>
      <c r="BB58" s="256"/>
      <c r="BC58" s="256"/>
      <c r="BD58" s="256"/>
      <c r="BE58" s="304"/>
      <c r="BF58" s="202"/>
    </row>
    <row r="59" spans="2:58" s="2" customFormat="1" x14ac:dyDescent="0.25">
      <c r="B59" s="92"/>
      <c r="C59" s="92"/>
      <c r="D59" s="92"/>
      <c r="E59" s="92"/>
      <c r="F59" s="92"/>
      <c r="G59" s="92"/>
      <c r="H59" s="4"/>
      <c r="I59" s="4"/>
      <c r="J59" s="8"/>
      <c r="K59" s="211"/>
      <c r="L59" s="231"/>
      <c r="M59" s="269"/>
      <c r="N59" s="91"/>
      <c r="O59" s="91"/>
      <c r="P59" s="211"/>
      <c r="Q59" s="211"/>
      <c r="R59" s="91"/>
      <c r="S59" s="91"/>
      <c r="T59" s="91"/>
      <c r="U59" s="91"/>
      <c r="V59" s="91"/>
      <c r="W59" s="261"/>
      <c r="X59" s="307"/>
      <c r="Y59" s="256"/>
      <c r="Z59" s="256"/>
      <c r="AA59" s="256"/>
      <c r="AB59" s="256"/>
      <c r="AC59" s="256"/>
      <c r="AD59" s="256"/>
      <c r="AE59" s="256"/>
      <c r="AF59" s="256"/>
      <c r="AG59" s="256"/>
      <c r="AH59" s="256"/>
      <c r="AI59" s="256"/>
      <c r="AJ59" s="256"/>
      <c r="AK59" s="256"/>
      <c r="AL59" s="256"/>
      <c r="AM59" s="256"/>
      <c r="AN59"/>
      <c r="AO59"/>
      <c r="AP59"/>
      <c r="AQ59"/>
      <c r="AR59"/>
      <c r="AS59"/>
      <c r="AT59"/>
      <c r="AU59"/>
      <c r="AV59"/>
      <c r="AW59"/>
      <c r="AX59"/>
      <c r="AY59" s="302"/>
      <c r="AZ59" s="302"/>
      <c r="BA59" s="256"/>
      <c r="BB59" s="256"/>
      <c r="BC59" s="256"/>
      <c r="BD59" s="256"/>
      <c r="BE59" s="304"/>
      <c r="BF59" s="202"/>
    </row>
    <row r="60" spans="2:58" s="2" customFormat="1" x14ac:dyDescent="0.25">
      <c r="B60" s="92"/>
      <c r="C60" s="92"/>
      <c r="D60" s="92"/>
      <c r="E60" s="92"/>
      <c r="F60" s="92"/>
      <c r="G60" s="92"/>
      <c r="H60" s="4"/>
      <c r="I60" s="4"/>
      <c r="J60" s="8"/>
      <c r="K60" s="211"/>
      <c r="L60" s="239"/>
      <c r="M60" s="269"/>
      <c r="N60" s="91"/>
      <c r="O60" s="91"/>
      <c r="P60" s="211"/>
      <c r="Q60" s="211"/>
      <c r="R60" s="91"/>
      <c r="S60" s="91"/>
      <c r="T60" s="91"/>
      <c r="U60" s="91"/>
      <c r="V60" s="91"/>
      <c r="W60" s="261"/>
      <c r="X60" s="307"/>
      <c r="Y60" s="256"/>
      <c r="Z60" s="256"/>
      <c r="AA60" s="256"/>
      <c r="AB60" s="256"/>
      <c r="AC60" s="256"/>
      <c r="AD60" s="256"/>
      <c r="AE60" s="256"/>
      <c r="AF60" s="256"/>
      <c r="AG60" s="256"/>
      <c r="AH60" s="256"/>
      <c r="AI60" s="256"/>
      <c r="AJ60" s="256"/>
      <c r="AK60" s="256"/>
      <c r="AL60" s="256"/>
      <c r="AM60" s="256"/>
      <c r="AN60"/>
      <c r="AO60"/>
      <c r="AP60"/>
      <c r="AQ60"/>
      <c r="AR60"/>
      <c r="AS60"/>
      <c r="AT60"/>
      <c r="AU60"/>
      <c r="AV60"/>
      <c r="AW60"/>
      <c r="AX60"/>
      <c r="AY60" s="302"/>
      <c r="AZ60" s="302"/>
      <c r="BA60" s="256"/>
      <c r="BB60" s="256"/>
      <c r="BC60" s="256"/>
      <c r="BD60" s="256"/>
      <c r="BE60" s="304"/>
      <c r="BF60" s="202"/>
    </row>
  </sheetData>
  <sheetProtection algorithmName="SHA-512" hashValue="U86YjjNbsCyg3GDzyazbC2MbqOFlyxl+pBJ/DDX+Qd0RvZvuD7NVP1mmXyb+v8j3dNAhurbMWyl+D75mndvoJQ==" saltValue="3tHNMixjQd+nZPiIdjbD7w==" spinCount="100000" sheet="1" objects="1" scenarios="1"/>
  <mergeCells count="49">
    <mergeCell ref="S7:S8"/>
    <mergeCell ref="V7:V8"/>
    <mergeCell ref="D4:G5"/>
    <mergeCell ref="J4:U4"/>
    <mergeCell ref="R5:U5"/>
    <mergeCell ref="J5:K5"/>
    <mergeCell ref="P7:P9"/>
    <mergeCell ref="G7:G9"/>
    <mergeCell ref="T7:U8"/>
    <mergeCell ref="H7:H9"/>
    <mergeCell ref="J7:J9"/>
    <mergeCell ref="N7:N9"/>
    <mergeCell ref="O7:O9"/>
    <mergeCell ref="R7:R9"/>
    <mergeCell ref="K7:K9"/>
    <mergeCell ref="I7:I9"/>
    <mergeCell ref="Q7:Q9"/>
    <mergeCell ref="L7:L9"/>
    <mergeCell ref="M7:M9"/>
    <mergeCell ref="AV7:BC7"/>
    <mergeCell ref="AV8:AV9"/>
    <mergeCell ref="AW8:AX8"/>
    <mergeCell ref="W7:W9"/>
    <mergeCell ref="X7:AE7"/>
    <mergeCell ref="AF7:AL7"/>
    <mergeCell ref="AN7:AU7"/>
    <mergeCell ref="AO8:AP8"/>
    <mergeCell ref="AQ8:AT8"/>
    <mergeCell ref="AI8:AL8"/>
    <mergeCell ref="AN8:AN9"/>
    <mergeCell ref="X8:X9"/>
    <mergeCell ref="Y8:Z8"/>
    <mergeCell ref="B7:B9"/>
    <mergeCell ref="C7:C9"/>
    <mergeCell ref="D7:D9"/>
    <mergeCell ref="E7:E9"/>
    <mergeCell ref="F7:F9"/>
    <mergeCell ref="AA8:AD8"/>
    <mergeCell ref="AF8:AF9"/>
    <mergeCell ref="AG8:AH8"/>
    <mergeCell ref="AH35:AJ35"/>
    <mergeCell ref="BG8:BG9"/>
    <mergeCell ref="BH8:BH9"/>
    <mergeCell ref="BD7:BD9"/>
    <mergeCell ref="AY8:BB8"/>
    <mergeCell ref="BE8:BE9"/>
    <mergeCell ref="BI8:BI9"/>
    <mergeCell ref="BE7:BI7"/>
    <mergeCell ref="BF8:BF9"/>
  </mergeCells>
  <conditionalFormatting sqref="I5">
    <cfRule type="cellIs" dxfId="16" priority="6" operator="greaterThan">
      <formula>100</formula>
    </cfRule>
    <cfRule type="cellIs" dxfId="15" priority="7" operator="equal">
      <formula>100</formula>
    </cfRule>
    <cfRule type="cellIs" dxfId="14" priority="8" operator="lessThan">
      <formula>100</formula>
    </cfRule>
  </conditionalFormatting>
  <conditionalFormatting sqref="J5">
    <cfRule type="cellIs" dxfId="13" priority="4" operator="equal">
      <formula>"Postulación válida"</formula>
    </cfRule>
    <cfRule type="cellIs" dxfId="12" priority="5" operator="equal">
      <formula>"No califica. Proyecto mayor a 100 tep. Puede postularse por medidas no estandarizadas."</formula>
    </cfRule>
    <cfRule type="cellIs" dxfId="11" priority="11" operator="equal">
      <formula>"Postulación como MMEE estandarizada válida porque ahorros totales entre 1 y 10 tep"</formula>
    </cfRule>
    <cfRule type="cellIs" dxfId="10" priority="17" operator="equal">
      <formula>"No califica para pre-postularse porque su proyecto es menor a 1 tep"</formula>
    </cfRule>
    <cfRule type="cellIs" dxfId="9" priority="18" operator="equal">
      <formula>"NO CALIFICA PARA PRE-POSTULARSE"</formula>
    </cfRule>
    <cfRule type="cellIs" dxfId="8" priority="19" operator="equal">
      <formula>"NO CUMPLE LOS REQUISITOS PARA PRE-POSTULARSE"</formula>
    </cfRule>
    <cfRule type="cellIs" dxfId="7" priority="20" operator="equal">
      <formula>"NO CUMPLE LOS REQUISITOS PARA PRE-POSTULARSE"</formula>
    </cfRule>
    <cfRule type="cellIs" dxfId="6" priority="21" operator="equal">
      <formula>"NO CUMPLE REQUISITOS PARA PRE-POSTULARSE"</formula>
    </cfRule>
    <cfRule type="cellIs" dxfId="5" priority="22" operator="equal">
      <formula>"PRE-POSTULACIÓN VÁLIDA"</formula>
    </cfRule>
    <cfRule type="cellIs" dxfId="4" priority="23" operator="equal">
      <formula>"CALIFICA A LOS CEE2019"</formula>
    </cfRule>
    <cfRule type="cellIs" dxfId="3" priority="26" operator="equal">
      <formula>"CALIFICA"</formula>
    </cfRule>
  </conditionalFormatting>
  <conditionalFormatting sqref="BH10:BH29">
    <cfRule type="cellIs" dxfId="2" priority="29" operator="equal">
      <formula>1</formula>
    </cfRule>
    <cfRule type="cellIs" dxfId="1" priority="30" operator="greaterThan">
      <formula>1</formula>
    </cfRule>
    <cfRule type="cellIs" dxfId="0" priority="31" operator="lessThan">
      <formula>1</formula>
    </cfRule>
  </conditionalFormatting>
  <dataValidations count="8">
    <dataValidation type="list" allowBlank="1" showInputMessage="1" showErrorMessage="1" sqref="BD10:BD29" xr:uid="{00000000-0002-0000-0300-000000000000}">
      <formula1>$BD$36:$BD$38</formula1>
    </dataValidation>
    <dataValidation type="list" allowBlank="1" showInputMessage="1" showErrorMessage="1" sqref="W10:W29" xr:uid="{00000000-0002-0000-0300-000001000000}">
      <formula1>$W$36:$W$40</formula1>
    </dataValidation>
    <dataValidation type="list" allowBlank="1" showErrorMessage="1" sqref="P10:Q29" xr:uid="{00000000-0002-0000-0300-000002000000}">
      <formula1>$P$36:$P$38</formula1>
    </dataValidation>
    <dataValidation type="list" allowBlank="1" sqref="R10:R29" xr:uid="{00000000-0002-0000-0300-000003000000}">
      <formula1>$R$36:$R$42</formula1>
    </dataValidation>
    <dataValidation allowBlank="1" showErrorMessage="1" sqref="L10:M29" xr:uid="{00000000-0002-0000-0300-000004000000}"/>
    <dataValidation type="list" allowBlank="1" showInputMessage="1" showErrorMessage="1" sqref="AV10:AV29 AF10:AF29" xr:uid="{00000000-0002-0000-0300-000005000000}">
      <formula1>$X$36:$X$44</formula1>
    </dataValidation>
    <dataValidation type="decimal" operator="lessThanOrEqual" allowBlank="1" showErrorMessage="1" errorTitle="Error" error="No pueden ingresarse valores mayores a 18.000 BTU/h." sqref="J10:J29" xr:uid="{00000000-0002-0000-0300-000006000000}">
      <formula1>180000</formula1>
    </dataValidation>
    <dataValidation type="list" allowBlank="1" showInputMessage="1" showErrorMessage="1" sqref="H10:H29" xr:uid="{00000000-0002-0000-0300-000007000000}">
      <formula1>$H$36:$H$49</formula1>
    </dataValidation>
  </dataValidations>
  <pageMargins left="0.70866141732283472" right="0.70866141732283472" top="0.74803149606299213" bottom="0.74803149606299213" header="0.31496062992125984" footer="0.31496062992125984"/>
  <pageSetup paperSize="9" scale="63" fitToHeight="0" orientation="portrait" r:id="rId1"/>
  <ignoredErrors>
    <ignoredError sqref="AD11:AD16 BE10:BE11 Y37 Y38:Y43 AD10 AF10:AM10 AF11:AM16 AT10 AV10:BC10 AV11:BC16 AD17:AD29 AM37:AM47 V10:V29 E10 BE12:BE18 BE21:BE29 BE19:BE20"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8000000}">
          <x14:formula1>
            <xm:f>'Datos Instalaciones'!$E$42:$E$62</xm:f>
          </x14:formula1>
          <xm:sqref>D10:D29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CDDC"/>
  </sheetPr>
  <dimension ref="A1:AW29"/>
  <sheetViews>
    <sheetView zoomScale="90" zoomScaleNormal="90" workbookViewId="0">
      <selection activeCell="B2" sqref="B2"/>
    </sheetView>
  </sheetViews>
  <sheetFormatPr baseColWidth="10" defaultRowHeight="15" x14ac:dyDescent="0.2"/>
  <cols>
    <col min="1" max="1" width="3" style="517" customWidth="1"/>
    <col min="2" max="2" width="30.85546875" style="517" customWidth="1"/>
    <col min="3" max="3" width="43.28515625" style="517" customWidth="1"/>
    <col min="4" max="8" width="15.7109375" style="517" customWidth="1"/>
    <col min="9" max="9" width="11.42578125" style="517"/>
    <col min="10" max="10" width="39.140625" style="517" customWidth="1"/>
    <col min="11" max="257" width="11.42578125" style="517"/>
    <col min="258" max="258" width="7.140625" style="517" bestFit="1" customWidth="1"/>
    <col min="259" max="259" width="45.140625" style="517" customWidth="1"/>
    <col min="260" max="264" width="15.7109375" style="517" customWidth="1"/>
    <col min="265" max="265" width="11.42578125" style="517"/>
    <col min="266" max="266" width="39.140625" style="517" customWidth="1"/>
    <col min="267" max="513" width="11.42578125" style="517"/>
    <col min="514" max="514" width="7.140625" style="517" bestFit="1" customWidth="1"/>
    <col min="515" max="515" width="45.140625" style="517" customWidth="1"/>
    <col min="516" max="520" width="15.7109375" style="517" customWidth="1"/>
    <col min="521" max="521" width="11.42578125" style="517"/>
    <col min="522" max="522" width="39.140625" style="517" customWidth="1"/>
    <col min="523" max="769" width="11.42578125" style="517"/>
    <col min="770" max="770" width="7.140625" style="517" bestFit="1" customWidth="1"/>
    <col min="771" max="771" width="45.140625" style="517" customWidth="1"/>
    <col min="772" max="776" width="15.7109375" style="517" customWidth="1"/>
    <col min="777" max="777" width="11.42578125" style="517"/>
    <col min="778" max="778" width="39.140625" style="517" customWidth="1"/>
    <col min="779" max="1025" width="11.42578125" style="517"/>
    <col min="1026" max="1026" width="7.140625" style="517" bestFit="1" customWidth="1"/>
    <col min="1027" max="1027" width="45.140625" style="517" customWidth="1"/>
    <col min="1028" max="1032" width="15.7109375" style="517" customWidth="1"/>
    <col min="1033" max="1033" width="11.42578125" style="517"/>
    <col min="1034" max="1034" width="39.140625" style="517" customWidth="1"/>
    <col min="1035" max="1281" width="11.42578125" style="517"/>
    <col min="1282" max="1282" width="7.140625" style="517" bestFit="1" customWidth="1"/>
    <col min="1283" max="1283" width="45.140625" style="517" customWidth="1"/>
    <col min="1284" max="1288" width="15.7109375" style="517" customWidth="1"/>
    <col min="1289" max="1289" width="11.42578125" style="517"/>
    <col min="1290" max="1290" width="39.140625" style="517" customWidth="1"/>
    <col min="1291" max="1537" width="11.42578125" style="517"/>
    <col min="1538" max="1538" width="7.140625" style="517" bestFit="1" customWidth="1"/>
    <col min="1539" max="1539" width="45.140625" style="517" customWidth="1"/>
    <col min="1540" max="1544" width="15.7109375" style="517" customWidth="1"/>
    <col min="1545" max="1545" width="11.42578125" style="517"/>
    <col min="1546" max="1546" width="39.140625" style="517" customWidth="1"/>
    <col min="1547" max="1793" width="11.42578125" style="517"/>
    <col min="1794" max="1794" width="7.140625" style="517" bestFit="1" customWidth="1"/>
    <col min="1795" max="1795" width="45.140625" style="517" customWidth="1"/>
    <col min="1796" max="1800" width="15.7109375" style="517" customWidth="1"/>
    <col min="1801" max="1801" width="11.42578125" style="517"/>
    <col min="1802" max="1802" width="39.140625" style="517" customWidth="1"/>
    <col min="1803" max="2049" width="11.42578125" style="517"/>
    <col min="2050" max="2050" width="7.140625" style="517" bestFit="1" customWidth="1"/>
    <col min="2051" max="2051" width="45.140625" style="517" customWidth="1"/>
    <col min="2052" max="2056" width="15.7109375" style="517" customWidth="1"/>
    <col min="2057" max="2057" width="11.42578125" style="517"/>
    <col min="2058" max="2058" width="39.140625" style="517" customWidth="1"/>
    <col min="2059" max="2305" width="11.42578125" style="517"/>
    <col min="2306" max="2306" width="7.140625" style="517" bestFit="1" customWidth="1"/>
    <col min="2307" max="2307" width="45.140625" style="517" customWidth="1"/>
    <col min="2308" max="2312" width="15.7109375" style="517" customWidth="1"/>
    <col min="2313" max="2313" width="11.42578125" style="517"/>
    <col min="2314" max="2314" width="39.140625" style="517" customWidth="1"/>
    <col min="2315" max="2561" width="11.42578125" style="517"/>
    <col min="2562" max="2562" width="7.140625" style="517" bestFit="1" customWidth="1"/>
    <col min="2563" max="2563" width="45.140625" style="517" customWidth="1"/>
    <col min="2564" max="2568" width="15.7109375" style="517" customWidth="1"/>
    <col min="2569" max="2569" width="11.42578125" style="517"/>
    <col min="2570" max="2570" width="39.140625" style="517" customWidth="1"/>
    <col min="2571" max="2817" width="11.42578125" style="517"/>
    <col min="2818" max="2818" width="7.140625" style="517" bestFit="1" customWidth="1"/>
    <col min="2819" max="2819" width="45.140625" style="517" customWidth="1"/>
    <col min="2820" max="2824" width="15.7109375" style="517" customWidth="1"/>
    <col min="2825" max="2825" width="11.42578125" style="517"/>
    <col min="2826" max="2826" width="39.140625" style="517" customWidth="1"/>
    <col min="2827" max="3073" width="11.42578125" style="517"/>
    <col min="3074" max="3074" width="7.140625" style="517" bestFit="1" customWidth="1"/>
    <col min="3075" max="3075" width="45.140625" style="517" customWidth="1"/>
    <col min="3076" max="3080" width="15.7109375" style="517" customWidth="1"/>
    <col min="3081" max="3081" width="11.42578125" style="517"/>
    <col min="3082" max="3082" width="39.140625" style="517" customWidth="1"/>
    <col min="3083" max="3329" width="11.42578125" style="517"/>
    <col min="3330" max="3330" width="7.140625" style="517" bestFit="1" customWidth="1"/>
    <col min="3331" max="3331" width="45.140625" style="517" customWidth="1"/>
    <col min="3332" max="3336" width="15.7109375" style="517" customWidth="1"/>
    <col min="3337" max="3337" width="11.42578125" style="517"/>
    <col min="3338" max="3338" width="39.140625" style="517" customWidth="1"/>
    <col min="3339" max="3585" width="11.42578125" style="517"/>
    <col min="3586" max="3586" width="7.140625" style="517" bestFit="1" customWidth="1"/>
    <col min="3587" max="3587" width="45.140625" style="517" customWidth="1"/>
    <col min="3588" max="3592" width="15.7109375" style="517" customWidth="1"/>
    <col min="3593" max="3593" width="11.42578125" style="517"/>
    <col min="3594" max="3594" width="39.140625" style="517" customWidth="1"/>
    <col min="3595" max="3841" width="11.42578125" style="517"/>
    <col min="3842" max="3842" width="7.140625" style="517" bestFit="1" customWidth="1"/>
    <col min="3843" max="3843" width="45.140625" style="517" customWidth="1"/>
    <col min="3844" max="3848" width="15.7109375" style="517" customWidth="1"/>
    <col min="3849" max="3849" width="11.42578125" style="517"/>
    <col min="3850" max="3850" width="39.140625" style="517" customWidth="1"/>
    <col min="3851" max="4097" width="11.42578125" style="517"/>
    <col min="4098" max="4098" width="7.140625" style="517" bestFit="1" customWidth="1"/>
    <col min="4099" max="4099" width="45.140625" style="517" customWidth="1"/>
    <col min="4100" max="4104" width="15.7109375" style="517" customWidth="1"/>
    <col min="4105" max="4105" width="11.42578125" style="517"/>
    <col min="4106" max="4106" width="39.140625" style="517" customWidth="1"/>
    <col min="4107" max="4353" width="11.42578125" style="517"/>
    <col min="4354" max="4354" width="7.140625" style="517" bestFit="1" customWidth="1"/>
    <col min="4355" max="4355" width="45.140625" style="517" customWidth="1"/>
    <col min="4356" max="4360" width="15.7109375" style="517" customWidth="1"/>
    <col min="4361" max="4361" width="11.42578125" style="517"/>
    <col min="4362" max="4362" width="39.140625" style="517" customWidth="1"/>
    <col min="4363" max="4609" width="11.42578125" style="517"/>
    <col min="4610" max="4610" width="7.140625" style="517" bestFit="1" customWidth="1"/>
    <col min="4611" max="4611" width="45.140625" style="517" customWidth="1"/>
    <col min="4612" max="4616" width="15.7109375" style="517" customWidth="1"/>
    <col min="4617" max="4617" width="11.42578125" style="517"/>
    <col min="4618" max="4618" width="39.140625" style="517" customWidth="1"/>
    <col min="4619" max="4865" width="11.42578125" style="517"/>
    <col min="4866" max="4866" width="7.140625" style="517" bestFit="1" customWidth="1"/>
    <col min="4867" max="4867" width="45.140625" style="517" customWidth="1"/>
    <col min="4868" max="4872" width="15.7109375" style="517" customWidth="1"/>
    <col min="4873" max="4873" width="11.42578125" style="517"/>
    <col min="4874" max="4874" width="39.140625" style="517" customWidth="1"/>
    <col min="4875" max="5121" width="11.42578125" style="517"/>
    <col min="5122" max="5122" width="7.140625" style="517" bestFit="1" customWidth="1"/>
    <col min="5123" max="5123" width="45.140625" style="517" customWidth="1"/>
    <col min="5124" max="5128" width="15.7109375" style="517" customWidth="1"/>
    <col min="5129" max="5129" width="11.42578125" style="517"/>
    <col min="5130" max="5130" width="39.140625" style="517" customWidth="1"/>
    <col min="5131" max="5377" width="11.42578125" style="517"/>
    <col min="5378" max="5378" width="7.140625" style="517" bestFit="1" customWidth="1"/>
    <col min="5379" max="5379" width="45.140625" style="517" customWidth="1"/>
    <col min="5380" max="5384" width="15.7109375" style="517" customWidth="1"/>
    <col min="5385" max="5385" width="11.42578125" style="517"/>
    <col min="5386" max="5386" width="39.140625" style="517" customWidth="1"/>
    <col min="5387" max="5633" width="11.42578125" style="517"/>
    <col min="5634" max="5634" width="7.140625" style="517" bestFit="1" customWidth="1"/>
    <col min="5635" max="5635" width="45.140625" style="517" customWidth="1"/>
    <col min="5636" max="5640" width="15.7109375" style="517" customWidth="1"/>
    <col min="5641" max="5641" width="11.42578125" style="517"/>
    <col min="5642" max="5642" width="39.140625" style="517" customWidth="1"/>
    <col min="5643" max="5889" width="11.42578125" style="517"/>
    <col min="5890" max="5890" width="7.140625" style="517" bestFit="1" customWidth="1"/>
    <col min="5891" max="5891" width="45.140625" style="517" customWidth="1"/>
    <col min="5892" max="5896" width="15.7109375" style="517" customWidth="1"/>
    <col min="5897" max="5897" width="11.42578125" style="517"/>
    <col min="5898" max="5898" width="39.140625" style="517" customWidth="1"/>
    <col min="5899" max="6145" width="11.42578125" style="517"/>
    <col min="6146" max="6146" width="7.140625" style="517" bestFit="1" customWidth="1"/>
    <col min="6147" max="6147" width="45.140625" style="517" customWidth="1"/>
    <col min="6148" max="6152" width="15.7109375" style="517" customWidth="1"/>
    <col min="6153" max="6153" width="11.42578125" style="517"/>
    <col min="6154" max="6154" width="39.140625" style="517" customWidth="1"/>
    <col min="6155" max="6401" width="11.42578125" style="517"/>
    <col min="6402" max="6402" width="7.140625" style="517" bestFit="1" customWidth="1"/>
    <col min="6403" max="6403" width="45.140625" style="517" customWidth="1"/>
    <col min="6404" max="6408" width="15.7109375" style="517" customWidth="1"/>
    <col min="6409" max="6409" width="11.42578125" style="517"/>
    <col min="6410" max="6410" width="39.140625" style="517" customWidth="1"/>
    <col min="6411" max="6657" width="11.42578125" style="517"/>
    <col min="6658" max="6658" width="7.140625" style="517" bestFit="1" customWidth="1"/>
    <col min="6659" max="6659" width="45.140625" style="517" customWidth="1"/>
    <col min="6660" max="6664" width="15.7109375" style="517" customWidth="1"/>
    <col min="6665" max="6665" width="11.42578125" style="517"/>
    <col min="6666" max="6666" width="39.140625" style="517" customWidth="1"/>
    <col min="6667" max="6913" width="11.42578125" style="517"/>
    <col min="6914" max="6914" width="7.140625" style="517" bestFit="1" customWidth="1"/>
    <col min="6915" max="6915" width="45.140625" style="517" customWidth="1"/>
    <col min="6916" max="6920" width="15.7109375" style="517" customWidth="1"/>
    <col min="6921" max="6921" width="11.42578125" style="517"/>
    <col min="6922" max="6922" width="39.140625" style="517" customWidth="1"/>
    <col min="6923" max="7169" width="11.42578125" style="517"/>
    <col min="7170" max="7170" width="7.140625" style="517" bestFit="1" customWidth="1"/>
    <col min="7171" max="7171" width="45.140625" style="517" customWidth="1"/>
    <col min="7172" max="7176" width="15.7109375" style="517" customWidth="1"/>
    <col min="7177" max="7177" width="11.42578125" style="517"/>
    <col min="7178" max="7178" width="39.140625" style="517" customWidth="1"/>
    <col min="7179" max="7425" width="11.42578125" style="517"/>
    <col min="7426" max="7426" width="7.140625" style="517" bestFit="1" customWidth="1"/>
    <col min="7427" max="7427" width="45.140625" style="517" customWidth="1"/>
    <col min="7428" max="7432" width="15.7109375" style="517" customWidth="1"/>
    <col min="7433" max="7433" width="11.42578125" style="517"/>
    <col min="7434" max="7434" width="39.140625" style="517" customWidth="1"/>
    <col min="7435" max="7681" width="11.42578125" style="517"/>
    <col min="7682" max="7682" width="7.140625" style="517" bestFit="1" customWidth="1"/>
    <col min="7683" max="7683" width="45.140625" style="517" customWidth="1"/>
    <col min="7684" max="7688" width="15.7109375" style="517" customWidth="1"/>
    <col min="7689" max="7689" width="11.42578125" style="517"/>
    <col min="7690" max="7690" width="39.140625" style="517" customWidth="1"/>
    <col min="7691" max="7937" width="11.42578125" style="517"/>
    <col min="7938" max="7938" width="7.140625" style="517" bestFit="1" customWidth="1"/>
    <col min="7939" max="7939" width="45.140625" style="517" customWidth="1"/>
    <col min="7940" max="7944" width="15.7109375" style="517" customWidth="1"/>
    <col min="7945" max="7945" width="11.42578125" style="517"/>
    <col min="7946" max="7946" width="39.140625" style="517" customWidth="1"/>
    <col min="7947" max="8193" width="11.42578125" style="517"/>
    <col min="8194" max="8194" width="7.140625" style="517" bestFit="1" customWidth="1"/>
    <col min="8195" max="8195" width="45.140625" style="517" customWidth="1"/>
    <col min="8196" max="8200" width="15.7109375" style="517" customWidth="1"/>
    <col min="8201" max="8201" width="11.42578125" style="517"/>
    <col min="8202" max="8202" width="39.140625" style="517" customWidth="1"/>
    <col min="8203" max="8449" width="11.42578125" style="517"/>
    <col min="8450" max="8450" width="7.140625" style="517" bestFit="1" customWidth="1"/>
    <col min="8451" max="8451" width="45.140625" style="517" customWidth="1"/>
    <col min="8452" max="8456" width="15.7109375" style="517" customWidth="1"/>
    <col min="8457" max="8457" width="11.42578125" style="517"/>
    <col min="8458" max="8458" width="39.140625" style="517" customWidth="1"/>
    <col min="8459" max="8705" width="11.42578125" style="517"/>
    <col min="8706" max="8706" width="7.140625" style="517" bestFit="1" customWidth="1"/>
    <col min="8707" max="8707" width="45.140625" style="517" customWidth="1"/>
    <col min="8708" max="8712" width="15.7109375" style="517" customWidth="1"/>
    <col min="8713" max="8713" width="11.42578125" style="517"/>
    <col min="8714" max="8714" width="39.140625" style="517" customWidth="1"/>
    <col min="8715" max="8961" width="11.42578125" style="517"/>
    <col min="8962" max="8962" width="7.140625" style="517" bestFit="1" customWidth="1"/>
    <col min="8963" max="8963" width="45.140625" style="517" customWidth="1"/>
    <col min="8964" max="8968" width="15.7109375" style="517" customWidth="1"/>
    <col min="8969" max="8969" width="11.42578125" style="517"/>
    <col min="8970" max="8970" width="39.140625" style="517" customWidth="1"/>
    <col min="8971" max="9217" width="11.42578125" style="517"/>
    <col min="9218" max="9218" width="7.140625" style="517" bestFit="1" customWidth="1"/>
    <col min="9219" max="9219" width="45.140625" style="517" customWidth="1"/>
    <col min="9220" max="9224" width="15.7109375" style="517" customWidth="1"/>
    <col min="9225" max="9225" width="11.42578125" style="517"/>
    <col min="9226" max="9226" width="39.140625" style="517" customWidth="1"/>
    <col min="9227" max="9473" width="11.42578125" style="517"/>
    <col min="9474" max="9474" width="7.140625" style="517" bestFit="1" customWidth="1"/>
    <col min="9475" max="9475" width="45.140625" style="517" customWidth="1"/>
    <col min="9476" max="9480" width="15.7109375" style="517" customWidth="1"/>
    <col min="9481" max="9481" width="11.42578125" style="517"/>
    <col min="9482" max="9482" width="39.140625" style="517" customWidth="1"/>
    <col min="9483" max="9729" width="11.42578125" style="517"/>
    <col min="9730" max="9730" width="7.140625" style="517" bestFit="1" customWidth="1"/>
    <col min="9731" max="9731" width="45.140625" style="517" customWidth="1"/>
    <col min="9732" max="9736" width="15.7109375" style="517" customWidth="1"/>
    <col min="9737" max="9737" width="11.42578125" style="517"/>
    <col min="9738" max="9738" width="39.140625" style="517" customWidth="1"/>
    <col min="9739" max="9985" width="11.42578125" style="517"/>
    <col min="9986" max="9986" width="7.140625" style="517" bestFit="1" customWidth="1"/>
    <col min="9987" max="9987" width="45.140625" style="517" customWidth="1"/>
    <col min="9988" max="9992" width="15.7109375" style="517" customWidth="1"/>
    <col min="9993" max="9993" width="11.42578125" style="517"/>
    <col min="9994" max="9994" width="39.140625" style="517" customWidth="1"/>
    <col min="9995" max="10241" width="11.42578125" style="517"/>
    <col min="10242" max="10242" width="7.140625" style="517" bestFit="1" customWidth="1"/>
    <col min="10243" max="10243" width="45.140625" style="517" customWidth="1"/>
    <col min="10244" max="10248" width="15.7109375" style="517" customWidth="1"/>
    <col min="10249" max="10249" width="11.42578125" style="517"/>
    <col min="10250" max="10250" width="39.140625" style="517" customWidth="1"/>
    <col min="10251" max="10497" width="11.42578125" style="517"/>
    <col min="10498" max="10498" width="7.140625" style="517" bestFit="1" customWidth="1"/>
    <col min="10499" max="10499" width="45.140625" style="517" customWidth="1"/>
    <col min="10500" max="10504" width="15.7109375" style="517" customWidth="1"/>
    <col min="10505" max="10505" width="11.42578125" style="517"/>
    <col min="10506" max="10506" width="39.140625" style="517" customWidth="1"/>
    <col min="10507" max="10753" width="11.42578125" style="517"/>
    <col min="10754" max="10754" width="7.140625" style="517" bestFit="1" customWidth="1"/>
    <col min="10755" max="10755" width="45.140625" style="517" customWidth="1"/>
    <col min="10756" max="10760" width="15.7109375" style="517" customWidth="1"/>
    <col min="10761" max="10761" width="11.42578125" style="517"/>
    <col min="10762" max="10762" width="39.140625" style="517" customWidth="1"/>
    <col min="10763" max="11009" width="11.42578125" style="517"/>
    <col min="11010" max="11010" width="7.140625" style="517" bestFit="1" customWidth="1"/>
    <col min="11011" max="11011" width="45.140625" style="517" customWidth="1"/>
    <col min="11012" max="11016" width="15.7109375" style="517" customWidth="1"/>
    <col min="11017" max="11017" width="11.42578125" style="517"/>
    <col min="11018" max="11018" width="39.140625" style="517" customWidth="1"/>
    <col min="11019" max="11265" width="11.42578125" style="517"/>
    <col min="11266" max="11266" width="7.140625" style="517" bestFit="1" customWidth="1"/>
    <col min="11267" max="11267" width="45.140625" style="517" customWidth="1"/>
    <col min="11268" max="11272" width="15.7109375" style="517" customWidth="1"/>
    <col min="11273" max="11273" width="11.42578125" style="517"/>
    <col min="11274" max="11274" width="39.140625" style="517" customWidth="1"/>
    <col min="11275" max="11521" width="11.42578125" style="517"/>
    <col min="11522" max="11522" width="7.140625" style="517" bestFit="1" customWidth="1"/>
    <col min="11523" max="11523" width="45.140625" style="517" customWidth="1"/>
    <col min="11524" max="11528" width="15.7109375" style="517" customWidth="1"/>
    <col min="11529" max="11529" width="11.42578125" style="517"/>
    <col min="11530" max="11530" width="39.140625" style="517" customWidth="1"/>
    <col min="11531" max="11777" width="11.42578125" style="517"/>
    <col min="11778" max="11778" width="7.140625" style="517" bestFit="1" customWidth="1"/>
    <col min="11779" max="11779" width="45.140625" style="517" customWidth="1"/>
    <col min="11780" max="11784" width="15.7109375" style="517" customWidth="1"/>
    <col min="11785" max="11785" width="11.42578125" style="517"/>
    <col min="11786" max="11786" width="39.140625" style="517" customWidth="1"/>
    <col min="11787" max="12033" width="11.42578125" style="517"/>
    <col min="12034" max="12034" width="7.140625" style="517" bestFit="1" customWidth="1"/>
    <col min="12035" max="12035" width="45.140625" style="517" customWidth="1"/>
    <col min="12036" max="12040" width="15.7109375" style="517" customWidth="1"/>
    <col min="12041" max="12041" width="11.42578125" style="517"/>
    <col min="12042" max="12042" width="39.140625" style="517" customWidth="1"/>
    <col min="12043" max="12289" width="11.42578125" style="517"/>
    <col min="12290" max="12290" width="7.140625" style="517" bestFit="1" customWidth="1"/>
    <col min="12291" max="12291" width="45.140625" style="517" customWidth="1"/>
    <col min="12292" max="12296" width="15.7109375" style="517" customWidth="1"/>
    <col min="12297" max="12297" width="11.42578125" style="517"/>
    <col min="12298" max="12298" width="39.140625" style="517" customWidth="1"/>
    <col min="12299" max="12545" width="11.42578125" style="517"/>
    <col min="12546" max="12546" width="7.140625" style="517" bestFit="1" customWidth="1"/>
    <col min="12547" max="12547" width="45.140625" style="517" customWidth="1"/>
    <col min="12548" max="12552" width="15.7109375" style="517" customWidth="1"/>
    <col min="12553" max="12553" width="11.42578125" style="517"/>
    <col min="12554" max="12554" width="39.140625" style="517" customWidth="1"/>
    <col min="12555" max="12801" width="11.42578125" style="517"/>
    <col min="12802" max="12802" width="7.140625" style="517" bestFit="1" customWidth="1"/>
    <col min="12803" max="12803" width="45.140625" style="517" customWidth="1"/>
    <col min="12804" max="12808" width="15.7109375" style="517" customWidth="1"/>
    <col min="12809" max="12809" width="11.42578125" style="517"/>
    <col min="12810" max="12810" width="39.140625" style="517" customWidth="1"/>
    <col min="12811" max="13057" width="11.42578125" style="517"/>
    <col min="13058" max="13058" width="7.140625" style="517" bestFit="1" customWidth="1"/>
    <col min="13059" max="13059" width="45.140625" style="517" customWidth="1"/>
    <col min="13060" max="13064" width="15.7109375" style="517" customWidth="1"/>
    <col min="13065" max="13065" width="11.42578125" style="517"/>
    <col min="13066" max="13066" width="39.140625" style="517" customWidth="1"/>
    <col min="13067" max="13313" width="11.42578125" style="517"/>
    <col min="13314" max="13314" width="7.140625" style="517" bestFit="1" customWidth="1"/>
    <col min="13315" max="13315" width="45.140625" style="517" customWidth="1"/>
    <col min="13316" max="13320" width="15.7109375" style="517" customWidth="1"/>
    <col min="13321" max="13321" width="11.42578125" style="517"/>
    <col min="13322" max="13322" width="39.140625" style="517" customWidth="1"/>
    <col min="13323" max="13569" width="11.42578125" style="517"/>
    <col min="13570" max="13570" width="7.140625" style="517" bestFit="1" customWidth="1"/>
    <col min="13571" max="13571" width="45.140625" style="517" customWidth="1"/>
    <col min="13572" max="13576" width="15.7109375" style="517" customWidth="1"/>
    <col min="13577" max="13577" width="11.42578125" style="517"/>
    <col min="13578" max="13578" width="39.140625" style="517" customWidth="1"/>
    <col min="13579" max="13825" width="11.42578125" style="517"/>
    <col min="13826" max="13826" width="7.140625" style="517" bestFit="1" customWidth="1"/>
    <col min="13827" max="13827" width="45.140625" style="517" customWidth="1"/>
    <col min="13828" max="13832" width="15.7109375" style="517" customWidth="1"/>
    <col min="13833" max="13833" width="11.42578125" style="517"/>
    <col min="13834" max="13834" width="39.140625" style="517" customWidth="1"/>
    <col min="13835" max="14081" width="11.42578125" style="517"/>
    <col min="14082" max="14082" width="7.140625" style="517" bestFit="1" customWidth="1"/>
    <col min="14083" max="14083" width="45.140625" style="517" customWidth="1"/>
    <col min="14084" max="14088" width="15.7109375" style="517" customWidth="1"/>
    <col min="14089" max="14089" width="11.42578125" style="517"/>
    <col min="14090" max="14090" width="39.140625" style="517" customWidth="1"/>
    <col min="14091" max="14337" width="11.42578125" style="517"/>
    <col min="14338" max="14338" width="7.140625" style="517" bestFit="1" customWidth="1"/>
    <col min="14339" max="14339" width="45.140625" style="517" customWidth="1"/>
    <col min="14340" max="14344" width="15.7109375" style="517" customWidth="1"/>
    <col min="14345" max="14345" width="11.42578125" style="517"/>
    <col min="14346" max="14346" width="39.140625" style="517" customWidth="1"/>
    <col min="14347" max="14593" width="11.42578125" style="517"/>
    <col min="14594" max="14594" width="7.140625" style="517" bestFit="1" customWidth="1"/>
    <col min="14595" max="14595" width="45.140625" style="517" customWidth="1"/>
    <col min="14596" max="14600" width="15.7109375" style="517" customWidth="1"/>
    <col min="14601" max="14601" width="11.42578125" style="517"/>
    <col min="14602" max="14602" width="39.140625" style="517" customWidth="1"/>
    <col min="14603" max="14849" width="11.42578125" style="517"/>
    <col min="14850" max="14850" width="7.140625" style="517" bestFit="1" customWidth="1"/>
    <col min="14851" max="14851" width="45.140625" style="517" customWidth="1"/>
    <col min="14852" max="14856" width="15.7109375" style="517" customWidth="1"/>
    <col min="14857" max="14857" width="11.42578125" style="517"/>
    <col min="14858" max="14858" width="39.140625" style="517" customWidth="1"/>
    <col min="14859" max="15105" width="11.42578125" style="517"/>
    <col min="15106" max="15106" width="7.140625" style="517" bestFit="1" customWidth="1"/>
    <col min="15107" max="15107" width="45.140625" style="517" customWidth="1"/>
    <col min="15108" max="15112" width="15.7109375" style="517" customWidth="1"/>
    <col min="15113" max="15113" width="11.42578125" style="517"/>
    <col min="15114" max="15114" width="39.140625" style="517" customWidth="1"/>
    <col min="15115" max="15361" width="11.42578125" style="517"/>
    <col min="15362" max="15362" width="7.140625" style="517" bestFit="1" customWidth="1"/>
    <col min="15363" max="15363" width="45.140625" style="517" customWidth="1"/>
    <col min="15364" max="15368" width="15.7109375" style="517" customWidth="1"/>
    <col min="15369" max="15369" width="11.42578125" style="517"/>
    <col min="15370" max="15370" width="39.140625" style="517" customWidth="1"/>
    <col min="15371" max="15617" width="11.42578125" style="517"/>
    <col min="15618" max="15618" width="7.140625" style="517" bestFit="1" customWidth="1"/>
    <col min="15619" max="15619" width="45.140625" style="517" customWidth="1"/>
    <col min="15620" max="15624" width="15.7109375" style="517" customWidth="1"/>
    <col min="15625" max="15625" width="11.42578125" style="517"/>
    <col min="15626" max="15626" width="39.140625" style="517" customWidth="1"/>
    <col min="15627" max="15873" width="11.42578125" style="517"/>
    <col min="15874" max="15874" width="7.140625" style="517" bestFit="1" customWidth="1"/>
    <col min="15875" max="15875" width="45.140625" style="517" customWidth="1"/>
    <col min="15876" max="15880" width="15.7109375" style="517" customWidth="1"/>
    <col min="15881" max="15881" width="11.42578125" style="517"/>
    <col min="15882" max="15882" width="39.140625" style="517" customWidth="1"/>
    <col min="15883" max="16129" width="11.42578125" style="517"/>
    <col min="16130" max="16130" width="7.140625" style="517" bestFit="1" customWidth="1"/>
    <col min="16131" max="16131" width="45.140625" style="517" customWidth="1"/>
    <col min="16132" max="16136" width="15.7109375" style="517" customWidth="1"/>
    <col min="16137" max="16137" width="11.42578125" style="517"/>
    <col min="16138" max="16138" width="39.140625" style="517" customWidth="1"/>
    <col min="16139" max="16384" width="11.42578125" style="517"/>
  </cols>
  <sheetData>
    <row r="1" spans="1:49" ht="9.9499999999999993" customHeight="1" x14ac:dyDescent="0.35">
      <c r="B1" s="518"/>
      <c r="C1" s="518"/>
      <c r="D1" s="518"/>
    </row>
    <row r="2" spans="1:49" s="519" customFormat="1" ht="21" x14ac:dyDescent="0.35">
      <c r="B2" s="520" t="s">
        <v>481</v>
      </c>
      <c r="C2" s="520"/>
      <c r="D2" s="520"/>
      <c r="E2" s="521"/>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R2" s="522"/>
    </row>
    <row r="3" spans="1:49" ht="9.9499999999999993" customHeight="1" x14ac:dyDescent="0.35">
      <c r="B3" s="518"/>
      <c r="C3" s="518"/>
      <c r="D3" s="518"/>
    </row>
    <row r="4" spans="1:49" s="528" customFormat="1" ht="18.75" x14ac:dyDescent="0.3">
      <c r="A4" s="523"/>
      <c r="B4" s="524" t="s">
        <v>502</v>
      </c>
      <c r="C4" s="525"/>
      <c r="D4" s="525"/>
      <c r="E4" s="526"/>
      <c r="F4" s="527"/>
      <c r="G4" s="527"/>
      <c r="H4" s="527"/>
      <c r="I4" s="527"/>
      <c r="J4" s="527"/>
      <c r="K4" s="527"/>
      <c r="L4" s="527"/>
      <c r="M4" s="527"/>
      <c r="N4" s="527"/>
      <c r="O4" s="527"/>
      <c r="P4" s="527"/>
      <c r="Q4" s="527"/>
      <c r="R4" s="527"/>
      <c r="S4" s="523"/>
      <c r="T4" s="523"/>
      <c r="U4" s="523"/>
      <c r="V4" s="523"/>
      <c r="W4" s="523"/>
      <c r="X4" s="523"/>
      <c r="Y4" s="523"/>
      <c r="Z4" s="523"/>
      <c r="AA4" s="523"/>
      <c r="AB4" s="523"/>
      <c r="AF4" s="523"/>
      <c r="AG4" s="523"/>
      <c r="AH4" s="523"/>
      <c r="AI4" s="523"/>
      <c r="AJ4" s="523"/>
      <c r="AN4" s="523"/>
      <c r="AO4" s="523"/>
      <c r="AP4" s="523"/>
      <c r="AQ4" s="523"/>
      <c r="AR4" s="523"/>
      <c r="AS4" s="523"/>
      <c r="AT4" s="523"/>
      <c r="AU4" s="523"/>
      <c r="AV4" s="523"/>
      <c r="AW4" s="523"/>
    </row>
    <row r="5" spans="1:49" ht="9.9499999999999993" customHeight="1" x14ac:dyDescent="0.35">
      <c r="B5" s="518"/>
      <c r="C5" s="518"/>
      <c r="D5" s="518"/>
    </row>
    <row r="6" spans="1:49" s="531" customFormat="1" ht="35.25" x14ac:dyDescent="0.25">
      <c r="A6" s="529"/>
      <c r="B6" s="530" t="str">
        <f>+[2]MMEE!D7</f>
        <v>Nombre de instalación (fija o móvil)</v>
      </c>
      <c r="C6" s="530" t="s">
        <v>482</v>
      </c>
      <c r="D6" s="530" t="s">
        <v>483</v>
      </c>
      <c r="E6" s="530" t="s">
        <v>484</v>
      </c>
      <c r="F6" s="530" t="s">
        <v>485</v>
      </c>
      <c r="G6" s="530" t="s">
        <v>486</v>
      </c>
      <c r="H6" s="530" t="s">
        <v>487</v>
      </c>
    </row>
    <row r="7" spans="1:49" s="537" customFormat="1" ht="11.25" x14ac:dyDescent="0.25">
      <c r="A7" s="532">
        <v>1</v>
      </c>
      <c r="B7" s="533" t="str">
        <f>+'MMEE std'!D10</f>
        <v>Seleccione</v>
      </c>
      <c r="C7" s="533" t="str">
        <f>+'MMEE std'!H10</f>
        <v>Seleccione</v>
      </c>
      <c r="D7" s="534">
        <f>+'MMEE std'!N10</f>
        <v>0</v>
      </c>
      <c r="E7" s="535">
        <f>+'MMEE std'!U10</f>
        <v>0</v>
      </c>
      <c r="F7" s="536">
        <f>+'MMEE std'!BE10</f>
        <v>0</v>
      </c>
      <c r="G7" s="535">
        <f>+'MMEE std'!BG10</f>
        <v>0</v>
      </c>
      <c r="H7" s="536">
        <f>+'MMEE std'!BI10</f>
        <v>0</v>
      </c>
    </row>
    <row r="8" spans="1:49" s="538" customFormat="1" ht="11.25" x14ac:dyDescent="0.25">
      <c r="A8" s="532">
        <v>2</v>
      </c>
      <c r="B8" s="533" t="str">
        <f>+'MMEE std'!D11</f>
        <v>Seleccione</v>
      </c>
      <c r="C8" s="533" t="str">
        <f>+'MMEE std'!H11</f>
        <v>Seleccione</v>
      </c>
      <c r="D8" s="534">
        <f>+'MMEE std'!N11</f>
        <v>0</v>
      </c>
      <c r="E8" s="535">
        <f>+'MMEE std'!U11</f>
        <v>0</v>
      </c>
      <c r="F8" s="536">
        <f>+[2]MMEE!BE11</f>
        <v>0</v>
      </c>
      <c r="G8" s="535">
        <f>+'MMEE std'!BG11</f>
        <v>0</v>
      </c>
      <c r="H8" s="536">
        <f>+'MMEE std'!BI11</f>
        <v>0</v>
      </c>
    </row>
    <row r="9" spans="1:49" s="538" customFormat="1" ht="11.25" x14ac:dyDescent="0.25">
      <c r="A9" s="532">
        <v>3</v>
      </c>
      <c r="B9" s="533" t="str">
        <f>+'MMEE std'!D12</f>
        <v>Seleccione</v>
      </c>
      <c r="C9" s="533" t="str">
        <f>+'MMEE std'!H12</f>
        <v>Seleccione</v>
      </c>
      <c r="D9" s="534">
        <f>+'MMEE std'!N12</f>
        <v>0</v>
      </c>
      <c r="E9" s="535">
        <f>+'MMEE std'!U12</f>
        <v>0</v>
      </c>
      <c r="F9" s="536">
        <f>+[2]MMEE!BE12</f>
        <v>0</v>
      </c>
      <c r="G9" s="535">
        <f>+'MMEE std'!BG12</f>
        <v>0</v>
      </c>
      <c r="H9" s="536">
        <f>+'MMEE std'!BI12</f>
        <v>0</v>
      </c>
    </row>
    <row r="10" spans="1:49" s="537" customFormat="1" ht="11.25" x14ac:dyDescent="0.25">
      <c r="A10" s="532">
        <v>4</v>
      </c>
      <c r="B10" s="533" t="str">
        <f>+'MMEE std'!D13</f>
        <v>Seleccione</v>
      </c>
      <c r="C10" s="533" t="str">
        <f>+'MMEE std'!H13</f>
        <v>Seleccione</v>
      </c>
      <c r="D10" s="534">
        <f>+'MMEE std'!N13</f>
        <v>0</v>
      </c>
      <c r="E10" s="535">
        <f>+'MMEE std'!U13</f>
        <v>0</v>
      </c>
      <c r="F10" s="536">
        <f>+[2]MMEE!BE13</f>
        <v>0</v>
      </c>
      <c r="G10" s="535">
        <f>+'MMEE std'!BG13</f>
        <v>0</v>
      </c>
      <c r="H10" s="536">
        <f>+'MMEE std'!BI13</f>
        <v>0</v>
      </c>
    </row>
    <row r="11" spans="1:49" s="538" customFormat="1" ht="11.25" x14ac:dyDescent="0.25">
      <c r="A11" s="532">
        <v>5</v>
      </c>
      <c r="B11" s="533" t="str">
        <f>+'MMEE std'!D14</f>
        <v>Seleccione</v>
      </c>
      <c r="C11" s="533" t="str">
        <f>+'MMEE std'!H14</f>
        <v>Seleccione</v>
      </c>
      <c r="D11" s="534">
        <f>+'MMEE std'!N14</f>
        <v>0</v>
      </c>
      <c r="E11" s="535">
        <f>+'MMEE std'!U14</f>
        <v>0</v>
      </c>
      <c r="F11" s="536">
        <f>+[2]MMEE!BE14</f>
        <v>0</v>
      </c>
      <c r="G11" s="535">
        <f>+'MMEE std'!BG14</f>
        <v>0</v>
      </c>
      <c r="H11" s="536">
        <f>+'MMEE std'!BI14</f>
        <v>0</v>
      </c>
    </row>
    <row r="12" spans="1:49" x14ac:dyDescent="0.2">
      <c r="A12" s="532">
        <v>6</v>
      </c>
      <c r="B12" s="533" t="str">
        <f>+'MMEE std'!D15</f>
        <v>Seleccione</v>
      </c>
      <c r="C12" s="533" t="str">
        <f>+'MMEE std'!H15</f>
        <v>Seleccione</v>
      </c>
      <c r="D12" s="534">
        <f>+'MMEE std'!N15</f>
        <v>0</v>
      </c>
      <c r="E12" s="535">
        <f>+'MMEE std'!U15</f>
        <v>0</v>
      </c>
      <c r="F12" s="536">
        <f>+[2]MMEE!BE15</f>
        <v>0</v>
      </c>
      <c r="G12" s="535">
        <f>+'MMEE std'!BG15</f>
        <v>0</v>
      </c>
      <c r="H12" s="536">
        <f>+'MMEE std'!BI15</f>
        <v>0</v>
      </c>
    </row>
    <row r="13" spans="1:49" x14ac:dyDescent="0.2">
      <c r="A13" s="532">
        <v>7</v>
      </c>
      <c r="B13" s="533" t="str">
        <f>+'MMEE std'!D16</f>
        <v>Seleccione</v>
      </c>
      <c r="C13" s="533" t="str">
        <f>+'MMEE std'!H16</f>
        <v>Seleccione</v>
      </c>
      <c r="D13" s="534">
        <f>+'MMEE std'!N16</f>
        <v>0</v>
      </c>
      <c r="E13" s="535">
        <f>+'MMEE std'!U16</f>
        <v>0</v>
      </c>
      <c r="F13" s="536">
        <f>+[2]MMEE!BE16</f>
        <v>0</v>
      </c>
      <c r="G13" s="535">
        <f>+'MMEE std'!BG16</f>
        <v>0</v>
      </c>
      <c r="H13" s="536">
        <f>+'MMEE std'!BI16</f>
        <v>0</v>
      </c>
    </row>
    <row r="14" spans="1:49" x14ac:dyDescent="0.2">
      <c r="A14" s="532">
        <v>8</v>
      </c>
      <c r="B14" s="533" t="str">
        <f>+'MMEE std'!D17</f>
        <v>Seleccione</v>
      </c>
      <c r="C14" s="533" t="str">
        <f>+'MMEE std'!H17</f>
        <v>Seleccione</v>
      </c>
      <c r="D14" s="534">
        <f>+'MMEE std'!N17</f>
        <v>0</v>
      </c>
      <c r="E14" s="535">
        <f>+'MMEE std'!U17</f>
        <v>0</v>
      </c>
      <c r="F14" s="536">
        <f>+[2]MMEE!BE17</f>
        <v>0</v>
      </c>
      <c r="G14" s="535">
        <f>+'MMEE std'!BG17</f>
        <v>0</v>
      </c>
      <c r="H14" s="536">
        <f>+'MMEE std'!BI17</f>
        <v>0</v>
      </c>
    </row>
    <row r="15" spans="1:49" x14ac:dyDescent="0.2">
      <c r="A15" s="532">
        <v>9</v>
      </c>
      <c r="B15" s="533" t="str">
        <f>+'MMEE std'!D18</f>
        <v>Seleccione</v>
      </c>
      <c r="C15" s="533" t="str">
        <f>+'MMEE std'!H18</f>
        <v>Seleccione</v>
      </c>
      <c r="D15" s="534">
        <f>+'MMEE std'!N18</f>
        <v>0</v>
      </c>
      <c r="E15" s="535">
        <f>+'MMEE std'!U18</f>
        <v>0</v>
      </c>
      <c r="F15" s="536">
        <f>+[2]MMEE!BE18</f>
        <v>0</v>
      </c>
      <c r="G15" s="535">
        <f>+'MMEE std'!BG18</f>
        <v>0</v>
      </c>
      <c r="H15" s="536">
        <f>+'MMEE std'!BI18</f>
        <v>0</v>
      </c>
    </row>
    <row r="16" spans="1:49" x14ac:dyDescent="0.2">
      <c r="A16" s="532">
        <v>10</v>
      </c>
      <c r="B16" s="533" t="str">
        <f>+'MMEE std'!D19</f>
        <v>Seleccione</v>
      </c>
      <c r="C16" s="533" t="str">
        <f>+'MMEE std'!H19</f>
        <v>Seleccione</v>
      </c>
      <c r="D16" s="534">
        <f>+'MMEE std'!N19</f>
        <v>0</v>
      </c>
      <c r="E16" s="535">
        <f>+'MMEE std'!U19</f>
        <v>0</v>
      </c>
      <c r="F16" s="536">
        <f>+[2]MMEE!BE19</f>
        <v>0</v>
      </c>
      <c r="G16" s="535">
        <f>+'MMEE std'!BG19</f>
        <v>0</v>
      </c>
      <c r="H16" s="536">
        <f>+'MMEE std'!BI19</f>
        <v>0</v>
      </c>
    </row>
    <row r="17" spans="1:8" x14ac:dyDescent="0.2">
      <c r="A17" s="532">
        <v>11</v>
      </c>
      <c r="B17" s="533" t="str">
        <f>+'MMEE std'!D20</f>
        <v>Seleccione</v>
      </c>
      <c r="C17" s="533" t="str">
        <f>+'MMEE std'!H20</f>
        <v>Seleccione</v>
      </c>
      <c r="D17" s="534">
        <f>+'MMEE std'!N20</f>
        <v>0</v>
      </c>
      <c r="E17" s="535">
        <f>+'MMEE std'!U20</f>
        <v>0</v>
      </c>
      <c r="F17" s="536">
        <f>+[2]MMEE!BE20</f>
        <v>0</v>
      </c>
      <c r="G17" s="535">
        <f>+'MMEE std'!BG20</f>
        <v>0</v>
      </c>
      <c r="H17" s="536">
        <f>+'MMEE std'!BI20</f>
        <v>0</v>
      </c>
    </row>
    <row r="18" spans="1:8" x14ac:dyDescent="0.2">
      <c r="A18" s="532">
        <v>12</v>
      </c>
      <c r="B18" s="533" t="str">
        <f>+'MMEE std'!D21</f>
        <v>Seleccione</v>
      </c>
      <c r="C18" s="533" t="str">
        <f>+'MMEE std'!H21</f>
        <v>Seleccione</v>
      </c>
      <c r="D18" s="534">
        <f>+'MMEE std'!N21</f>
        <v>0</v>
      </c>
      <c r="E18" s="535">
        <f>+'MMEE std'!U21</f>
        <v>0</v>
      </c>
      <c r="F18" s="536">
        <f>+[2]MMEE!BE21</f>
        <v>0</v>
      </c>
      <c r="G18" s="535">
        <f>+'MMEE std'!BG21</f>
        <v>0</v>
      </c>
      <c r="H18" s="536">
        <f>+'MMEE std'!BI21</f>
        <v>0</v>
      </c>
    </row>
    <row r="19" spans="1:8" x14ac:dyDescent="0.2">
      <c r="A19" s="532">
        <v>13</v>
      </c>
      <c r="B19" s="533" t="str">
        <f>+'MMEE std'!D22</f>
        <v>Seleccione</v>
      </c>
      <c r="C19" s="533" t="str">
        <f>+'MMEE std'!H22</f>
        <v>Seleccione</v>
      </c>
      <c r="D19" s="534">
        <f>+'MMEE std'!N22</f>
        <v>0</v>
      </c>
      <c r="E19" s="535">
        <f>+'MMEE std'!U22</f>
        <v>0</v>
      </c>
      <c r="F19" s="536">
        <f>+[2]MMEE!BE22</f>
        <v>0</v>
      </c>
      <c r="G19" s="535">
        <f>+'MMEE std'!BG22</f>
        <v>0</v>
      </c>
      <c r="H19" s="536">
        <f>+'MMEE std'!BI22</f>
        <v>0</v>
      </c>
    </row>
    <row r="20" spans="1:8" x14ac:dyDescent="0.2">
      <c r="A20" s="532">
        <v>14</v>
      </c>
      <c r="B20" s="533" t="str">
        <f>+'MMEE std'!D23</f>
        <v>Seleccione</v>
      </c>
      <c r="C20" s="533" t="str">
        <f>+'MMEE std'!H23</f>
        <v>Seleccione</v>
      </c>
      <c r="D20" s="534">
        <f>+'MMEE std'!N23</f>
        <v>0</v>
      </c>
      <c r="E20" s="535">
        <f>+'MMEE std'!U23</f>
        <v>0</v>
      </c>
      <c r="F20" s="536">
        <f>+[2]MMEE!BE23</f>
        <v>0</v>
      </c>
      <c r="G20" s="535">
        <f>+'MMEE std'!BG23</f>
        <v>0</v>
      </c>
      <c r="H20" s="536">
        <f>+'MMEE std'!BI23</f>
        <v>0</v>
      </c>
    </row>
    <row r="21" spans="1:8" x14ac:dyDescent="0.2">
      <c r="A21" s="532">
        <v>15</v>
      </c>
      <c r="B21" s="533" t="str">
        <f>+'MMEE std'!D24</f>
        <v>Seleccione</v>
      </c>
      <c r="C21" s="533" t="str">
        <f>+'MMEE std'!H24</f>
        <v>Seleccione</v>
      </c>
      <c r="D21" s="534">
        <f>+'MMEE std'!N24</f>
        <v>0</v>
      </c>
      <c r="E21" s="535">
        <f>+'MMEE std'!U24</f>
        <v>0</v>
      </c>
      <c r="F21" s="536">
        <f>+[2]MMEE!BE24</f>
        <v>0</v>
      </c>
      <c r="G21" s="535">
        <f>+'MMEE std'!BG24</f>
        <v>0</v>
      </c>
      <c r="H21" s="536">
        <f>+'MMEE std'!BI24</f>
        <v>0</v>
      </c>
    </row>
    <row r="22" spans="1:8" x14ac:dyDescent="0.2">
      <c r="A22" s="532">
        <v>16</v>
      </c>
      <c r="B22" s="533" t="str">
        <f>+'MMEE std'!D25</f>
        <v>Seleccione</v>
      </c>
      <c r="C22" s="533" t="str">
        <f>+'MMEE std'!H25</f>
        <v>Seleccione</v>
      </c>
      <c r="D22" s="534">
        <f>+'MMEE std'!N25</f>
        <v>0</v>
      </c>
      <c r="E22" s="535">
        <f>+'MMEE std'!U25</f>
        <v>0</v>
      </c>
      <c r="F22" s="536">
        <f>+[2]MMEE!BE25</f>
        <v>0</v>
      </c>
      <c r="G22" s="535">
        <f>+'MMEE std'!BG25</f>
        <v>0</v>
      </c>
      <c r="H22" s="536">
        <f>+'MMEE std'!BI25</f>
        <v>0</v>
      </c>
    </row>
    <row r="23" spans="1:8" x14ac:dyDescent="0.2">
      <c r="A23" s="532">
        <v>17</v>
      </c>
      <c r="B23" s="533" t="str">
        <f>+'MMEE std'!D26</f>
        <v>Seleccione</v>
      </c>
      <c r="C23" s="533" t="str">
        <f>+'MMEE std'!H26</f>
        <v>Seleccione</v>
      </c>
      <c r="D23" s="534">
        <f>+'MMEE std'!N26</f>
        <v>0</v>
      </c>
      <c r="E23" s="535">
        <f>+'MMEE std'!U26</f>
        <v>0</v>
      </c>
      <c r="F23" s="536">
        <f>+[2]MMEE!BE26</f>
        <v>0</v>
      </c>
      <c r="G23" s="535">
        <f>+'MMEE std'!BG26</f>
        <v>0</v>
      </c>
      <c r="H23" s="536">
        <f>+'MMEE std'!BI26</f>
        <v>0</v>
      </c>
    </row>
    <row r="24" spans="1:8" x14ac:dyDescent="0.2">
      <c r="A24" s="532">
        <v>18</v>
      </c>
      <c r="B24" s="533" t="str">
        <f>+'MMEE std'!D27</f>
        <v>Seleccione</v>
      </c>
      <c r="C24" s="533" t="str">
        <f>+'MMEE std'!H27</f>
        <v>Seleccione</v>
      </c>
      <c r="D24" s="534">
        <f>+'MMEE std'!N27</f>
        <v>0</v>
      </c>
      <c r="E24" s="535">
        <f>+'MMEE std'!U27</f>
        <v>0</v>
      </c>
      <c r="F24" s="536">
        <f>+[2]MMEE!BE27</f>
        <v>0</v>
      </c>
      <c r="G24" s="535">
        <f>+'MMEE std'!BG27</f>
        <v>0</v>
      </c>
      <c r="H24" s="536">
        <f>+'MMEE std'!BI27</f>
        <v>0</v>
      </c>
    </row>
    <row r="25" spans="1:8" x14ac:dyDescent="0.2">
      <c r="A25" s="532">
        <v>19</v>
      </c>
      <c r="B25" s="533" t="str">
        <f>+'MMEE std'!D28</f>
        <v>Seleccione</v>
      </c>
      <c r="C25" s="533" t="str">
        <f>+'MMEE std'!H28</f>
        <v>Seleccione</v>
      </c>
      <c r="D25" s="534">
        <f>+'MMEE std'!N28</f>
        <v>0</v>
      </c>
      <c r="E25" s="535">
        <f>+'MMEE std'!U28</f>
        <v>0</v>
      </c>
      <c r="F25" s="536">
        <f>+[2]MMEE!BE28</f>
        <v>0</v>
      </c>
      <c r="G25" s="535">
        <f>+'MMEE std'!BG28</f>
        <v>0</v>
      </c>
      <c r="H25" s="536">
        <f>+'MMEE std'!BI28</f>
        <v>0</v>
      </c>
    </row>
    <row r="26" spans="1:8" x14ac:dyDescent="0.2">
      <c r="A26" s="532">
        <v>20</v>
      </c>
      <c r="B26" s="533" t="str">
        <f>+'MMEE std'!D29</f>
        <v>Seleccione</v>
      </c>
      <c r="C26" s="533" t="str">
        <f>+'MMEE std'!H29</f>
        <v>Seleccione</v>
      </c>
      <c r="D26" s="534">
        <f>+'MMEE std'!N29</f>
        <v>0</v>
      </c>
      <c r="E26" s="535">
        <f>+'MMEE std'!U29</f>
        <v>0</v>
      </c>
      <c r="F26" s="536">
        <f>+[2]MMEE!BE29</f>
        <v>0</v>
      </c>
      <c r="G26" s="535">
        <f>+'MMEE std'!BG29</f>
        <v>0</v>
      </c>
      <c r="H26" s="536">
        <f>+'MMEE std'!BI29</f>
        <v>0</v>
      </c>
    </row>
    <row r="27" spans="1:8" x14ac:dyDescent="0.2">
      <c r="B27" s="539"/>
      <c r="C27" s="539" t="s">
        <v>488</v>
      </c>
      <c r="D27" s="540" t="s">
        <v>211</v>
      </c>
      <c r="E27" s="541">
        <f>+SUM(E7:E26)</f>
        <v>0</v>
      </c>
      <c r="F27" s="542">
        <f t="shared" ref="F27:H27" si="0">+SUM(F7:F26)</f>
        <v>0</v>
      </c>
      <c r="G27" s="541">
        <f t="shared" si="0"/>
        <v>0</v>
      </c>
      <c r="H27" s="542">
        <f t="shared" si="0"/>
        <v>0</v>
      </c>
    </row>
    <row r="29" spans="1:8" s="544" customFormat="1" ht="15.75" x14ac:dyDescent="0.25">
      <c r="A29" s="543" t="s">
        <v>12</v>
      </c>
    </row>
  </sheetData>
  <sheetProtection algorithmName="SHA-512" hashValue="biKL5A7sOUkvg/DQIGsm2I13AgvFfG9c4lD4qALkJwf1X24yBXikq0NEMGO9AzYUv3KWYsbuxxI+cld2mIPbaA==" saltValue="IYVKmC+ZeD3FoJH92yjxO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07"/>
  <sheetViews>
    <sheetView zoomScale="80" zoomScaleNormal="80" workbookViewId="0">
      <selection activeCell="B258" sqref="B258"/>
    </sheetView>
  </sheetViews>
  <sheetFormatPr baseColWidth="10" defaultColWidth="11.42578125" defaultRowHeight="15" x14ac:dyDescent="0.25"/>
  <cols>
    <col min="1" max="1" width="58.42578125" customWidth="1"/>
    <col min="2" max="2" width="14.140625" bestFit="1" customWidth="1"/>
    <col min="3" max="3" width="14.85546875" customWidth="1"/>
    <col min="4" max="4" width="95.28515625" customWidth="1"/>
    <col min="7" max="7" width="22.85546875" customWidth="1"/>
    <col min="8" max="8" width="22.42578125" customWidth="1"/>
    <col min="9" max="9" width="14.28515625" customWidth="1"/>
    <col min="10" max="10" width="22.42578125" customWidth="1"/>
    <col min="11" max="11" width="21.5703125" customWidth="1"/>
  </cols>
  <sheetData>
    <row r="1" spans="1:7" ht="18.75" x14ac:dyDescent="0.3">
      <c r="A1" s="21" t="s">
        <v>122</v>
      </c>
    </row>
    <row r="3" spans="1:7" x14ac:dyDescent="0.25">
      <c r="A3" t="s">
        <v>123</v>
      </c>
      <c r="B3" s="22"/>
    </row>
    <row r="5" spans="1:7" ht="15.75" x14ac:dyDescent="0.25">
      <c r="A5" s="144" t="s">
        <v>82</v>
      </c>
      <c r="B5" s="145"/>
      <c r="C5" s="145"/>
      <c r="D5" s="145"/>
    </row>
    <row r="6" spans="1:7" s="24" customFormat="1" x14ac:dyDescent="0.25">
      <c r="A6" s="23" t="s">
        <v>124</v>
      </c>
      <c r="B6" s="23" t="s">
        <v>10</v>
      </c>
      <c r="C6" s="23" t="s">
        <v>74</v>
      </c>
      <c r="D6" s="23" t="s">
        <v>125</v>
      </c>
    </row>
    <row r="7" spans="1:7" s="24" customFormat="1" x14ac:dyDescent="0.25">
      <c r="A7" s="25" t="s">
        <v>126</v>
      </c>
      <c r="B7" s="26">
        <v>1</v>
      </c>
      <c r="C7" s="25"/>
      <c r="D7" s="25" t="s">
        <v>209</v>
      </c>
    </row>
    <row r="8" spans="1:7" s="29" customFormat="1" x14ac:dyDescent="0.25">
      <c r="A8" s="27" t="s">
        <v>127</v>
      </c>
      <c r="B8" s="28">
        <f>1500*43.5</f>
        <v>65250</v>
      </c>
      <c r="C8" s="27"/>
      <c r="D8" s="27" t="s">
        <v>246</v>
      </c>
    </row>
    <row r="9" spans="1:7" s="37" customFormat="1" x14ac:dyDescent="0.25">
      <c r="A9" s="34" t="s">
        <v>182</v>
      </c>
      <c r="B9" s="67">
        <v>1380</v>
      </c>
      <c r="C9" s="34" t="s">
        <v>128</v>
      </c>
      <c r="D9" s="27" t="s">
        <v>333</v>
      </c>
      <c r="F9" s="65"/>
    </row>
    <row r="10" spans="1:7" s="37" customFormat="1" x14ac:dyDescent="0.25">
      <c r="A10" s="34" t="s">
        <v>183</v>
      </c>
      <c r="B10" s="67">
        <v>0</v>
      </c>
      <c r="C10" s="34" t="s">
        <v>128</v>
      </c>
      <c r="D10" s="43"/>
    </row>
    <row r="11" spans="1:7" s="24" customFormat="1" x14ac:dyDescent="0.25">
      <c r="A11" s="27" t="s">
        <v>129</v>
      </c>
      <c r="B11" s="31">
        <f>+B7*(B9-B10)*0.086/1000</f>
        <v>0.11867999999999999</v>
      </c>
      <c r="C11" s="27" t="s">
        <v>130</v>
      </c>
      <c r="D11" s="27"/>
      <c r="E11" s="32"/>
    </row>
    <row r="12" spans="1:7" s="24" customFormat="1" x14ac:dyDescent="0.25">
      <c r="A12" s="27" t="s">
        <v>131</v>
      </c>
      <c r="B12" s="30">
        <v>15</v>
      </c>
      <c r="C12" s="27" t="s">
        <v>132</v>
      </c>
      <c r="D12" s="27" t="s">
        <v>251</v>
      </c>
    </row>
    <row r="13" spans="1:7" s="24" customFormat="1" x14ac:dyDescent="0.25">
      <c r="A13" s="27" t="s">
        <v>133</v>
      </c>
      <c r="B13" s="33">
        <v>7.4999999999999997E-2</v>
      </c>
      <c r="C13" s="27"/>
      <c r="D13" s="27"/>
    </row>
    <row r="14" spans="1:7" s="37" customFormat="1" x14ac:dyDescent="0.25">
      <c r="A14" s="34" t="s">
        <v>134</v>
      </c>
      <c r="B14" s="76">
        <f>+PV(B13,B12,-B11,0,1)</f>
        <v>1.1261727641915258</v>
      </c>
      <c r="C14" s="34" t="s">
        <v>135</v>
      </c>
      <c r="D14" s="34"/>
      <c r="E14" s="35">
        <f>+B14/0.086*1000</f>
        <v>13095.032141761929</v>
      </c>
      <c r="F14" s="36" t="s">
        <v>136</v>
      </c>
      <c r="G14" s="37" t="s">
        <v>137</v>
      </c>
    </row>
    <row r="15" spans="1:7" s="24" customFormat="1" x14ac:dyDescent="0.25">
      <c r="A15" s="40" t="s">
        <v>243</v>
      </c>
      <c r="B15" s="28">
        <v>3</v>
      </c>
      <c r="C15" s="25"/>
      <c r="D15" s="25" t="s">
        <v>244</v>
      </c>
    </row>
    <row r="16" spans="1:7" s="24" customFormat="1" x14ac:dyDescent="0.25">
      <c r="A16" s="40" t="s">
        <v>139</v>
      </c>
      <c r="B16" s="190">
        <v>2</v>
      </c>
      <c r="C16" s="25"/>
      <c r="D16" s="25"/>
    </row>
    <row r="17" spans="1:6" s="24" customFormat="1" x14ac:dyDescent="0.25">
      <c r="A17" s="40" t="s">
        <v>140</v>
      </c>
      <c r="B17" s="190">
        <v>1</v>
      </c>
      <c r="C17" s="25"/>
      <c r="D17" s="25" t="s">
        <v>241</v>
      </c>
    </row>
    <row r="18" spans="1:6" s="24" customFormat="1" x14ac:dyDescent="0.25">
      <c r="A18" s="40" t="s">
        <v>337</v>
      </c>
      <c r="B18" s="159">
        <f>+B14*B15*B16*B17</f>
        <v>6.7570365851491552</v>
      </c>
      <c r="C18" s="25" t="s">
        <v>135</v>
      </c>
      <c r="D18" s="25"/>
    </row>
    <row r="19" spans="1:6" s="24" customFormat="1" x14ac:dyDescent="0.25">
      <c r="A19" s="25" t="s">
        <v>142</v>
      </c>
      <c r="B19" s="42">
        <v>1000</v>
      </c>
      <c r="C19" s="25" t="s">
        <v>143</v>
      </c>
      <c r="D19" s="25"/>
    </row>
    <row r="20" spans="1:6" s="24" customFormat="1" x14ac:dyDescent="0.25">
      <c r="A20" s="43" t="s">
        <v>240</v>
      </c>
      <c r="B20" s="44">
        <f>+B18*B19</f>
        <v>6757.0365851491551</v>
      </c>
      <c r="C20" s="25" t="s">
        <v>144</v>
      </c>
      <c r="D20" s="25" t="s">
        <v>145</v>
      </c>
    </row>
    <row r="21" spans="1:6" s="24" customFormat="1" x14ac:dyDescent="0.25">
      <c r="A21" s="25" t="s">
        <v>294</v>
      </c>
      <c r="B21" s="102">
        <f>0.1537*42.015</f>
        <v>6.4577055000000003</v>
      </c>
      <c r="C21" s="24" t="s">
        <v>248</v>
      </c>
      <c r="D21" s="139" t="s">
        <v>416</v>
      </c>
      <c r="E21" s="29" t="s">
        <v>472</v>
      </c>
    </row>
    <row r="22" spans="1:6" s="24" customFormat="1" x14ac:dyDescent="0.25">
      <c r="A22" s="25" t="s">
        <v>247</v>
      </c>
      <c r="B22" s="138">
        <f>+B9*B21</f>
        <v>8911.6335900000013</v>
      </c>
      <c r="C22" s="25" t="s">
        <v>250</v>
      </c>
    </row>
    <row r="23" spans="1:6" s="29" customFormat="1" x14ac:dyDescent="0.25">
      <c r="A23" s="38" t="s">
        <v>138</v>
      </c>
      <c r="B23" s="31">
        <f>B8/(-PV(10%,B12,B22,0,0))</f>
        <v>0.96263651947353379</v>
      </c>
      <c r="C23" s="27"/>
      <c r="D23" s="27"/>
      <c r="E23" s="24"/>
      <c r="F23" s="39"/>
    </row>
    <row r="24" spans="1:6" s="24" customFormat="1" x14ac:dyDescent="0.25">
      <c r="A24" s="43" t="s">
        <v>146</v>
      </c>
      <c r="B24" s="140">
        <f>700*1.21*12*2</f>
        <v>20328</v>
      </c>
      <c r="C24" s="25" t="s">
        <v>110</v>
      </c>
      <c r="D24" s="25" t="s">
        <v>147</v>
      </c>
      <c r="E24"/>
      <c r="F24" s="37"/>
    </row>
    <row r="25" spans="1:6" s="24" customFormat="1" x14ac:dyDescent="0.25">
      <c r="A25" s="43" t="s">
        <v>242</v>
      </c>
      <c r="B25" s="137">
        <f>+B20/B8</f>
        <v>0.10355611624749662</v>
      </c>
      <c r="C25" s="25"/>
      <c r="D25" s="25"/>
      <c r="E25"/>
      <c r="F25" s="37"/>
    </row>
    <row r="26" spans="1:6" x14ac:dyDescent="0.25">
      <c r="B26" s="136"/>
    </row>
    <row r="27" spans="1:6" ht="15.75" x14ac:dyDescent="0.25">
      <c r="A27" s="144" t="s">
        <v>175</v>
      </c>
      <c r="B27" s="145"/>
      <c r="C27" s="145"/>
      <c r="D27" s="145"/>
    </row>
    <row r="28" spans="1:6" s="24" customFormat="1" x14ac:dyDescent="0.25">
      <c r="A28" s="23" t="s">
        <v>124</v>
      </c>
      <c r="B28" s="23" t="s">
        <v>10</v>
      </c>
      <c r="C28" s="23" t="s">
        <v>74</v>
      </c>
      <c r="D28" s="23" t="s">
        <v>64</v>
      </c>
    </row>
    <row r="29" spans="1:6" s="24" customFormat="1" x14ac:dyDescent="0.25">
      <c r="A29" s="25" t="s">
        <v>148</v>
      </c>
      <c r="B29" s="45">
        <v>1</v>
      </c>
      <c r="C29" s="46"/>
      <c r="D29" s="25"/>
    </row>
    <row r="30" spans="1:6" s="24" customFormat="1" x14ac:dyDescent="0.25">
      <c r="A30" s="25" t="s">
        <v>149</v>
      </c>
      <c r="B30" s="47">
        <v>1.5</v>
      </c>
      <c r="C30" s="48" t="s">
        <v>150</v>
      </c>
      <c r="D30" s="46" t="s">
        <v>151</v>
      </c>
    </row>
    <row r="31" spans="1:6" s="29" customFormat="1" x14ac:dyDescent="0.25">
      <c r="A31" s="27" t="s">
        <v>127</v>
      </c>
      <c r="B31" s="28">
        <f>1800*B29*B30*43.5</f>
        <v>117450</v>
      </c>
      <c r="C31" s="27"/>
      <c r="D31" s="27" t="s">
        <v>245</v>
      </c>
    </row>
    <row r="32" spans="1:6" s="24" customFormat="1" x14ac:dyDescent="0.25">
      <c r="A32" s="43" t="s">
        <v>152</v>
      </c>
      <c r="B32" s="214">
        <v>0.16</v>
      </c>
      <c r="C32" s="64" t="s">
        <v>153</v>
      </c>
      <c r="D32" s="43" t="s">
        <v>151</v>
      </c>
      <c r="E32" s="29"/>
    </row>
    <row r="33" spans="1:9" s="37" customFormat="1" x14ac:dyDescent="0.25">
      <c r="A33" s="43" t="s">
        <v>365</v>
      </c>
      <c r="B33" s="214" t="s">
        <v>366</v>
      </c>
      <c r="C33" s="64"/>
      <c r="D33" s="43" t="s">
        <v>367</v>
      </c>
      <c r="E33" s="65"/>
    </row>
    <row r="34" spans="1:9" s="37" customFormat="1" x14ac:dyDescent="0.25">
      <c r="A34" s="43" t="s">
        <v>181</v>
      </c>
      <c r="B34" s="63">
        <f>+B30*B32*365*24</f>
        <v>2102.3999999999996</v>
      </c>
      <c r="C34" s="64" t="s">
        <v>128</v>
      </c>
      <c r="D34" s="43" t="s">
        <v>145</v>
      </c>
      <c r="E34" s="181">
        <f>+B34/(230*12)</f>
        <v>0.76173913043478247</v>
      </c>
      <c r="F34" s="37" t="s">
        <v>332</v>
      </c>
    </row>
    <row r="35" spans="1:9" s="37" customFormat="1" x14ac:dyDescent="0.25">
      <c r="A35" s="43" t="s">
        <v>180</v>
      </c>
      <c r="B35" s="66">
        <v>0</v>
      </c>
      <c r="C35" s="64" t="s">
        <v>128</v>
      </c>
      <c r="D35" s="43"/>
      <c r="F35" s="65"/>
    </row>
    <row r="36" spans="1:9" s="24" customFormat="1" x14ac:dyDescent="0.25">
      <c r="A36" s="25" t="s">
        <v>154</v>
      </c>
      <c r="B36" s="50">
        <f>+B34*0.086/1000</f>
        <v>0.18080639999999998</v>
      </c>
      <c r="C36" s="46" t="s">
        <v>130</v>
      </c>
      <c r="D36" s="25" t="s">
        <v>145</v>
      </c>
    </row>
    <row r="37" spans="1:9" s="24" customFormat="1" x14ac:dyDescent="0.25">
      <c r="A37" s="25" t="s">
        <v>131</v>
      </c>
      <c r="B37" s="42">
        <v>20</v>
      </c>
      <c r="C37" s="25" t="s">
        <v>132</v>
      </c>
      <c r="D37" s="25" t="s">
        <v>409</v>
      </c>
    </row>
    <row r="38" spans="1:9" s="24" customFormat="1" x14ac:dyDescent="0.25">
      <c r="A38" s="25" t="s">
        <v>133</v>
      </c>
      <c r="B38" s="51">
        <v>7.4999999999999997E-2</v>
      </c>
      <c r="C38" s="25" t="s">
        <v>153</v>
      </c>
      <c r="D38" s="25"/>
    </row>
    <row r="39" spans="1:9" s="37" customFormat="1" x14ac:dyDescent="0.25">
      <c r="A39" s="43" t="s">
        <v>134</v>
      </c>
      <c r="B39" s="52">
        <f>+PV(B38,B37,-B36,0,1)</f>
        <v>1.9814714786730914</v>
      </c>
      <c r="C39" s="43" t="s">
        <v>135</v>
      </c>
      <c r="D39" s="43" t="s">
        <v>145</v>
      </c>
    </row>
    <row r="40" spans="1:9" s="24" customFormat="1" x14ac:dyDescent="0.25">
      <c r="A40" s="40" t="s">
        <v>243</v>
      </c>
      <c r="B40" s="28">
        <v>3</v>
      </c>
      <c r="C40" s="25"/>
      <c r="D40" s="25" t="s">
        <v>244</v>
      </c>
    </row>
    <row r="41" spans="1:9" s="24" customFormat="1" x14ac:dyDescent="0.25">
      <c r="A41" s="25" t="s">
        <v>155</v>
      </c>
      <c r="B41" s="191">
        <v>1.8</v>
      </c>
      <c r="C41" s="25"/>
      <c r="D41" s="25"/>
    </row>
    <row r="42" spans="1:9" s="24" customFormat="1" x14ac:dyDescent="0.25">
      <c r="A42" s="40" t="s">
        <v>140</v>
      </c>
      <c r="B42" s="190">
        <v>1</v>
      </c>
      <c r="C42" s="25"/>
      <c r="D42" s="25" t="s">
        <v>241</v>
      </c>
      <c r="I42" s="53"/>
    </row>
    <row r="43" spans="1:9" s="37" customFormat="1" x14ac:dyDescent="0.25">
      <c r="A43" s="188" t="s">
        <v>141</v>
      </c>
      <c r="B43" s="192">
        <f>+B39*B40*B41*B42</f>
        <v>10.699945984834693</v>
      </c>
      <c r="C43" s="43" t="s">
        <v>135</v>
      </c>
      <c r="D43" s="43"/>
    </row>
    <row r="44" spans="1:9" s="24" customFormat="1" x14ac:dyDescent="0.25">
      <c r="A44" s="25" t="s">
        <v>117</v>
      </c>
      <c r="B44" s="42">
        <v>1000</v>
      </c>
      <c r="C44" s="25" t="s">
        <v>156</v>
      </c>
      <c r="D44" s="25"/>
    </row>
    <row r="45" spans="1:9" s="24" customFormat="1" x14ac:dyDescent="0.25">
      <c r="A45" s="43" t="s">
        <v>240</v>
      </c>
      <c r="B45" s="44">
        <f>+B39*B40*B41*B44</f>
        <v>10699.945984834694</v>
      </c>
      <c r="C45" s="25" t="s">
        <v>110</v>
      </c>
      <c r="D45" s="25" t="s">
        <v>145</v>
      </c>
      <c r="E45" s="142"/>
    </row>
    <row r="46" spans="1:9" s="24" customFormat="1" x14ac:dyDescent="0.25">
      <c r="A46" s="25" t="s">
        <v>249</v>
      </c>
      <c r="B46" s="237">
        <v>6.4577055000000003</v>
      </c>
      <c r="C46" s="24" t="s">
        <v>248</v>
      </c>
      <c r="D46" s="139" t="s">
        <v>416</v>
      </c>
      <c r="E46" s="29" t="s">
        <v>472</v>
      </c>
    </row>
    <row r="47" spans="1:9" s="24" customFormat="1" ht="14.25" customHeight="1" x14ac:dyDescent="0.25">
      <c r="A47" s="25" t="s">
        <v>247</v>
      </c>
      <c r="B47" s="138">
        <f>+B34*B46</f>
        <v>13576.680043199998</v>
      </c>
      <c r="C47" s="25" t="s">
        <v>250</v>
      </c>
    </row>
    <row r="48" spans="1:9" s="29" customFormat="1" ht="18" customHeight="1" x14ac:dyDescent="0.25">
      <c r="A48" s="38" t="s">
        <v>138</v>
      </c>
      <c r="B48" s="141">
        <f>B31/(-PV(10%,B37,B47,0,0))</f>
        <v>1.0161271301701751</v>
      </c>
      <c r="C48" s="27"/>
      <c r="D48" s="27"/>
      <c r="E48" s="24"/>
      <c r="F48" s="39"/>
    </row>
    <row r="49" spans="1:6" s="24" customFormat="1" x14ac:dyDescent="0.25">
      <c r="A49" s="43" t="s">
        <v>242</v>
      </c>
      <c r="B49" s="137">
        <f>+B45/B31</f>
        <v>9.1102136950486967E-2</v>
      </c>
      <c r="C49" s="25"/>
      <c r="D49" s="25"/>
      <c r="E49"/>
      <c r="F49" s="37"/>
    </row>
    <row r="51" spans="1:6" ht="15.75" x14ac:dyDescent="0.25">
      <c r="A51" s="144" t="s">
        <v>256</v>
      </c>
      <c r="B51" s="145"/>
      <c r="C51" s="145"/>
      <c r="D51" s="145"/>
    </row>
    <row r="52" spans="1:6" x14ac:dyDescent="0.25">
      <c r="A52" s="23" t="s">
        <v>124</v>
      </c>
      <c r="B52" s="23" t="s">
        <v>10</v>
      </c>
      <c r="C52" s="23" t="s">
        <v>74</v>
      </c>
      <c r="D52" s="23" t="s">
        <v>125</v>
      </c>
    </row>
    <row r="53" spans="1:6" s="24" customFormat="1" x14ac:dyDescent="0.25">
      <c r="A53" s="25" t="s">
        <v>163</v>
      </c>
      <c r="B53" s="54">
        <v>1</v>
      </c>
      <c r="C53" s="48"/>
      <c r="D53" s="46"/>
    </row>
    <row r="54" spans="1:6" s="29" customFormat="1" x14ac:dyDescent="0.25">
      <c r="A54" s="27" t="s">
        <v>127</v>
      </c>
      <c r="B54" s="28">
        <v>7890</v>
      </c>
      <c r="C54" s="27"/>
      <c r="D54" s="27" t="s">
        <v>353</v>
      </c>
    </row>
    <row r="55" spans="1:6" s="36" customFormat="1" x14ac:dyDescent="0.25">
      <c r="A55" s="43" t="s">
        <v>176</v>
      </c>
      <c r="B55" s="67">
        <f>230*35%*12</f>
        <v>966</v>
      </c>
      <c r="C55" s="34" t="s">
        <v>128</v>
      </c>
      <c r="D55" s="27" t="s">
        <v>263</v>
      </c>
      <c r="E55" s="65"/>
      <c r="F55" s="37"/>
    </row>
    <row r="56" spans="1:6" x14ac:dyDescent="0.25">
      <c r="A56" s="25" t="s">
        <v>164</v>
      </c>
      <c r="B56" s="148">
        <f>+(912-841)/912</f>
        <v>7.7850877192982462E-2</v>
      </c>
      <c r="C56" s="46"/>
      <c r="D56" s="25" t="s">
        <v>257</v>
      </c>
    </row>
    <row r="57" spans="1:6" s="36" customFormat="1" x14ac:dyDescent="0.25">
      <c r="A57" s="43" t="s">
        <v>179</v>
      </c>
      <c r="B57" s="68">
        <f>+B55*(1-B56)</f>
        <v>890.79605263157896</v>
      </c>
      <c r="C57" s="64" t="s">
        <v>128</v>
      </c>
      <c r="D57" s="25" t="s">
        <v>262</v>
      </c>
    </row>
    <row r="58" spans="1:6" x14ac:dyDescent="0.25">
      <c r="A58" s="25" t="s">
        <v>154</v>
      </c>
      <c r="B58" s="58">
        <f>+B53*(B55-B57)*0.086/1000</f>
        <v>6.4675394736842086E-3</v>
      </c>
      <c r="C58" s="46" t="s">
        <v>130</v>
      </c>
      <c r="D58" s="25"/>
    </row>
    <row r="59" spans="1:6" x14ac:dyDescent="0.25">
      <c r="A59" s="25" t="s">
        <v>131</v>
      </c>
      <c r="B59" s="41">
        <v>10</v>
      </c>
      <c r="C59" s="25" t="s">
        <v>132</v>
      </c>
      <c r="D59" s="43" t="s">
        <v>252</v>
      </c>
    </row>
    <row r="60" spans="1:6" x14ac:dyDescent="0.25">
      <c r="A60" s="25" t="s">
        <v>133</v>
      </c>
      <c r="B60" s="51">
        <v>7.4999999999999997E-2</v>
      </c>
      <c r="C60" s="25" t="s">
        <v>153</v>
      </c>
      <c r="D60" s="25"/>
    </row>
    <row r="61" spans="1:6" x14ac:dyDescent="0.25">
      <c r="A61" s="25" t="s">
        <v>134</v>
      </c>
      <c r="B61" s="160">
        <f>+PV(B60,B59,-B58,0,1)</f>
        <v>4.772324312337034E-2</v>
      </c>
      <c r="C61" s="25" t="s">
        <v>135</v>
      </c>
      <c r="D61" s="25"/>
    </row>
    <row r="62" spans="1:6" x14ac:dyDescent="0.25">
      <c r="A62" s="40" t="s">
        <v>243</v>
      </c>
      <c r="B62" s="28">
        <v>3</v>
      </c>
      <c r="C62" s="25"/>
      <c r="D62" s="25"/>
    </row>
    <row r="63" spans="1:6" s="24" customFormat="1" x14ac:dyDescent="0.25">
      <c r="A63" s="40" t="s">
        <v>140</v>
      </c>
      <c r="B63" s="190">
        <v>1</v>
      </c>
      <c r="C63" s="25"/>
      <c r="D63" s="25" t="s">
        <v>241</v>
      </c>
    </row>
    <row r="64" spans="1:6" s="37" customFormat="1" x14ac:dyDescent="0.25">
      <c r="A64" s="188" t="s">
        <v>141</v>
      </c>
      <c r="B64" s="192">
        <f>+B61*B62*B63</f>
        <v>0.14316972937011102</v>
      </c>
      <c r="C64" s="43" t="s">
        <v>135</v>
      </c>
      <c r="D64" s="43"/>
    </row>
    <row r="65" spans="1:9" x14ac:dyDescent="0.25">
      <c r="A65" s="25" t="s">
        <v>117</v>
      </c>
      <c r="B65" s="42">
        <v>1000</v>
      </c>
      <c r="C65" s="25" t="s">
        <v>156</v>
      </c>
      <c r="D65" s="25"/>
    </row>
    <row r="66" spans="1:9" x14ac:dyDescent="0.25">
      <c r="A66" s="25" t="s">
        <v>253</v>
      </c>
      <c r="B66" s="44">
        <f>+B64*B65</f>
        <v>143.16972937011101</v>
      </c>
      <c r="C66" s="43" t="s">
        <v>110</v>
      </c>
      <c r="D66" s="60"/>
    </row>
    <row r="67" spans="1:9" s="24" customFormat="1" x14ac:dyDescent="0.25">
      <c r="A67" s="25" t="s">
        <v>249</v>
      </c>
      <c r="B67" s="237">
        <v>6.4577055000000003</v>
      </c>
      <c r="C67" s="24" t="s">
        <v>248</v>
      </c>
      <c r="D67" s="139" t="s">
        <v>416</v>
      </c>
      <c r="E67" s="29" t="s">
        <v>472</v>
      </c>
    </row>
    <row r="68" spans="1:9" s="24" customFormat="1" ht="14.25" customHeight="1" x14ac:dyDescent="0.25">
      <c r="A68" s="25" t="s">
        <v>247</v>
      </c>
      <c r="B68" s="138">
        <f>+B58*B67*1000/0.086</f>
        <v>485.64494454276314</v>
      </c>
      <c r="C68" s="25" t="s">
        <v>250</v>
      </c>
      <c r="D68" s="25"/>
    </row>
    <row r="69" spans="1:9" s="29" customFormat="1" ht="18" customHeight="1" x14ac:dyDescent="0.25">
      <c r="A69" s="38" t="s">
        <v>138</v>
      </c>
      <c r="B69" s="141">
        <f>B54/(-PV(10%,B59,B68,0,0))</f>
        <v>2.6440328063786707</v>
      </c>
      <c r="C69" s="27"/>
      <c r="D69" s="27"/>
      <c r="E69" s="24"/>
      <c r="F69" s="39"/>
    </row>
    <row r="70" spans="1:9" s="24" customFormat="1" x14ac:dyDescent="0.25">
      <c r="A70" s="43" t="s">
        <v>242</v>
      </c>
      <c r="B70" s="146">
        <f>+B66/B54</f>
        <v>1.8145719818771992E-2</v>
      </c>
      <c r="C70" s="25"/>
      <c r="D70" s="25"/>
      <c r="E70"/>
      <c r="F70" s="37"/>
    </row>
    <row r="72" spans="1:9" ht="15.75" x14ac:dyDescent="0.25">
      <c r="A72" s="144" t="s">
        <v>165</v>
      </c>
      <c r="B72" s="145"/>
      <c r="C72" s="145"/>
      <c r="D72" s="145"/>
    </row>
    <row r="73" spans="1:9" x14ac:dyDescent="0.25">
      <c r="A73" s="23" t="s">
        <v>124</v>
      </c>
      <c r="B73" s="23" t="s">
        <v>10</v>
      </c>
      <c r="C73" s="23" t="s">
        <v>74</v>
      </c>
      <c r="D73" s="23" t="s">
        <v>125</v>
      </c>
    </row>
    <row r="74" spans="1:9" s="24" customFormat="1" x14ac:dyDescent="0.25">
      <c r="A74" s="25" t="s">
        <v>163</v>
      </c>
      <c r="B74" s="54">
        <v>1</v>
      </c>
      <c r="C74" s="48"/>
      <c r="D74" s="46"/>
      <c r="E74" s="168"/>
      <c r="I74" s="167"/>
    </row>
    <row r="75" spans="1:9" s="29" customFormat="1" x14ac:dyDescent="0.25">
      <c r="A75" s="27" t="s">
        <v>127</v>
      </c>
      <c r="B75" s="28">
        <f>317*45</f>
        <v>14265</v>
      </c>
      <c r="C75" s="27"/>
      <c r="D75" s="27" t="s">
        <v>355</v>
      </c>
      <c r="E75" s="147" t="s">
        <v>258</v>
      </c>
    </row>
    <row r="76" spans="1:9" s="37" customFormat="1" x14ac:dyDescent="0.25">
      <c r="A76" s="43" t="s">
        <v>259</v>
      </c>
      <c r="B76" s="69">
        <v>354</v>
      </c>
      <c r="C76" s="43" t="s">
        <v>128</v>
      </c>
      <c r="D76" s="27" t="s">
        <v>264</v>
      </c>
      <c r="E76" s="24" t="s">
        <v>290</v>
      </c>
      <c r="F76" s="24"/>
      <c r="G76" s="169">
        <f>+B76/(230*12*0.65)</f>
        <v>0.19732441471571907</v>
      </c>
    </row>
    <row r="77" spans="1:9" s="36" customFormat="1" x14ac:dyDescent="0.25">
      <c r="A77" s="43" t="s">
        <v>260</v>
      </c>
      <c r="B77" s="68">
        <v>276</v>
      </c>
      <c r="C77" s="64" t="s">
        <v>128</v>
      </c>
      <c r="D77" s="27" t="s">
        <v>261</v>
      </c>
    </row>
    <row r="78" spans="1:9" x14ac:dyDescent="0.25">
      <c r="A78" s="25" t="s">
        <v>166</v>
      </c>
      <c r="B78" s="149">
        <f>+(B76-B77)/B76</f>
        <v>0.22033898305084745</v>
      </c>
      <c r="C78" s="46"/>
      <c r="D78" s="143"/>
    </row>
    <row r="79" spans="1:9" x14ac:dyDescent="0.25">
      <c r="A79" s="25" t="s">
        <v>154</v>
      </c>
      <c r="B79" s="58">
        <f>+B74*(B76-B77)*0.086/1000</f>
        <v>6.7079999999999996E-3</v>
      </c>
      <c r="C79" s="46" t="s">
        <v>130</v>
      </c>
      <c r="D79" s="25"/>
    </row>
    <row r="80" spans="1:9" x14ac:dyDescent="0.25">
      <c r="A80" s="25" t="s">
        <v>131</v>
      </c>
      <c r="B80" s="324">
        <v>12</v>
      </c>
      <c r="C80" s="25" t="s">
        <v>132</v>
      </c>
      <c r="D80" s="43" t="s">
        <v>410</v>
      </c>
    </row>
    <row r="81" spans="1:12" x14ac:dyDescent="0.25">
      <c r="A81" s="25" t="s">
        <v>133</v>
      </c>
      <c r="B81" s="51">
        <v>7.4999999999999997E-2</v>
      </c>
      <c r="C81" s="25" t="s">
        <v>153</v>
      </c>
      <c r="D81" s="25"/>
    </row>
    <row r="82" spans="1:12" x14ac:dyDescent="0.25">
      <c r="A82" s="25" t="s">
        <v>134</v>
      </c>
      <c r="B82" s="161">
        <f>+PV(B81,B80,-B79,0,1)</f>
        <v>5.577986516531816E-2</v>
      </c>
      <c r="C82" s="25" t="s">
        <v>135</v>
      </c>
      <c r="D82" s="25"/>
      <c r="E82" s="59">
        <f>+B82/0.086*1000</f>
        <v>648.60308331765305</v>
      </c>
      <c r="F82" t="s">
        <v>136</v>
      </c>
      <c r="G82" t="s">
        <v>167</v>
      </c>
      <c r="K82">
        <v>560</v>
      </c>
    </row>
    <row r="83" spans="1:12" x14ac:dyDescent="0.25">
      <c r="A83" s="40" t="s">
        <v>243</v>
      </c>
      <c r="B83" s="28">
        <v>3</v>
      </c>
      <c r="C83" s="25"/>
      <c r="D83" s="25"/>
    </row>
    <row r="84" spans="1:12" s="24" customFormat="1" x14ac:dyDescent="0.25">
      <c r="A84" s="40" t="s">
        <v>140</v>
      </c>
      <c r="B84" s="190">
        <v>1</v>
      </c>
      <c r="C84" s="25"/>
      <c r="D84" s="25"/>
    </row>
    <row r="85" spans="1:12" s="37" customFormat="1" x14ac:dyDescent="0.25">
      <c r="A85" s="188" t="s">
        <v>141</v>
      </c>
      <c r="B85" s="192">
        <f>+B82*B83*B84</f>
        <v>0.16733959549595448</v>
      </c>
      <c r="C85" s="43" t="s">
        <v>135</v>
      </c>
      <c r="D85" s="43"/>
    </row>
    <row r="86" spans="1:12" x14ac:dyDescent="0.25">
      <c r="A86" s="25" t="s">
        <v>117</v>
      </c>
      <c r="B86" s="42">
        <v>1000</v>
      </c>
      <c r="C86" s="25" t="s">
        <v>156</v>
      </c>
      <c r="D86" s="25"/>
    </row>
    <row r="87" spans="1:12" x14ac:dyDescent="0.25">
      <c r="A87" s="25" t="s">
        <v>253</v>
      </c>
      <c r="B87" s="44">
        <f>+B82*B83*B86</f>
        <v>167.33959549595448</v>
      </c>
      <c r="C87" s="43" t="s">
        <v>110</v>
      </c>
      <c r="D87" s="60"/>
    </row>
    <row r="88" spans="1:12" s="24" customFormat="1" x14ac:dyDescent="0.25">
      <c r="A88" s="25" t="s">
        <v>249</v>
      </c>
      <c r="B88" s="237">
        <v>6.4577055000000003</v>
      </c>
      <c r="C88" s="24" t="s">
        <v>248</v>
      </c>
      <c r="D88" s="139" t="s">
        <v>416</v>
      </c>
      <c r="E88" s="29" t="s">
        <v>472</v>
      </c>
      <c r="I88" s="24" t="s">
        <v>297</v>
      </c>
      <c r="K88" s="173" t="s">
        <v>303</v>
      </c>
    </row>
    <row r="89" spans="1:12" s="24" customFormat="1" ht="14.25" customHeight="1" x14ac:dyDescent="0.25">
      <c r="A89" s="25" t="s">
        <v>247</v>
      </c>
      <c r="B89" s="138">
        <f>+B79*B88*1000/0.086</f>
        <v>503.70102899999995</v>
      </c>
      <c r="C89" s="25" t="s">
        <v>250</v>
      </c>
      <c r="I89" s="24" t="s">
        <v>298</v>
      </c>
      <c r="J89" s="24">
        <v>8</v>
      </c>
      <c r="K89" s="24">
        <v>6</v>
      </c>
    </row>
    <row r="90" spans="1:12" s="29" customFormat="1" ht="18" customHeight="1" x14ac:dyDescent="0.25">
      <c r="A90" s="38" t="s">
        <v>138</v>
      </c>
      <c r="B90" s="141">
        <f>B75/(-PV(10%,B80,B89,0,0))</f>
        <v>4.1563915286454538</v>
      </c>
      <c r="C90" s="27"/>
      <c r="D90" s="27"/>
      <c r="E90" s="24"/>
      <c r="F90" s="39"/>
      <c r="I90" s="29" t="s">
        <v>299</v>
      </c>
      <c r="J90" s="29">
        <f>3</f>
        <v>3</v>
      </c>
      <c r="K90" s="29">
        <v>4</v>
      </c>
    </row>
    <row r="91" spans="1:12" s="24" customFormat="1" x14ac:dyDescent="0.25">
      <c r="A91" s="43" t="s">
        <v>242</v>
      </c>
      <c r="B91" s="146">
        <f>+B87/B75</f>
        <v>1.1730781317627373E-2</v>
      </c>
      <c r="C91" s="25"/>
      <c r="D91" s="25"/>
      <c r="E91"/>
      <c r="F91" s="24" t="s">
        <v>295</v>
      </c>
      <c r="G91" s="24">
        <f>0.912</f>
        <v>0.91200000000000003</v>
      </c>
      <c r="J91" s="24">
        <f>+J89*J90*30</f>
        <v>720</v>
      </c>
      <c r="K91" s="24">
        <f>+K89*K90*30</f>
        <v>720</v>
      </c>
      <c r="L91" s="24" t="s">
        <v>308</v>
      </c>
    </row>
    <row r="92" spans="1:12" x14ac:dyDescent="0.25">
      <c r="F92" s="24" t="s">
        <v>296</v>
      </c>
      <c r="G92">
        <v>0.64900000000000002</v>
      </c>
      <c r="I92" s="24" t="s">
        <v>301</v>
      </c>
    </row>
    <row r="93" spans="1:12" ht="15.75" x14ac:dyDescent="0.25">
      <c r="A93" s="144" t="s">
        <v>168</v>
      </c>
      <c r="B93" s="145"/>
      <c r="C93" s="145"/>
      <c r="D93" s="145"/>
      <c r="I93" s="24" t="s">
        <v>302</v>
      </c>
      <c r="J93">
        <v>500</v>
      </c>
    </row>
    <row r="94" spans="1:12" x14ac:dyDescent="0.25">
      <c r="A94" s="23" t="s">
        <v>124</v>
      </c>
      <c r="B94" s="23" t="s">
        <v>10</v>
      </c>
      <c r="C94" s="23" t="s">
        <v>74</v>
      </c>
      <c r="D94" s="23" t="s">
        <v>125</v>
      </c>
    </row>
    <row r="95" spans="1:12" s="24" customFormat="1" x14ac:dyDescent="0.25">
      <c r="A95" s="25" t="s">
        <v>163</v>
      </c>
      <c r="B95" s="54">
        <v>1</v>
      </c>
      <c r="C95" s="48"/>
      <c r="D95" s="46"/>
    </row>
    <row r="96" spans="1:12" s="24" customFormat="1" x14ac:dyDescent="0.25">
      <c r="A96" s="25" t="s">
        <v>204</v>
      </c>
      <c r="B96" s="80">
        <v>12000</v>
      </c>
      <c r="C96" s="48" t="s">
        <v>205</v>
      </c>
      <c r="D96" s="46" t="s">
        <v>270</v>
      </c>
      <c r="J96" s="24" t="s">
        <v>313</v>
      </c>
    </row>
    <row r="97" spans="1:11" s="24" customFormat="1" ht="15.75" thickBot="1" x14ac:dyDescent="0.3">
      <c r="A97" s="27" t="s">
        <v>127</v>
      </c>
      <c r="B97" s="28">
        <v>14550</v>
      </c>
      <c r="C97" s="27"/>
      <c r="D97" s="27" t="s">
        <v>352</v>
      </c>
      <c r="E97" s="24">
        <f>8*0.65</f>
        <v>5.2</v>
      </c>
      <c r="G97" s="103"/>
      <c r="I97" s="24" t="s">
        <v>300</v>
      </c>
      <c r="J97" s="173" t="s">
        <v>297</v>
      </c>
      <c r="K97" s="24" t="s">
        <v>304</v>
      </c>
    </row>
    <row r="98" spans="1:11" s="151" customFormat="1" ht="30" x14ac:dyDescent="0.25">
      <c r="A98" s="150" t="s">
        <v>267</v>
      </c>
      <c r="B98" s="152">
        <f>+K98</f>
        <v>569.36359345548397</v>
      </c>
      <c r="C98" s="150" t="s">
        <v>128</v>
      </c>
      <c r="D98" s="153" t="s">
        <v>309</v>
      </c>
      <c r="E98" s="154">
        <v>26.012591075268823</v>
      </c>
      <c r="F98" s="155" t="s">
        <v>292</v>
      </c>
      <c r="G98" s="102">
        <f>+E98/(0.7*1*30)</f>
        <v>1.2386948131080391</v>
      </c>
      <c r="H98" s="151" t="s">
        <v>293</v>
      </c>
      <c r="I98" s="172">
        <f>$G$91*B98</f>
        <v>519.25959723140136</v>
      </c>
      <c r="J98" s="172">
        <f>E98*($J$90)*$J$89</f>
        <v>624.30218580645169</v>
      </c>
      <c r="K98" s="171">
        <f>J98*$G$91</f>
        <v>569.36359345548397</v>
      </c>
    </row>
    <row r="99" spans="1:11" s="151" customFormat="1" ht="30.75" thickBot="1" x14ac:dyDescent="0.3">
      <c r="A99" s="150" t="s">
        <v>268</v>
      </c>
      <c r="B99" s="152">
        <f>+K99</f>
        <v>368.51496645806452</v>
      </c>
      <c r="C99" s="150" t="s">
        <v>128</v>
      </c>
      <c r="D99" s="153" t="s">
        <v>310</v>
      </c>
      <c r="E99" s="156">
        <v>23.659152956989246</v>
      </c>
      <c r="F99" s="157" t="s">
        <v>292</v>
      </c>
      <c r="G99" s="102">
        <f>+E99/(0.7*1*30)</f>
        <v>1.1266263312852023</v>
      </c>
      <c r="H99" s="151" t="s">
        <v>293</v>
      </c>
      <c r="I99" s="172">
        <f>$G$92*B99</f>
        <v>239.16621323128388</v>
      </c>
      <c r="J99" s="172">
        <f>E99*($J$90)*$J$89</f>
        <v>567.8196709677419</v>
      </c>
      <c r="K99" s="171">
        <f>J99*$G$92</f>
        <v>368.51496645806452</v>
      </c>
    </row>
    <row r="100" spans="1:11" s="37" customFormat="1" ht="15.75" thickBot="1" x14ac:dyDescent="0.3">
      <c r="A100" s="43" t="s">
        <v>177</v>
      </c>
      <c r="B100" s="69">
        <f>+B98+B99</f>
        <v>937.87855991354854</v>
      </c>
      <c r="C100" s="43" t="s">
        <v>128</v>
      </c>
      <c r="D100" s="43"/>
      <c r="F100" s="36"/>
    </row>
    <row r="101" spans="1:11" s="151" customFormat="1" ht="30" x14ac:dyDescent="0.25">
      <c r="A101" s="150" t="s">
        <v>265</v>
      </c>
      <c r="B101" s="152">
        <f>+K101</f>
        <v>497.9240048571416</v>
      </c>
      <c r="C101" s="150" t="s">
        <v>128</v>
      </c>
      <c r="D101" s="153" t="s">
        <v>311</v>
      </c>
      <c r="E101" s="154">
        <v>22.7487209821428</v>
      </c>
      <c r="F101" s="155" t="s">
        <v>169</v>
      </c>
      <c r="G101" s="102">
        <f>+E101/(0.7*1*30)</f>
        <v>1.0832724277210857</v>
      </c>
      <c r="H101" s="151" t="s">
        <v>293</v>
      </c>
      <c r="I101" s="172">
        <f>$G$91*B101</f>
        <v>454.10669242971318</v>
      </c>
      <c r="J101" s="172">
        <f>E101*($J$90)*$J$89</f>
        <v>545.96930357142719</v>
      </c>
      <c r="K101" s="171">
        <f>J101*$G$91</f>
        <v>497.9240048571416</v>
      </c>
    </row>
    <row r="102" spans="1:11" s="151" customFormat="1" ht="30.75" thickBot="1" x14ac:dyDescent="0.3">
      <c r="A102" s="150" t="s">
        <v>266</v>
      </c>
      <c r="B102" s="152">
        <f>+K102</f>
        <v>332.09053943214292</v>
      </c>
      <c r="C102" s="150" t="s">
        <v>128</v>
      </c>
      <c r="D102" s="153" t="s">
        <v>312</v>
      </c>
      <c r="E102" s="156">
        <v>21.32065610119048</v>
      </c>
      <c r="F102" s="157" t="s">
        <v>169</v>
      </c>
      <c r="G102" s="102">
        <f>+E102/(0.7*1*30)</f>
        <v>1.0152693381519275</v>
      </c>
      <c r="H102" s="151" t="s">
        <v>293</v>
      </c>
      <c r="I102" s="172">
        <f>$G$92*B102</f>
        <v>215.52676009146077</v>
      </c>
      <c r="J102" s="172">
        <f>E102*($J$90)*$J$89</f>
        <v>511.69574642857151</v>
      </c>
      <c r="K102" s="171">
        <f>J102*$G$92</f>
        <v>332.09053943214292</v>
      </c>
    </row>
    <row r="103" spans="1:11" s="36" customFormat="1" x14ac:dyDescent="0.25">
      <c r="A103" s="43" t="s">
        <v>178</v>
      </c>
      <c r="B103" s="68">
        <f>+B101+B102</f>
        <v>830.01454428928446</v>
      </c>
      <c r="C103" s="64" t="s">
        <v>128</v>
      </c>
      <c r="D103" s="158" t="s">
        <v>269</v>
      </c>
      <c r="E103"/>
      <c r="F103"/>
    </row>
    <row r="104" spans="1:11" x14ac:dyDescent="0.25">
      <c r="A104" s="25" t="s">
        <v>154</v>
      </c>
      <c r="B104" s="61">
        <f>+B95*(B100-B103)/1000*0.086</f>
        <v>9.2763053436867096E-3</v>
      </c>
      <c r="C104" s="46" t="s">
        <v>130</v>
      </c>
      <c r="D104" s="170"/>
    </row>
    <row r="105" spans="1:11" x14ac:dyDescent="0.25">
      <c r="A105" s="25" t="s">
        <v>131</v>
      </c>
      <c r="B105" s="324">
        <v>8</v>
      </c>
      <c r="C105" s="25" t="s">
        <v>132</v>
      </c>
      <c r="D105" s="43" t="s">
        <v>411</v>
      </c>
      <c r="H105" s="151" t="s">
        <v>305</v>
      </c>
      <c r="I105" s="174">
        <f>I98+I99</f>
        <v>758.42581046268526</v>
      </c>
      <c r="J105" s="174">
        <f>I105/12</f>
        <v>63.202150871890439</v>
      </c>
    </row>
    <row r="106" spans="1:11" ht="30" x14ac:dyDescent="0.25">
      <c r="A106" s="25" t="s">
        <v>133</v>
      </c>
      <c r="B106" s="51">
        <v>7.4999999999999997E-2</v>
      </c>
      <c r="C106" s="25" t="s">
        <v>153</v>
      </c>
      <c r="D106" s="25"/>
      <c r="H106" s="151" t="s">
        <v>306</v>
      </c>
      <c r="I106" s="136">
        <f>+I105/(230*12)</f>
        <v>0.27479196031256714</v>
      </c>
    </row>
    <row r="107" spans="1:11" x14ac:dyDescent="0.25">
      <c r="A107" s="25" t="s">
        <v>134</v>
      </c>
      <c r="B107" s="75">
        <f>+PV(B106,B105,-B104,0,1)</f>
        <v>5.8409196484411015E-2</v>
      </c>
      <c r="C107" s="25" t="s">
        <v>135</v>
      </c>
      <c r="D107" s="25"/>
      <c r="E107" s="59">
        <f>+B107/0.086*1000</f>
        <v>679.17670330710484</v>
      </c>
      <c r="F107" t="s">
        <v>136</v>
      </c>
    </row>
    <row r="108" spans="1:11" x14ac:dyDescent="0.25">
      <c r="A108" s="40" t="s">
        <v>243</v>
      </c>
      <c r="B108" s="28">
        <v>3</v>
      </c>
      <c r="C108" s="25"/>
      <c r="D108" s="25"/>
      <c r="H108" t="s">
        <v>307</v>
      </c>
    </row>
    <row r="109" spans="1:11" s="24" customFormat="1" x14ac:dyDescent="0.25">
      <c r="A109" s="40" t="s">
        <v>140</v>
      </c>
      <c r="B109" s="190">
        <v>1</v>
      </c>
      <c r="C109" s="25"/>
      <c r="D109" s="25"/>
    </row>
    <row r="110" spans="1:11" s="24" customFormat="1" x14ac:dyDescent="0.25">
      <c r="A110" s="188" t="s">
        <v>141</v>
      </c>
      <c r="B110" s="75">
        <f>+B107*B108*B109</f>
        <v>0.17522758945323305</v>
      </c>
      <c r="C110" s="25" t="s">
        <v>135</v>
      </c>
      <c r="D110" s="25"/>
    </row>
    <row r="111" spans="1:11" x14ac:dyDescent="0.25">
      <c r="A111" s="25" t="s">
        <v>117</v>
      </c>
      <c r="B111" s="42">
        <v>1000</v>
      </c>
      <c r="C111" s="25" t="s">
        <v>156</v>
      </c>
      <c r="D111" s="25"/>
    </row>
    <row r="112" spans="1:11" x14ac:dyDescent="0.25">
      <c r="A112" s="25" t="s">
        <v>253</v>
      </c>
      <c r="B112" s="44">
        <f>+B110*B111</f>
        <v>175.22758945323307</v>
      </c>
      <c r="C112" s="43" t="s">
        <v>110</v>
      </c>
      <c r="D112" s="60"/>
    </row>
    <row r="113" spans="1:22" s="24" customFormat="1" x14ac:dyDescent="0.25">
      <c r="A113" s="25" t="s">
        <v>291</v>
      </c>
      <c r="B113" s="237">
        <v>6.4577055000000003</v>
      </c>
      <c r="C113" s="24" t="s">
        <v>248</v>
      </c>
      <c r="D113" s="139" t="s">
        <v>416</v>
      </c>
      <c r="E113" s="29" t="s">
        <v>472</v>
      </c>
    </row>
    <row r="114" spans="1:22" s="24" customFormat="1" ht="14.25" customHeight="1" x14ac:dyDescent="0.25">
      <c r="A114" s="25" t="s">
        <v>247</v>
      </c>
      <c r="B114" s="138">
        <f>+B104*B113*1000/0.086</f>
        <v>696.55404694889603</v>
      </c>
      <c r="C114" s="25" t="s">
        <v>250</v>
      </c>
    </row>
    <row r="115" spans="1:22" s="29" customFormat="1" ht="18" customHeight="1" x14ac:dyDescent="0.25">
      <c r="A115" s="38" t="s">
        <v>138</v>
      </c>
      <c r="B115" s="141">
        <f>B97/(-PV(10%,B105,B114,0,0))</f>
        <v>3.9154326468418739</v>
      </c>
      <c r="C115" s="27"/>
      <c r="D115" s="27"/>
      <c r="E115" s="24"/>
      <c r="F115" s="39"/>
    </row>
    <row r="116" spans="1:22" s="24" customFormat="1" x14ac:dyDescent="0.25">
      <c r="A116" s="43" t="s">
        <v>242</v>
      </c>
      <c r="B116" s="146">
        <f>+B112/B97</f>
        <v>1.204313329575485E-2</v>
      </c>
      <c r="C116" s="25"/>
      <c r="D116" s="25"/>
      <c r="E116"/>
      <c r="F116" s="37"/>
    </row>
    <row r="118" spans="1:22" ht="15.75" x14ac:dyDescent="0.25">
      <c r="A118" s="144" t="s">
        <v>254</v>
      </c>
      <c r="B118" s="145"/>
      <c r="C118" s="145"/>
      <c r="D118" s="145"/>
      <c r="G118" s="144" t="s">
        <v>255</v>
      </c>
      <c r="H118" s="145"/>
      <c r="I118" s="145"/>
      <c r="J118" s="145"/>
    </row>
    <row r="119" spans="1:22" s="24" customFormat="1" x14ac:dyDescent="0.25">
      <c r="A119" s="23" t="s">
        <v>124</v>
      </c>
      <c r="B119" s="23" t="s">
        <v>10</v>
      </c>
      <c r="C119" s="23" t="s">
        <v>74</v>
      </c>
      <c r="D119" s="23" t="s">
        <v>125</v>
      </c>
      <c r="G119" s="23" t="s">
        <v>124</v>
      </c>
      <c r="H119" s="23" t="s">
        <v>10</v>
      </c>
      <c r="I119" s="23" t="s">
        <v>74</v>
      </c>
      <c r="J119" s="23" t="s">
        <v>125</v>
      </c>
      <c r="O119"/>
      <c r="P119"/>
      <c r="Q119" t="s">
        <v>314</v>
      </c>
      <c r="R119" s="175">
        <v>60</v>
      </c>
      <c r="S119" s="175" t="s">
        <v>315</v>
      </c>
      <c r="T119"/>
      <c r="U119"/>
      <c r="V119"/>
    </row>
    <row r="120" spans="1:22" s="24" customFormat="1" x14ac:dyDescent="0.25">
      <c r="A120" s="25" t="s">
        <v>157</v>
      </c>
      <c r="B120" s="54">
        <v>1</v>
      </c>
      <c r="C120" s="48"/>
      <c r="D120" s="46"/>
      <c r="G120" s="25" t="s">
        <v>157</v>
      </c>
      <c r="H120" s="54">
        <v>1</v>
      </c>
      <c r="I120" s="48"/>
      <c r="J120" s="46"/>
      <c r="O120"/>
      <c r="P120"/>
      <c r="Q120" t="s">
        <v>316</v>
      </c>
      <c r="R120" s="175">
        <f>R119*Q125</f>
        <v>780</v>
      </c>
      <c r="S120" s="175" t="s">
        <v>317</v>
      </c>
      <c r="T120"/>
      <c r="U120"/>
      <c r="V120"/>
    </row>
    <row r="121" spans="1:22" s="24" customFormat="1" x14ac:dyDescent="0.25">
      <c r="A121" s="25" t="s">
        <v>158</v>
      </c>
      <c r="B121" s="55">
        <v>10</v>
      </c>
      <c r="C121" s="46" t="s">
        <v>159</v>
      </c>
      <c r="D121" s="25"/>
      <c r="E121" s="103"/>
      <c r="F121" s="29"/>
      <c r="G121" s="25" t="s">
        <v>158</v>
      </c>
      <c r="H121" s="55">
        <v>18</v>
      </c>
      <c r="I121" s="46" t="s">
        <v>159</v>
      </c>
      <c r="J121" s="25"/>
      <c r="O121"/>
      <c r="P121"/>
      <c r="Q121"/>
      <c r="R121"/>
      <c r="S121"/>
      <c r="T121"/>
      <c r="U121"/>
      <c r="V121"/>
    </row>
    <row r="122" spans="1:22" s="24" customFormat="1" x14ac:dyDescent="0.25">
      <c r="A122" s="25" t="s">
        <v>278</v>
      </c>
      <c r="B122" s="55">
        <f>90*B120</f>
        <v>90</v>
      </c>
      <c r="C122" s="46" t="s">
        <v>277</v>
      </c>
      <c r="D122" s="25"/>
      <c r="E122" s="103"/>
      <c r="F122" s="29"/>
      <c r="G122" s="25" t="s">
        <v>278</v>
      </c>
      <c r="H122" s="55">
        <v>200</v>
      </c>
      <c r="I122" s="46" t="s">
        <v>277</v>
      </c>
      <c r="J122" s="25"/>
      <c r="O122"/>
      <c r="P122"/>
      <c r="Q122"/>
      <c r="R122"/>
      <c r="S122"/>
      <c r="T122"/>
      <c r="U122"/>
      <c r="V122"/>
    </row>
    <row r="123" spans="1:22" s="24" customFormat="1" x14ac:dyDescent="0.25">
      <c r="A123" s="25" t="s">
        <v>160</v>
      </c>
      <c r="B123" s="164">
        <v>14</v>
      </c>
      <c r="C123" s="46" t="s">
        <v>159</v>
      </c>
      <c r="D123" s="25" t="s">
        <v>161</v>
      </c>
      <c r="E123" s="104"/>
      <c r="G123" s="25" t="s">
        <v>160</v>
      </c>
      <c r="H123" s="165">
        <v>36</v>
      </c>
      <c r="I123" s="46" t="s">
        <v>159</v>
      </c>
      <c r="J123" s="25"/>
      <c r="O123" t="s">
        <v>318</v>
      </c>
      <c r="P123"/>
      <c r="Q123"/>
      <c r="R123"/>
      <c r="S123"/>
      <c r="T123" t="s">
        <v>319</v>
      </c>
      <c r="U123"/>
      <c r="V123"/>
    </row>
    <row r="124" spans="1:22" s="24" customFormat="1" x14ac:dyDescent="0.25">
      <c r="A124" s="25" t="s">
        <v>356</v>
      </c>
      <c r="B124" s="163">
        <f>+B121/B123</f>
        <v>0.7142857142857143</v>
      </c>
      <c r="C124" s="46"/>
      <c r="D124" s="25"/>
      <c r="F124" s="29"/>
      <c r="G124" s="25" t="s">
        <v>357</v>
      </c>
      <c r="H124" s="163">
        <f>+H121/H123</f>
        <v>0.5</v>
      </c>
      <c r="I124" s="46"/>
      <c r="J124" s="25"/>
      <c r="O124"/>
      <c r="P124" s="175" t="s">
        <v>320</v>
      </c>
      <c r="Q124" s="175" t="s">
        <v>321</v>
      </c>
      <c r="R124" s="175" t="s">
        <v>322</v>
      </c>
      <c r="S124"/>
      <c r="T124"/>
      <c r="U124"/>
      <c r="V124" s="175" t="s">
        <v>322</v>
      </c>
    </row>
    <row r="125" spans="1:22" s="147" customFormat="1" x14ac:dyDescent="0.25">
      <c r="A125" s="27" t="s">
        <v>162</v>
      </c>
      <c r="B125" s="232">
        <v>8</v>
      </c>
      <c r="C125" s="233" t="s">
        <v>185</v>
      </c>
      <c r="D125" s="27"/>
      <c r="G125" s="27" t="s">
        <v>162</v>
      </c>
      <c r="H125" s="232">
        <v>8</v>
      </c>
      <c r="I125" s="233" t="s">
        <v>185</v>
      </c>
      <c r="J125" s="27"/>
      <c r="O125" s="234" t="s">
        <v>323</v>
      </c>
      <c r="P125" s="235">
        <v>1000</v>
      </c>
      <c r="Q125" s="235">
        <v>13</v>
      </c>
      <c r="R125" s="235">
        <f>$R$120/Q125</f>
        <v>60</v>
      </c>
      <c r="S125" s="234"/>
      <c r="T125" s="234"/>
      <c r="U125" s="234"/>
      <c r="V125" s="234"/>
    </row>
    <row r="126" spans="1:22" s="24" customFormat="1" x14ac:dyDescent="0.25">
      <c r="A126" s="25" t="s">
        <v>184</v>
      </c>
      <c r="B126" s="56">
        <v>5</v>
      </c>
      <c r="C126" s="46" t="s">
        <v>186</v>
      </c>
      <c r="D126" s="25"/>
      <c r="G126" s="25" t="s">
        <v>184</v>
      </c>
      <c r="H126" s="56">
        <v>5</v>
      </c>
      <c r="I126" s="46" t="s">
        <v>186</v>
      </c>
      <c r="J126" s="25"/>
      <c r="O126" s="176" t="s">
        <v>324</v>
      </c>
      <c r="P126" s="177">
        <v>6000</v>
      </c>
      <c r="Q126" s="177">
        <v>55</v>
      </c>
      <c r="R126" s="179">
        <f t="shared" ref="R126:R127" si="0">$R$120/Q126</f>
        <v>14.181818181818182</v>
      </c>
      <c r="S126"/>
      <c r="T126"/>
      <c r="U126" t="s">
        <v>324</v>
      </c>
      <c r="V126" s="179">
        <v>36</v>
      </c>
    </row>
    <row r="127" spans="1:22" s="24" customFormat="1" x14ac:dyDescent="0.25">
      <c r="A127" s="25" t="s">
        <v>187</v>
      </c>
      <c r="B127" s="56">
        <v>52</v>
      </c>
      <c r="C127" s="46" t="s">
        <v>190</v>
      </c>
      <c r="D127" s="25"/>
      <c r="G127" s="25" t="s">
        <v>187</v>
      </c>
      <c r="H127" s="56">
        <v>52</v>
      </c>
      <c r="I127" s="46" t="s">
        <v>190</v>
      </c>
      <c r="J127" s="25"/>
      <c r="O127" t="s">
        <v>325</v>
      </c>
      <c r="P127" s="175">
        <v>10000</v>
      </c>
      <c r="Q127" s="175">
        <v>80</v>
      </c>
      <c r="R127" s="179">
        <f t="shared" si="0"/>
        <v>9.75</v>
      </c>
      <c r="S127"/>
      <c r="T127"/>
      <c r="U127" t="s">
        <v>325</v>
      </c>
      <c r="V127" s="179">
        <v>18</v>
      </c>
    </row>
    <row r="128" spans="1:22" s="37" customFormat="1" x14ac:dyDescent="0.25">
      <c r="A128" s="43" t="s">
        <v>188</v>
      </c>
      <c r="B128" s="69">
        <f>+B123*B125*B126*B127/1000</f>
        <v>29.12</v>
      </c>
      <c r="C128" s="43" t="s">
        <v>128</v>
      </c>
      <c r="D128" s="43"/>
      <c r="F128" s="36"/>
      <c r="G128" s="43" t="s">
        <v>188</v>
      </c>
      <c r="H128" s="69">
        <f>+H123*H125*H126*H127/1000</f>
        <v>74.88</v>
      </c>
      <c r="I128" s="43" t="s">
        <v>128</v>
      </c>
      <c r="J128" s="43"/>
      <c r="O128"/>
      <c r="P128"/>
      <c r="Q128"/>
      <c r="R128"/>
      <c r="S128"/>
      <c r="T128"/>
      <c r="U128"/>
      <c r="V128"/>
    </row>
    <row r="129" spans="1:22" s="37" customFormat="1" x14ac:dyDescent="0.25">
      <c r="A129" s="43" t="s">
        <v>189</v>
      </c>
      <c r="B129" s="69">
        <f>+B121*B125*B126*B127/1000</f>
        <v>20.8</v>
      </c>
      <c r="C129" s="43" t="s">
        <v>128</v>
      </c>
      <c r="D129" s="43"/>
      <c r="F129" s="36"/>
      <c r="G129" s="43" t="s">
        <v>189</v>
      </c>
      <c r="H129" s="69">
        <f>+H121*H125*H126*H127/1000</f>
        <v>37.44</v>
      </c>
      <c r="I129" s="43" t="s">
        <v>128</v>
      </c>
      <c r="J129" s="43"/>
      <c r="O129"/>
      <c r="P129"/>
      <c r="Q129" t="s">
        <v>326</v>
      </c>
      <c r="R129" s="179">
        <v>10</v>
      </c>
      <c r="S129"/>
      <c r="T129"/>
      <c r="U129" t="s">
        <v>326</v>
      </c>
      <c r="V129" s="178">
        <v>10</v>
      </c>
    </row>
    <row r="130" spans="1:22" s="24" customFormat="1" x14ac:dyDescent="0.25">
      <c r="A130" s="25" t="s">
        <v>154</v>
      </c>
      <c r="B130" s="57">
        <f>+B128-B129</f>
        <v>8.32</v>
      </c>
      <c r="C130" s="46" t="s">
        <v>128</v>
      </c>
      <c r="D130" s="25"/>
      <c r="G130" s="25" t="s">
        <v>154</v>
      </c>
      <c r="H130" s="57">
        <f>+H128-H129</f>
        <v>37.44</v>
      </c>
      <c r="I130" s="46" t="s">
        <v>128</v>
      </c>
      <c r="J130" s="25"/>
      <c r="O130"/>
      <c r="P130"/>
      <c r="Q130" t="s">
        <v>327</v>
      </c>
      <c r="R130" s="179">
        <f>R126-R127</f>
        <v>4.4318181818181817</v>
      </c>
      <c r="S130"/>
      <c r="T130"/>
      <c r="U130" t="s">
        <v>327</v>
      </c>
      <c r="V130" s="178">
        <f>V126-V127</f>
        <v>18</v>
      </c>
    </row>
    <row r="131" spans="1:22" s="24" customFormat="1" x14ac:dyDescent="0.25">
      <c r="A131" s="25" t="s">
        <v>154</v>
      </c>
      <c r="B131" s="77">
        <f>+B130*0.086/1000</f>
        <v>7.1551999999999998E-4</v>
      </c>
      <c r="C131" s="46" t="s">
        <v>130</v>
      </c>
      <c r="D131" s="25"/>
      <c r="G131" s="25" t="s">
        <v>154</v>
      </c>
      <c r="H131" s="77">
        <f>+H130*0.086/1000</f>
        <v>3.2198399999999994E-3</v>
      </c>
      <c r="I131" s="46" t="s">
        <v>130</v>
      </c>
      <c r="J131" s="25"/>
      <c r="O131"/>
      <c r="P131"/>
      <c r="Q131" t="s">
        <v>328</v>
      </c>
      <c r="R131" s="179">
        <f>R129*R130</f>
        <v>44.318181818181813</v>
      </c>
      <c r="S131"/>
      <c r="T131"/>
      <c r="U131" t="s">
        <v>328</v>
      </c>
      <c r="V131" s="179">
        <f>V129*V130</f>
        <v>180</v>
      </c>
    </row>
    <row r="132" spans="1:22" s="24" customFormat="1" x14ac:dyDescent="0.25">
      <c r="A132" s="43" t="s">
        <v>131</v>
      </c>
      <c r="B132" s="52">
        <f>20000/(B125*B126*B127)</f>
        <v>9.615384615384615</v>
      </c>
      <c r="C132" s="43" t="s">
        <v>132</v>
      </c>
      <c r="D132" s="43" t="s">
        <v>412</v>
      </c>
      <c r="G132" s="43" t="s">
        <v>131</v>
      </c>
      <c r="H132" s="52">
        <f>20000/(H125*H126*H127)</f>
        <v>9.615384615384615</v>
      </c>
      <c r="I132" s="43" t="s">
        <v>132</v>
      </c>
      <c r="J132" s="43" t="s">
        <v>412</v>
      </c>
      <c r="O132"/>
      <c r="P132"/>
      <c r="Q132" t="s">
        <v>329</v>
      </c>
      <c r="R132" s="179">
        <v>4</v>
      </c>
      <c r="S132"/>
      <c r="T132"/>
      <c r="U132" s="180" t="s">
        <v>330</v>
      </c>
      <c r="V132" s="175" t="s">
        <v>331</v>
      </c>
    </row>
    <row r="133" spans="1:22" s="24" customFormat="1" x14ac:dyDescent="0.25">
      <c r="A133" s="25" t="s">
        <v>133</v>
      </c>
      <c r="B133" s="51">
        <v>7.4999999999999997E-2</v>
      </c>
      <c r="C133" s="25" t="s">
        <v>153</v>
      </c>
      <c r="D133" s="25"/>
      <c r="G133" s="25" t="s">
        <v>133</v>
      </c>
      <c r="H133" s="51">
        <v>7.4999999999999997E-2</v>
      </c>
      <c r="I133" s="25" t="s">
        <v>153</v>
      </c>
      <c r="J133" s="25"/>
      <c r="O133"/>
      <c r="P133"/>
      <c r="Q133"/>
      <c r="R133"/>
      <c r="S133"/>
      <c r="T133"/>
      <c r="U133"/>
      <c r="V133"/>
    </row>
    <row r="134" spans="1:22" s="24" customFormat="1" x14ac:dyDescent="0.25">
      <c r="A134" s="25" t="s">
        <v>134</v>
      </c>
      <c r="B134" s="75">
        <f>+PV(B133,B132,-B131,0,1)</f>
        <v>5.1393863818895444E-3</v>
      </c>
      <c r="C134" s="25" t="s">
        <v>135</v>
      </c>
      <c r="D134" s="25"/>
      <c r="E134" s="59">
        <f>+B134/0.086*1000</f>
        <v>59.760306766157498</v>
      </c>
      <c r="F134" t="s">
        <v>136</v>
      </c>
      <c r="G134" s="25" t="s">
        <v>134</v>
      </c>
      <c r="H134" s="75">
        <f>+PV(H133,H132,-H131,0,1)</f>
        <v>2.3127238718502946E-2</v>
      </c>
      <c r="I134" s="25" t="s">
        <v>135</v>
      </c>
      <c r="J134" s="25"/>
    </row>
    <row r="135" spans="1:22" s="24" customFormat="1" x14ac:dyDescent="0.25">
      <c r="A135" s="40" t="s">
        <v>243</v>
      </c>
      <c r="B135" s="28">
        <v>3</v>
      </c>
      <c r="C135" s="25"/>
      <c r="D135" s="25"/>
      <c r="G135" s="40" t="s">
        <v>243</v>
      </c>
      <c r="H135" s="28">
        <v>3</v>
      </c>
      <c r="I135" s="25"/>
      <c r="J135" s="25"/>
    </row>
    <row r="136" spans="1:22" s="24" customFormat="1" x14ac:dyDescent="0.25">
      <c r="A136" s="40" t="s">
        <v>140</v>
      </c>
      <c r="B136" s="190">
        <v>1</v>
      </c>
      <c r="C136" s="25"/>
      <c r="D136" s="25"/>
      <c r="G136" s="40" t="s">
        <v>140</v>
      </c>
      <c r="H136" s="190">
        <v>1</v>
      </c>
      <c r="I136" s="25"/>
      <c r="J136" s="25"/>
    </row>
    <row r="137" spans="1:22" s="24" customFormat="1" x14ac:dyDescent="0.25">
      <c r="A137" s="188" t="s">
        <v>141</v>
      </c>
      <c r="B137" s="75">
        <f>+B134*B135*B136</f>
        <v>1.5418159145668634E-2</v>
      </c>
      <c r="C137" s="25" t="s">
        <v>135</v>
      </c>
      <c r="D137" s="25"/>
      <c r="G137" s="188" t="s">
        <v>141</v>
      </c>
      <c r="H137" s="75">
        <f>+H134*H135*H136</f>
        <v>6.9381716155508838E-2</v>
      </c>
      <c r="I137" s="25" t="s">
        <v>135</v>
      </c>
      <c r="J137" s="25"/>
    </row>
    <row r="138" spans="1:22" s="24" customFormat="1" x14ac:dyDescent="0.25">
      <c r="A138" s="25" t="s">
        <v>117</v>
      </c>
      <c r="B138" s="42">
        <v>1000</v>
      </c>
      <c r="C138" s="25" t="s">
        <v>156</v>
      </c>
      <c r="D138" s="25"/>
      <c r="G138" s="25" t="s">
        <v>117</v>
      </c>
      <c r="H138" s="42">
        <v>1000</v>
      </c>
      <c r="I138" s="25" t="s">
        <v>156</v>
      </c>
      <c r="J138" s="25"/>
    </row>
    <row r="139" spans="1:22" s="37" customFormat="1" x14ac:dyDescent="0.25">
      <c r="A139" s="43" t="s">
        <v>240</v>
      </c>
      <c r="B139" s="44">
        <f>+B137*B138</f>
        <v>15.418159145668634</v>
      </c>
      <c r="C139" s="43" t="s">
        <v>110</v>
      </c>
      <c r="D139" s="60"/>
      <c r="E139" s="24"/>
      <c r="G139" s="43" t="s">
        <v>240</v>
      </c>
      <c r="H139" s="44">
        <f>+H137*H138</f>
        <v>69.38171615550884</v>
      </c>
      <c r="I139" s="43" t="s">
        <v>110</v>
      </c>
      <c r="J139" s="60"/>
    </row>
    <row r="140" spans="1:22" s="24" customFormat="1" x14ac:dyDescent="0.25">
      <c r="A140" s="25" t="s">
        <v>249</v>
      </c>
      <c r="B140" s="237">
        <v>6.4577055000000003</v>
      </c>
      <c r="C140" s="24" t="s">
        <v>248</v>
      </c>
      <c r="D140" s="139" t="s">
        <v>416</v>
      </c>
      <c r="E140" s="29" t="s">
        <v>472</v>
      </c>
      <c r="G140" s="25" t="s">
        <v>249</v>
      </c>
      <c r="H140" s="237">
        <v>6.4577055000000003</v>
      </c>
      <c r="I140" s="24" t="s">
        <v>248</v>
      </c>
      <c r="J140" s="139" t="s">
        <v>416</v>
      </c>
    </row>
    <row r="141" spans="1:22" s="24" customFormat="1" ht="14.25" customHeight="1" x14ac:dyDescent="0.25">
      <c r="A141" s="25" t="s">
        <v>247</v>
      </c>
      <c r="B141" s="138">
        <f>+B130*B140</f>
        <v>53.728109760000002</v>
      </c>
      <c r="C141" s="25" t="s">
        <v>250</v>
      </c>
      <c r="G141" s="25" t="s">
        <v>247</v>
      </c>
      <c r="H141" s="138">
        <f>+H130*H140</f>
        <v>241.77649392000001</v>
      </c>
      <c r="I141" s="25" t="s">
        <v>250</v>
      </c>
    </row>
    <row r="142" spans="1:22" s="29" customFormat="1" ht="18" customHeight="1" x14ac:dyDescent="0.25">
      <c r="A142" s="38" t="s">
        <v>138</v>
      </c>
      <c r="B142" s="141">
        <f>B122/(-PV(10%,B132,B141,0,0))</f>
        <v>0.27915493945508435</v>
      </c>
      <c r="C142" s="27"/>
      <c r="D142" s="27"/>
      <c r="E142" s="24"/>
      <c r="F142" s="39"/>
      <c r="G142" s="38" t="s">
        <v>138</v>
      </c>
      <c r="H142" s="141">
        <f>H122/(-PV(10%,H132,H141,0,0))</f>
        <v>0.13785429108893058</v>
      </c>
      <c r="I142" s="27"/>
      <c r="J142" s="27"/>
    </row>
    <row r="143" spans="1:22" s="24" customFormat="1" x14ac:dyDescent="0.25">
      <c r="A143" s="43" t="s">
        <v>242</v>
      </c>
      <c r="B143" s="146">
        <f>+B139/B122</f>
        <v>0.17131287939631815</v>
      </c>
      <c r="C143" s="25"/>
      <c r="D143" s="25"/>
      <c r="E143"/>
      <c r="F143" s="37"/>
      <c r="G143" s="43" t="s">
        <v>242</v>
      </c>
      <c r="H143" s="146">
        <f>+H139/H122</f>
        <v>0.34690858077754422</v>
      </c>
      <c r="I143" s="25"/>
      <c r="J143" s="25"/>
    </row>
    <row r="144" spans="1:22" s="24" customFormat="1" x14ac:dyDescent="0.25">
      <c r="A144"/>
      <c r="B144"/>
      <c r="C144"/>
      <c r="D144"/>
      <c r="E144"/>
      <c r="F144" s="37"/>
    </row>
    <row r="145" spans="1:9" ht="15.75" x14ac:dyDescent="0.25">
      <c r="A145" s="144" t="s">
        <v>339</v>
      </c>
      <c r="B145" s="145"/>
      <c r="C145" s="145"/>
      <c r="D145" s="145"/>
    </row>
    <row r="146" spans="1:9" x14ac:dyDescent="0.25">
      <c r="A146" s="23" t="s">
        <v>124</v>
      </c>
      <c r="B146" s="23" t="s">
        <v>10</v>
      </c>
      <c r="C146" s="23" t="s">
        <v>74</v>
      </c>
      <c r="D146" s="23" t="s">
        <v>125</v>
      </c>
    </row>
    <row r="147" spans="1:9" s="24" customFormat="1" x14ac:dyDescent="0.25">
      <c r="A147" s="25" t="s">
        <v>163</v>
      </c>
      <c r="B147" s="54">
        <v>1</v>
      </c>
      <c r="C147" s="48"/>
      <c r="D147" s="46"/>
    </row>
    <row r="148" spans="1:9" s="24" customFormat="1" x14ac:dyDescent="0.25">
      <c r="A148" s="25" t="s">
        <v>203</v>
      </c>
      <c r="B148" s="166">
        <v>88</v>
      </c>
      <c r="C148" s="25" t="s">
        <v>199</v>
      </c>
      <c r="D148" s="71"/>
      <c r="F148"/>
      <c r="H148" s="73">
        <v>137845</v>
      </c>
      <c r="I148" s="24" t="s">
        <v>198</v>
      </c>
    </row>
    <row r="149" spans="1:9" s="24" customFormat="1" x14ac:dyDescent="0.25">
      <c r="A149" s="25" t="s">
        <v>279</v>
      </c>
      <c r="B149" s="55">
        <f>37990*43</f>
        <v>1633570</v>
      </c>
      <c r="C149" s="46" t="s">
        <v>277</v>
      </c>
      <c r="D149" s="25" t="s">
        <v>282</v>
      </c>
      <c r="F149"/>
      <c r="H149" s="73"/>
    </row>
    <row r="150" spans="1:9" s="24" customFormat="1" x14ac:dyDescent="0.25">
      <c r="A150" s="25" t="s">
        <v>280</v>
      </c>
      <c r="B150" s="55">
        <f>17990*43</f>
        <v>773570</v>
      </c>
      <c r="C150" s="46" t="s">
        <v>277</v>
      </c>
      <c r="D150" s="25" t="s">
        <v>281</v>
      </c>
      <c r="F150"/>
      <c r="H150" s="73"/>
    </row>
    <row r="151" spans="1:9" s="37" customFormat="1" ht="32.25" customHeight="1" x14ac:dyDescent="0.25">
      <c r="A151" s="43" t="s">
        <v>191</v>
      </c>
      <c r="B151" s="70">
        <f>1/E151</f>
        <v>8.6206896551724144E-2</v>
      </c>
      <c r="C151" s="43" t="s">
        <v>192</v>
      </c>
      <c r="D151" s="150" t="s">
        <v>284</v>
      </c>
      <c r="E151" s="213">
        <v>11.6</v>
      </c>
      <c r="F151" t="s">
        <v>200</v>
      </c>
      <c r="G151" s="74"/>
      <c r="H151" s="59">
        <f>+H148/365</f>
        <v>377.65753424657532</v>
      </c>
      <c r="I151" s="24" t="s">
        <v>199</v>
      </c>
    </row>
    <row r="152" spans="1:9" s="37" customFormat="1" x14ac:dyDescent="0.25">
      <c r="A152" s="43" t="s">
        <v>194</v>
      </c>
      <c r="B152" s="70">
        <f>1/E152</f>
        <v>0.18867924528301888</v>
      </c>
      <c r="C152" s="43" t="s">
        <v>193</v>
      </c>
      <c r="D152" s="150" t="s">
        <v>285</v>
      </c>
      <c r="E152" s="24">
        <v>5.3</v>
      </c>
      <c r="F152" t="s">
        <v>283</v>
      </c>
    </row>
    <row r="153" spans="1:9" s="37" customFormat="1" x14ac:dyDescent="0.25">
      <c r="A153" s="43" t="s">
        <v>208</v>
      </c>
      <c r="B153" s="69">
        <v>365</v>
      </c>
      <c r="C153" s="43" t="s">
        <v>207</v>
      </c>
      <c r="D153" s="71"/>
      <c r="F153" s="36"/>
    </row>
    <row r="154" spans="1:9" s="24" customFormat="1" x14ac:dyDescent="0.25">
      <c r="A154" s="25" t="s">
        <v>195</v>
      </c>
      <c r="B154" s="49">
        <f>+B148*B153*B151</f>
        <v>2768.9655172413795</v>
      </c>
      <c r="C154" s="25" t="s">
        <v>197</v>
      </c>
      <c r="D154" s="25"/>
      <c r="E154" s="101">
        <f>+B154*'MMEE std'!AC44/0.086*1000</f>
        <v>25265.200481154774</v>
      </c>
      <c r="F154" t="s">
        <v>128</v>
      </c>
      <c r="G154" s="102">
        <f>+E154*0.086/1000</f>
        <v>2.17280724137931</v>
      </c>
      <c r="H154" s="24" t="s">
        <v>130</v>
      </c>
    </row>
    <row r="155" spans="1:9" s="24" customFormat="1" x14ac:dyDescent="0.25">
      <c r="A155" s="25" t="s">
        <v>196</v>
      </c>
      <c r="B155" s="49">
        <f>+B148*B152*B153</f>
        <v>6060.3773584905657</v>
      </c>
      <c r="C155" s="25" t="s">
        <v>128</v>
      </c>
      <c r="D155" s="25"/>
      <c r="E155" s="197">
        <f>+E154/B155</f>
        <v>4.1689153969526869</v>
      </c>
      <c r="F155" t="s">
        <v>354</v>
      </c>
    </row>
    <row r="156" spans="1:9" x14ac:dyDescent="0.25">
      <c r="A156" s="25" t="s">
        <v>154</v>
      </c>
      <c r="B156" s="72">
        <f>+B154*'MMEE std'!$AC$44-B155*0.086/1000</f>
        <v>1.6516147885491219</v>
      </c>
      <c r="C156" s="46" t="s">
        <v>130</v>
      </c>
      <c r="D156" s="25"/>
    </row>
    <row r="157" spans="1:9" x14ac:dyDescent="0.25">
      <c r="A157" s="43" t="s">
        <v>131</v>
      </c>
      <c r="B157" s="183">
        <v>12</v>
      </c>
      <c r="C157" s="43" t="s">
        <v>132</v>
      </c>
      <c r="D157" s="43" t="s">
        <v>410</v>
      </c>
    </row>
    <row r="158" spans="1:9" x14ac:dyDescent="0.25">
      <c r="A158" s="25" t="s">
        <v>133</v>
      </c>
      <c r="B158" s="51">
        <v>7.4999999999999997E-2</v>
      </c>
      <c r="C158" s="25" t="s">
        <v>153</v>
      </c>
      <c r="D158" s="25"/>
    </row>
    <row r="159" spans="1:9" x14ac:dyDescent="0.25">
      <c r="A159" s="25" t="s">
        <v>134</v>
      </c>
      <c r="B159" s="162">
        <f>+PV(B158,B157,-B156,0,1)</f>
        <v>13.73387749110249</v>
      </c>
      <c r="C159" s="25" t="s">
        <v>135</v>
      </c>
      <c r="D159" s="25"/>
      <c r="E159" s="59">
        <f>+B159/0.086*1000</f>
        <v>159696.2498965406</v>
      </c>
      <c r="F159" t="s">
        <v>136</v>
      </c>
    </row>
    <row r="160" spans="1:9" x14ac:dyDescent="0.25">
      <c r="A160" s="188" t="s">
        <v>243</v>
      </c>
      <c r="B160" s="193">
        <v>3</v>
      </c>
      <c r="C160" s="43"/>
      <c r="D160" s="43"/>
    </row>
    <row r="161" spans="1:4" x14ac:dyDescent="0.25">
      <c r="A161" s="40" t="s">
        <v>288</v>
      </c>
      <c r="B161" s="28">
        <v>3</v>
      </c>
      <c r="C161" s="25"/>
      <c r="D161" s="25"/>
    </row>
    <row r="162" spans="1:4" s="24" customFormat="1" x14ac:dyDescent="0.25">
      <c r="A162" s="40" t="s">
        <v>140</v>
      </c>
      <c r="B162" s="190">
        <v>1</v>
      </c>
      <c r="C162" s="25"/>
      <c r="D162" s="25"/>
    </row>
    <row r="163" spans="1:4" x14ac:dyDescent="0.25">
      <c r="A163" s="43" t="s">
        <v>289</v>
      </c>
      <c r="B163" s="166">
        <v>5</v>
      </c>
      <c r="C163" s="25"/>
      <c r="D163" s="25"/>
    </row>
    <row r="164" spans="1:4" x14ac:dyDescent="0.25">
      <c r="A164" s="188" t="s">
        <v>141</v>
      </c>
      <c r="B164" s="75">
        <f>+B159*(IF(B160*B161*B162&gt;5,5,B160*B161*B162))</f>
        <v>68.669387455512449</v>
      </c>
      <c r="C164" s="25" t="s">
        <v>135</v>
      </c>
      <c r="D164" s="189"/>
    </row>
    <row r="165" spans="1:4" x14ac:dyDescent="0.25">
      <c r="A165" s="25" t="s">
        <v>117</v>
      </c>
      <c r="B165" s="42">
        <v>1000</v>
      </c>
      <c r="C165" s="25" t="s">
        <v>156</v>
      </c>
      <c r="D165" s="25"/>
    </row>
    <row r="166" spans="1:4" x14ac:dyDescent="0.25">
      <c r="A166" s="25" t="s">
        <v>240</v>
      </c>
      <c r="B166" s="44">
        <f>+B164*B165</f>
        <v>68669.387455512449</v>
      </c>
      <c r="C166" s="43" t="s">
        <v>110</v>
      </c>
      <c r="D166" s="60"/>
    </row>
    <row r="167" spans="1:4" x14ac:dyDescent="0.25">
      <c r="A167" s="25" t="s">
        <v>286</v>
      </c>
      <c r="B167" s="238">
        <v>69.69</v>
      </c>
      <c r="C167" s="25" t="s">
        <v>287</v>
      </c>
      <c r="D167" s="336" t="s">
        <v>473</v>
      </c>
    </row>
    <row r="168" spans="1:4" x14ac:dyDescent="0.25">
      <c r="A168" s="25" t="s">
        <v>249</v>
      </c>
      <c r="B168" s="238">
        <v>2.1539999999999999</v>
      </c>
      <c r="C168" s="25" t="s">
        <v>248</v>
      </c>
      <c r="D168" s="336" t="s">
        <v>474</v>
      </c>
    </row>
    <row r="169" spans="1:4" x14ac:dyDescent="0.25">
      <c r="A169" s="25" t="s">
        <v>247</v>
      </c>
      <c r="B169" s="138">
        <f>+B154*B167-B155*B168</f>
        <v>179915.15406636306</v>
      </c>
      <c r="C169" s="25" t="s">
        <v>250</v>
      </c>
      <c r="D169" s="25"/>
    </row>
    <row r="170" spans="1:4" x14ac:dyDescent="0.25">
      <c r="A170" s="38" t="s">
        <v>138</v>
      </c>
      <c r="B170" s="141">
        <f>(B149-B150)/(-PV(10%,B157,B169,0,0))</f>
        <v>0.70153318457927749</v>
      </c>
      <c r="C170" s="27"/>
      <c r="D170" s="27"/>
    </row>
    <row r="171" spans="1:4" x14ac:dyDescent="0.25">
      <c r="A171" s="43" t="s">
        <v>242</v>
      </c>
      <c r="B171" s="146">
        <f>+B166/B149</f>
        <v>4.2036391128333926E-2</v>
      </c>
      <c r="C171" s="25"/>
      <c r="D171" s="25"/>
    </row>
    <row r="173" spans="1:4" ht="15.75" x14ac:dyDescent="0.25">
      <c r="A173" s="144" t="s">
        <v>338</v>
      </c>
      <c r="B173" s="145"/>
      <c r="C173" s="145"/>
      <c r="D173" s="145"/>
    </row>
    <row r="174" spans="1:4" x14ac:dyDescent="0.25">
      <c r="A174" s="23" t="s">
        <v>124</v>
      </c>
      <c r="B174" s="23" t="s">
        <v>10</v>
      </c>
      <c r="C174" s="23" t="s">
        <v>74</v>
      </c>
      <c r="D174" s="23" t="s">
        <v>125</v>
      </c>
    </row>
    <row r="175" spans="1:4" x14ac:dyDescent="0.25">
      <c r="A175" s="25" t="s">
        <v>163</v>
      </c>
      <c r="B175" s="54">
        <v>1</v>
      </c>
      <c r="C175" s="48"/>
      <c r="D175" s="46"/>
    </row>
    <row r="176" spans="1:4" x14ac:dyDescent="0.25">
      <c r="A176" s="25" t="s">
        <v>203</v>
      </c>
      <c r="B176" s="166">
        <v>88</v>
      </c>
      <c r="C176" s="25" t="s">
        <v>199</v>
      </c>
      <c r="D176" s="71"/>
    </row>
    <row r="177" spans="1:4" x14ac:dyDescent="0.25">
      <c r="A177" s="25" t="s">
        <v>279</v>
      </c>
      <c r="B177" s="187">
        <f>3990*43</f>
        <v>171570</v>
      </c>
      <c r="C177" s="46" t="s">
        <v>277</v>
      </c>
      <c r="D177" s="186" t="s">
        <v>336</v>
      </c>
    </row>
    <row r="178" spans="1:4" ht="60" x14ac:dyDescent="0.25">
      <c r="A178" s="43" t="s">
        <v>191</v>
      </c>
      <c r="B178" s="185">
        <f>1/(23.7)</f>
        <v>4.2194092827004218E-2</v>
      </c>
      <c r="C178" s="43" t="s">
        <v>192</v>
      </c>
      <c r="D178" s="186" t="s">
        <v>335</v>
      </c>
    </row>
    <row r="179" spans="1:4" x14ac:dyDescent="0.25">
      <c r="A179" s="43" t="s">
        <v>194</v>
      </c>
      <c r="B179" s="185">
        <v>3.4000000000000002E-2</v>
      </c>
      <c r="C179" s="43" t="s">
        <v>193</v>
      </c>
      <c r="D179" s="27" t="s">
        <v>334</v>
      </c>
    </row>
    <row r="180" spans="1:4" x14ac:dyDescent="0.25">
      <c r="A180" s="43" t="s">
        <v>208</v>
      </c>
      <c r="B180" s="69">
        <v>365</v>
      </c>
      <c r="C180" s="43" t="s">
        <v>207</v>
      </c>
      <c r="D180" s="71"/>
    </row>
    <row r="181" spans="1:4" x14ac:dyDescent="0.25">
      <c r="A181" s="25" t="s">
        <v>195</v>
      </c>
      <c r="B181" s="49">
        <f>+B176*B180*B178</f>
        <v>1355.2742616033754</v>
      </c>
      <c r="C181" s="25" t="s">
        <v>197</v>
      </c>
      <c r="D181" s="25"/>
    </row>
    <row r="182" spans="1:4" x14ac:dyDescent="0.25">
      <c r="A182" s="25" t="s">
        <v>196</v>
      </c>
      <c r="B182" s="49">
        <f>+B176*B179*B180</f>
        <v>1092.08</v>
      </c>
      <c r="C182" s="25" t="s">
        <v>128</v>
      </c>
      <c r="D182" s="25"/>
    </row>
    <row r="183" spans="1:4" x14ac:dyDescent="0.25">
      <c r="A183" s="25" t="s">
        <v>154</v>
      </c>
      <c r="B183" s="72">
        <f>+B181*'MMEE std'!$AC$44-B182*0.086/1000</f>
        <v>0.96956483308016872</v>
      </c>
      <c r="C183" s="46" t="s">
        <v>130</v>
      </c>
      <c r="D183" s="25"/>
    </row>
    <row r="184" spans="1:4" x14ac:dyDescent="0.25">
      <c r="A184" s="43" t="s">
        <v>131</v>
      </c>
      <c r="B184" s="183">
        <v>7</v>
      </c>
      <c r="C184" s="43" t="s">
        <v>132</v>
      </c>
      <c r="D184" s="43" t="s">
        <v>410</v>
      </c>
    </row>
    <row r="185" spans="1:4" x14ac:dyDescent="0.25">
      <c r="A185" s="25" t="s">
        <v>133</v>
      </c>
      <c r="B185" s="51">
        <v>7.4999999999999997E-2</v>
      </c>
      <c r="C185" s="25" t="s">
        <v>153</v>
      </c>
      <c r="D185" s="25"/>
    </row>
    <row r="186" spans="1:4" x14ac:dyDescent="0.25">
      <c r="A186" s="25" t="s">
        <v>134</v>
      </c>
      <c r="B186" s="162">
        <f>+PV(B185,B184,-B183,0,1)</f>
        <v>5.5205532542409799</v>
      </c>
      <c r="C186" s="25" t="s">
        <v>135</v>
      </c>
      <c r="D186" s="25"/>
    </row>
    <row r="187" spans="1:4" x14ac:dyDescent="0.25">
      <c r="A187" s="40" t="s">
        <v>243</v>
      </c>
      <c r="B187" s="28">
        <v>3</v>
      </c>
      <c r="C187" s="25"/>
      <c r="D187" s="25"/>
    </row>
    <row r="188" spans="1:4" x14ac:dyDescent="0.25">
      <c r="A188" s="40" t="s">
        <v>288</v>
      </c>
      <c r="B188" s="28">
        <v>3</v>
      </c>
      <c r="C188" s="25"/>
      <c r="D188" s="25"/>
    </row>
    <row r="189" spans="1:4" x14ac:dyDescent="0.25">
      <c r="A189" s="40" t="s">
        <v>140</v>
      </c>
      <c r="B189" s="190">
        <v>1</v>
      </c>
      <c r="C189" s="25"/>
      <c r="D189" s="25"/>
    </row>
    <row r="190" spans="1:4" x14ac:dyDescent="0.25">
      <c r="A190" s="25" t="s">
        <v>289</v>
      </c>
      <c r="B190" s="42">
        <v>7</v>
      </c>
      <c r="C190" s="25"/>
      <c r="D190" s="25"/>
    </row>
    <row r="191" spans="1:4" x14ac:dyDescent="0.25">
      <c r="A191" s="188" t="s">
        <v>141</v>
      </c>
      <c r="B191" s="75">
        <f>+B186*(IF(B187*B188*B189&gt;7,7,B187*B188*B189))</f>
        <v>38.643872779686859</v>
      </c>
      <c r="C191" s="25" t="s">
        <v>135</v>
      </c>
      <c r="D191" s="189"/>
    </row>
    <row r="192" spans="1:4" x14ac:dyDescent="0.25">
      <c r="A192" s="25" t="s">
        <v>117</v>
      </c>
      <c r="B192" s="42">
        <v>1000</v>
      </c>
      <c r="C192" s="25" t="s">
        <v>156</v>
      </c>
      <c r="D192" s="25"/>
    </row>
    <row r="193" spans="1:4" x14ac:dyDescent="0.25">
      <c r="A193" s="25" t="s">
        <v>240</v>
      </c>
      <c r="B193" s="44">
        <f>+B191*B192</f>
        <v>38643.872779686862</v>
      </c>
      <c r="C193" s="43" t="s">
        <v>110</v>
      </c>
      <c r="D193" s="60"/>
    </row>
    <row r="194" spans="1:4" x14ac:dyDescent="0.25">
      <c r="A194" s="25" t="s">
        <v>286</v>
      </c>
      <c r="B194" s="238">
        <v>69.69</v>
      </c>
      <c r="C194" s="25" t="s">
        <v>287</v>
      </c>
      <c r="D194" s="336" t="s">
        <v>473</v>
      </c>
    </row>
    <row r="195" spans="1:4" x14ac:dyDescent="0.25">
      <c r="A195" s="25" t="s">
        <v>249</v>
      </c>
      <c r="B195" s="238">
        <v>2.1539999999999999</v>
      </c>
      <c r="C195" s="25" t="s">
        <v>248</v>
      </c>
      <c r="D195" s="336" t="s">
        <v>474</v>
      </c>
    </row>
    <row r="196" spans="1:4" x14ac:dyDescent="0.25">
      <c r="A196" s="25" t="s">
        <v>247</v>
      </c>
      <c r="B196" s="138">
        <f>+B181*B194-B182*B195</f>
        <v>92096.722971139228</v>
      </c>
      <c r="C196" s="25" t="s">
        <v>250</v>
      </c>
      <c r="D196" s="25"/>
    </row>
    <row r="197" spans="1:4" x14ac:dyDescent="0.25">
      <c r="A197" s="38" t="s">
        <v>138</v>
      </c>
      <c r="B197" s="184">
        <f>B177/(-PV(10%,B184,B196,0,0))</f>
        <v>0.38265662932083855</v>
      </c>
      <c r="C197" s="27"/>
      <c r="D197" s="27"/>
    </row>
    <row r="198" spans="1:4" x14ac:dyDescent="0.25">
      <c r="A198" s="43" t="s">
        <v>242</v>
      </c>
      <c r="B198" s="146">
        <f>+B193/B177</f>
        <v>0.22523677087886496</v>
      </c>
      <c r="C198" s="25"/>
      <c r="D198" s="25"/>
    </row>
    <row r="200" spans="1:4" ht="15.75" x14ac:dyDescent="0.25">
      <c r="A200" s="144" t="s">
        <v>348</v>
      </c>
      <c r="B200" s="145"/>
      <c r="C200" s="145"/>
      <c r="D200" s="145"/>
    </row>
    <row r="201" spans="1:4" x14ac:dyDescent="0.25">
      <c r="A201" s="23" t="s">
        <v>124</v>
      </c>
      <c r="B201" s="23" t="s">
        <v>10</v>
      </c>
      <c r="C201" s="23" t="s">
        <v>74</v>
      </c>
      <c r="D201" s="23" t="s">
        <v>125</v>
      </c>
    </row>
    <row r="202" spans="1:4" x14ac:dyDescent="0.25">
      <c r="A202" s="25" t="s">
        <v>163</v>
      </c>
      <c r="B202" s="54">
        <v>1</v>
      </c>
      <c r="C202" s="48"/>
      <c r="D202" s="46"/>
    </row>
    <row r="203" spans="1:4" x14ac:dyDescent="0.25">
      <c r="A203" s="25" t="s">
        <v>203</v>
      </c>
      <c r="B203" s="166">
        <v>80</v>
      </c>
      <c r="C203" s="25" t="s">
        <v>199</v>
      </c>
      <c r="D203" s="150" t="s">
        <v>349</v>
      </c>
    </row>
    <row r="204" spans="1:4" ht="30" x14ac:dyDescent="0.25">
      <c r="A204" s="25" t="s">
        <v>279</v>
      </c>
      <c r="B204" s="187">
        <f>3220*43.85</f>
        <v>141197</v>
      </c>
      <c r="C204" s="46" t="s">
        <v>277</v>
      </c>
      <c r="D204" s="186" t="s">
        <v>350</v>
      </c>
    </row>
    <row r="205" spans="1:4" ht="60" x14ac:dyDescent="0.25">
      <c r="A205" s="43" t="s">
        <v>191</v>
      </c>
      <c r="B205" s="185">
        <f>1/(23.7)</f>
        <v>4.2194092827004218E-2</v>
      </c>
      <c r="C205" s="43" t="s">
        <v>192</v>
      </c>
      <c r="D205" s="186" t="s">
        <v>335</v>
      </c>
    </row>
    <row r="206" spans="1:4" x14ac:dyDescent="0.25">
      <c r="A206" s="43" t="s">
        <v>194</v>
      </c>
      <c r="B206" s="185">
        <v>2.5999999999999999E-2</v>
      </c>
      <c r="C206" s="43" t="s">
        <v>193</v>
      </c>
      <c r="D206" s="27" t="s">
        <v>351</v>
      </c>
    </row>
    <row r="207" spans="1:4" x14ac:dyDescent="0.25">
      <c r="A207" s="43" t="s">
        <v>208</v>
      </c>
      <c r="B207" s="69">
        <v>365</v>
      </c>
      <c r="C207" s="43" t="s">
        <v>207</v>
      </c>
      <c r="D207" s="71"/>
    </row>
    <row r="208" spans="1:4" x14ac:dyDescent="0.25">
      <c r="A208" s="25" t="s">
        <v>195</v>
      </c>
      <c r="B208" s="49">
        <f>+B203*B207*B205</f>
        <v>1232.0675105485232</v>
      </c>
      <c r="C208" s="25" t="s">
        <v>197</v>
      </c>
      <c r="D208" s="25"/>
    </row>
    <row r="209" spans="1:4" x14ac:dyDescent="0.25">
      <c r="A209" s="25" t="s">
        <v>196</v>
      </c>
      <c r="B209" s="49">
        <f>+B203*B206*B207</f>
        <v>759.2</v>
      </c>
      <c r="C209" s="25" t="s">
        <v>128</v>
      </c>
      <c r="D209" s="25"/>
    </row>
    <row r="210" spans="1:4" x14ac:dyDescent="0.25">
      <c r="A210" s="25" t="s">
        <v>154</v>
      </c>
      <c r="B210" s="72">
        <f>+B208*'MMEE std'!$AC$44-B209*0.086/1000</f>
        <v>0.90151217552742624</v>
      </c>
      <c r="C210" s="46" t="s">
        <v>130</v>
      </c>
      <c r="D210" s="25"/>
    </row>
    <row r="211" spans="1:4" x14ac:dyDescent="0.25">
      <c r="A211" s="25" t="s">
        <v>131</v>
      </c>
      <c r="B211" s="183">
        <v>7</v>
      </c>
      <c r="C211" s="25" t="s">
        <v>132</v>
      </c>
      <c r="D211" s="43" t="s">
        <v>410</v>
      </c>
    </row>
    <row r="212" spans="1:4" x14ac:dyDescent="0.25">
      <c r="A212" s="25" t="s">
        <v>133</v>
      </c>
      <c r="B212" s="51">
        <v>7.4999999999999997E-2</v>
      </c>
      <c r="C212" s="25" t="s">
        <v>153</v>
      </c>
      <c r="D212" s="25"/>
    </row>
    <row r="213" spans="1:4" x14ac:dyDescent="0.25">
      <c r="A213" s="25" t="s">
        <v>134</v>
      </c>
      <c r="B213" s="162">
        <f>+PV(B212,B211,-B210,0,1)</f>
        <v>5.1330718736312564</v>
      </c>
      <c r="C213" s="25" t="s">
        <v>135</v>
      </c>
      <c r="D213" s="25"/>
    </row>
    <row r="214" spans="1:4" x14ac:dyDescent="0.25">
      <c r="A214" s="40" t="s">
        <v>243</v>
      </c>
      <c r="B214" s="28">
        <v>3</v>
      </c>
      <c r="C214" s="25"/>
      <c r="D214" s="25"/>
    </row>
    <row r="215" spans="1:4" x14ac:dyDescent="0.25">
      <c r="A215" s="40" t="s">
        <v>288</v>
      </c>
      <c r="B215" s="28">
        <v>3</v>
      </c>
      <c r="C215" s="25"/>
      <c r="D215" s="25"/>
    </row>
    <row r="216" spans="1:4" x14ac:dyDescent="0.25">
      <c r="A216" s="40" t="s">
        <v>140</v>
      </c>
      <c r="B216" s="190">
        <v>1</v>
      </c>
      <c r="C216" s="25"/>
      <c r="D216" s="25"/>
    </row>
    <row r="217" spans="1:4" x14ac:dyDescent="0.25">
      <c r="A217" s="25" t="s">
        <v>289</v>
      </c>
      <c r="B217" s="42">
        <v>5</v>
      </c>
      <c r="C217" s="25"/>
      <c r="D217" s="25"/>
    </row>
    <row r="218" spans="1:4" x14ac:dyDescent="0.25">
      <c r="A218" s="188" t="s">
        <v>141</v>
      </c>
      <c r="B218" s="75">
        <f>+B213*(IF(B214*B215*B216&gt;5,5,B214*B215*B216))</f>
        <v>25.665359368156281</v>
      </c>
      <c r="C218" s="25" t="s">
        <v>135</v>
      </c>
      <c r="D218" s="189"/>
    </row>
    <row r="219" spans="1:4" x14ac:dyDescent="0.25">
      <c r="A219" s="25" t="s">
        <v>117</v>
      </c>
      <c r="B219" s="42">
        <v>1000</v>
      </c>
      <c r="C219" s="25" t="s">
        <v>156</v>
      </c>
      <c r="D219" s="25"/>
    </row>
    <row r="220" spans="1:4" x14ac:dyDescent="0.25">
      <c r="A220" s="25" t="s">
        <v>240</v>
      </c>
      <c r="B220" s="44">
        <f>+B218*B219</f>
        <v>25665.359368156282</v>
      </c>
      <c r="C220" s="43" t="s">
        <v>110</v>
      </c>
      <c r="D220" s="60"/>
    </row>
    <row r="221" spans="1:4" x14ac:dyDescent="0.25">
      <c r="A221" s="25" t="s">
        <v>286</v>
      </c>
      <c r="B221" s="238">
        <v>69.69</v>
      </c>
      <c r="C221" s="25" t="s">
        <v>287</v>
      </c>
      <c r="D221" s="336" t="s">
        <v>473</v>
      </c>
    </row>
    <row r="222" spans="1:4" x14ac:dyDescent="0.25">
      <c r="A222" s="25" t="s">
        <v>249</v>
      </c>
      <c r="B222" s="238">
        <v>2.1539999999999999</v>
      </c>
      <c r="C222" s="25" t="s">
        <v>248</v>
      </c>
      <c r="D222" s="336" t="s">
        <v>474</v>
      </c>
    </row>
    <row r="223" spans="1:4" x14ac:dyDescent="0.25">
      <c r="A223" s="25" t="s">
        <v>247</v>
      </c>
      <c r="B223" s="138">
        <f>+B208*B221-B209*B222</f>
        <v>84227.468010126569</v>
      </c>
      <c r="C223" s="25" t="s">
        <v>250</v>
      </c>
      <c r="D223" s="25"/>
    </row>
    <row r="224" spans="1:4" x14ac:dyDescent="0.25">
      <c r="A224" s="38" t="s">
        <v>138</v>
      </c>
      <c r="B224" s="184">
        <f>B204/(-PV(10%,B211,B223,0,0))</f>
        <v>0.3443370794161596</v>
      </c>
      <c r="C224" s="27"/>
      <c r="D224" s="27"/>
    </row>
    <row r="225" spans="1:9" x14ac:dyDescent="0.25">
      <c r="A225" s="43" t="s">
        <v>242</v>
      </c>
      <c r="B225" s="146">
        <f>+B220/B204</f>
        <v>0.1817698631568396</v>
      </c>
      <c r="C225" s="25"/>
      <c r="D225" s="25"/>
    </row>
    <row r="227" spans="1:9" ht="15.75" x14ac:dyDescent="0.25">
      <c r="A227" s="144" t="s">
        <v>360</v>
      </c>
      <c r="B227" s="145"/>
      <c r="C227" s="145"/>
      <c r="D227" s="145"/>
    </row>
    <row r="228" spans="1:9" x14ac:dyDescent="0.25">
      <c r="A228" s="23" t="s">
        <v>124</v>
      </c>
      <c r="B228" s="23" t="s">
        <v>10</v>
      </c>
      <c r="C228" s="23" t="s">
        <v>74</v>
      </c>
      <c r="D228" s="23" t="s">
        <v>125</v>
      </c>
    </row>
    <row r="229" spans="1:9" x14ac:dyDescent="0.25">
      <c r="A229" s="25" t="s">
        <v>163</v>
      </c>
      <c r="B229" s="54">
        <v>1</v>
      </c>
      <c r="C229" s="48"/>
      <c r="D229" s="46"/>
      <c r="E229" s="24"/>
      <c r="F229" s="24"/>
      <c r="G229" s="24"/>
      <c r="H229" s="24"/>
      <c r="I229" s="24"/>
    </row>
    <row r="230" spans="1:9" x14ac:dyDescent="0.25">
      <c r="A230" s="25" t="s">
        <v>203</v>
      </c>
      <c r="B230" s="166">
        <v>88</v>
      </c>
      <c r="C230" s="25" t="s">
        <v>199</v>
      </c>
      <c r="D230" s="71"/>
      <c r="E230" s="24"/>
      <c r="G230" s="24"/>
      <c r="H230" s="73">
        <v>137845</v>
      </c>
      <c r="I230" s="24" t="s">
        <v>198</v>
      </c>
    </row>
    <row r="231" spans="1:9" x14ac:dyDescent="0.25">
      <c r="A231" s="25" t="s">
        <v>279</v>
      </c>
      <c r="B231" s="55">
        <f>43900*43</f>
        <v>1887700</v>
      </c>
      <c r="C231" s="46" t="s">
        <v>277</v>
      </c>
      <c r="D231" s="190" t="s">
        <v>361</v>
      </c>
      <c r="E231" s="24"/>
      <c r="G231" s="24"/>
      <c r="H231" s="73"/>
      <c r="I231" s="24"/>
    </row>
    <row r="232" spans="1:9" x14ac:dyDescent="0.25">
      <c r="A232" s="25" t="s">
        <v>280</v>
      </c>
      <c r="B232" s="55">
        <f>17990*43</f>
        <v>773570</v>
      </c>
      <c r="C232" s="46" t="s">
        <v>277</v>
      </c>
      <c r="D232" s="25" t="s">
        <v>281</v>
      </c>
      <c r="E232" s="24"/>
      <c r="G232" s="24"/>
      <c r="H232" s="73"/>
      <c r="I232" s="24"/>
    </row>
    <row r="233" spans="1:9" x14ac:dyDescent="0.25">
      <c r="A233" s="43" t="s">
        <v>191</v>
      </c>
      <c r="B233" s="70">
        <f>1/E233</f>
        <v>8.6206896551724144E-2</v>
      </c>
      <c r="C233" s="43" t="s">
        <v>192</v>
      </c>
      <c r="D233" s="150" t="s">
        <v>284</v>
      </c>
      <c r="E233" s="213">
        <v>11.6</v>
      </c>
      <c r="F233" t="s">
        <v>200</v>
      </c>
      <c r="G233" s="74"/>
      <c r="H233" s="59">
        <f>+H230/365</f>
        <v>377.65753424657532</v>
      </c>
      <c r="I233" s="24" t="s">
        <v>199</v>
      </c>
    </row>
    <row r="234" spans="1:9" x14ac:dyDescent="0.25">
      <c r="A234" s="43" t="s">
        <v>194</v>
      </c>
      <c r="B234" s="70">
        <v>0.22</v>
      </c>
      <c r="C234" s="43" t="s">
        <v>193</v>
      </c>
      <c r="D234" s="150" t="s">
        <v>362</v>
      </c>
      <c r="E234" s="24">
        <v>5.4</v>
      </c>
      <c r="F234" t="s">
        <v>283</v>
      </c>
      <c r="G234" s="37">
        <f>1/10</f>
        <v>0.1</v>
      </c>
      <c r="H234" s="37">
        <f>1/12.5</f>
        <v>0.08</v>
      </c>
      <c r="I234" s="37"/>
    </row>
    <row r="235" spans="1:9" s="36" customFormat="1" x14ac:dyDescent="0.25">
      <c r="A235" s="43" t="s">
        <v>208</v>
      </c>
      <c r="B235" s="69">
        <f>365</f>
        <v>365</v>
      </c>
      <c r="C235" s="43" t="s">
        <v>207</v>
      </c>
      <c r="D235" s="71" t="s">
        <v>363</v>
      </c>
      <c r="E235" s="37"/>
      <c r="G235" s="37"/>
      <c r="H235" s="37"/>
      <c r="I235" s="37"/>
    </row>
    <row r="236" spans="1:9" x14ac:dyDescent="0.25">
      <c r="A236" s="25" t="s">
        <v>195</v>
      </c>
      <c r="B236" s="49">
        <f>+B230*B235*B233</f>
        <v>2768.9655172413795</v>
      </c>
      <c r="C236" s="25" t="s">
        <v>197</v>
      </c>
      <c r="D236" s="25"/>
      <c r="E236" s="101"/>
      <c r="F236" t="s">
        <v>128</v>
      </c>
      <c r="G236" s="102">
        <f>+E236*0.086/1000</f>
        <v>0</v>
      </c>
      <c r="H236" s="24" t="s">
        <v>130</v>
      </c>
      <c r="I236" s="24"/>
    </row>
    <row r="237" spans="1:9" x14ac:dyDescent="0.25">
      <c r="A237" s="25" t="s">
        <v>196</v>
      </c>
      <c r="B237" s="49">
        <f>+B230*B234*B235</f>
        <v>7066.4</v>
      </c>
      <c r="C237" s="25" t="s">
        <v>128</v>
      </c>
      <c r="D237" s="25"/>
      <c r="E237" s="197">
        <f>+E236/B237</f>
        <v>0</v>
      </c>
      <c r="F237" t="s">
        <v>354</v>
      </c>
      <c r="G237" s="24"/>
      <c r="H237" s="24"/>
      <c r="I237" s="24"/>
    </row>
    <row r="238" spans="1:9" x14ac:dyDescent="0.25">
      <c r="A238" s="25" t="s">
        <v>154</v>
      </c>
      <c r="B238" s="72">
        <f>+B236*'MMEE std'!$AC$44-B237*0.086/1000</f>
        <v>1.5650968413793105</v>
      </c>
      <c r="C238" s="46" t="s">
        <v>130</v>
      </c>
      <c r="D238" s="25"/>
    </row>
    <row r="239" spans="1:9" x14ac:dyDescent="0.25">
      <c r="A239" s="43" t="s">
        <v>131</v>
      </c>
      <c r="B239" s="183">
        <v>12</v>
      </c>
      <c r="C239" s="43" t="s">
        <v>132</v>
      </c>
      <c r="D239" s="43" t="s">
        <v>410</v>
      </c>
    </row>
    <row r="240" spans="1:9" x14ac:dyDescent="0.25">
      <c r="A240" s="25" t="s">
        <v>133</v>
      </c>
      <c r="B240" s="51">
        <v>7.4999999999999997E-2</v>
      </c>
      <c r="C240" s="25" t="s">
        <v>153</v>
      </c>
      <c r="D240" s="25"/>
    </row>
    <row r="241" spans="1:9" x14ac:dyDescent="0.25">
      <c r="A241" s="25" t="s">
        <v>134</v>
      </c>
      <c r="B241" s="162">
        <f>+PV(B240,B239,-B238,0,1)</f>
        <v>13.014444064222314</v>
      </c>
      <c r="C241" s="25" t="s">
        <v>135</v>
      </c>
      <c r="D241" s="25"/>
      <c r="E241" s="59">
        <f>+B241/0.086*1000</f>
        <v>151330.74493281762</v>
      </c>
      <c r="F241" t="s">
        <v>136</v>
      </c>
    </row>
    <row r="242" spans="1:9" x14ac:dyDescent="0.25">
      <c r="A242" s="188" t="s">
        <v>243</v>
      </c>
      <c r="B242" s="193">
        <v>3</v>
      </c>
      <c r="C242" s="43"/>
      <c r="D242" s="43"/>
    </row>
    <row r="243" spans="1:9" x14ac:dyDescent="0.25">
      <c r="A243" s="40" t="s">
        <v>288</v>
      </c>
      <c r="B243" s="28">
        <v>3</v>
      </c>
      <c r="C243" s="25"/>
      <c r="D243" s="25"/>
    </row>
    <row r="244" spans="1:9" x14ac:dyDescent="0.25">
      <c r="A244" s="40" t="s">
        <v>140</v>
      </c>
      <c r="B244" s="190">
        <v>1</v>
      </c>
      <c r="C244" s="25"/>
      <c r="D244" s="25"/>
      <c r="E244" s="24"/>
      <c r="F244" s="24"/>
      <c r="G244" s="24"/>
      <c r="H244" s="24"/>
      <c r="I244" s="24"/>
    </row>
    <row r="245" spans="1:9" x14ac:dyDescent="0.25">
      <c r="A245" s="43" t="s">
        <v>289</v>
      </c>
      <c r="B245" s="166">
        <v>5</v>
      </c>
      <c r="C245" s="25"/>
      <c r="D245" s="25"/>
    </row>
    <row r="246" spans="1:9" x14ac:dyDescent="0.25">
      <c r="A246" s="188" t="s">
        <v>141</v>
      </c>
      <c r="B246" s="75">
        <f>+B241*(IF(B242*B243*B244&gt;5,5,B242*B243*B244))</f>
        <v>65.072220321111573</v>
      </c>
      <c r="C246" s="25" t="s">
        <v>135</v>
      </c>
      <c r="D246" s="189"/>
    </row>
    <row r="247" spans="1:9" x14ac:dyDescent="0.25">
      <c r="A247" s="25" t="s">
        <v>117</v>
      </c>
      <c r="B247" s="42">
        <v>1000</v>
      </c>
      <c r="C247" s="25" t="s">
        <v>156</v>
      </c>
      <c r="D247" s="25"/>
    </row>
    <row r="248" spans="1:9" x14ac:dyDescent="0.25">
      <c r="A248" s="25" t="s">
        <v>240</v>
      </c>
      <c r="B248" s="44">
        <f>+B246*B247</f>
        <v>65072.22032111157</v>
      </c>
      <c r="C248" s="43" t="s">
        <v>110</v>
      </c>
      <c r="D248" s="60"/>
    </row>
    <row r="249" spans="1:9" x14ac:dyDescent="0.25">
      <c r="A249" s="43" t="s">
        <v>286</v>
      </c>
      <c r="B249" s="335">
        <v>70.81</v>
      </c>
      <c r="C249" s="43" t="s">
        <v>287</v>
      </c>
      <c r="D249" s="336" t="s">
        <v>417</v>
      </c>
    </row>
    <row r="250" spans="1:9" x14ac:dyDescent="0.25">
      <c r="A250" s="43" t="s">
        <v>249</v>
      </c>
      <c r="B250" s="238">
        <v>2.1539999999999999</v>
      </c>
      <c r="C250" s="25" t="s">
        <v>248</v>
      </c>
      <c r="D250" s="336" t="s">
        <v>474</v>
      </c>
    </row>
    <row r="251" spans="1:9" x14ac:dyDescent="0.25">
      <c r="A251" s="25" t="s">
        <v>247</v>
      </c>
      <c r="B251" s="138">
        <f>+B236*B249-B237*B250</f>
        <v>180849.42267586209</v>
      </c>
      <c r="C251" s="25" t="s">
        <v>250</v>
      </c>
      <c r="D251" s="25"/>
    </row>
    <row r="252" spans="1:9" x14ac:dyDescent="0.25">
      <c r="A252" s="38" t="s">
        <v>138</v>
      </c>
      <c r="B252" s="141">
        <f>(B231-B232)/(-PV(10%,B239,B251,0,0))</f>
        <v>0.90414119013113725</v>
      </c>
      <c r="C252" s="27"/>
      <c r="D252" s="27"/>
    </row>
    <row r="253" spans="1:9" x14ac:dyDescent="0.25">
      <c r="A253" s="43" t="s">
        <v>242</v>
      </c>
      <c r="B253" s="146">
        <f>+B248/B231</f>
        <v>3.4471695884468703E-2</v>
      </c>
      <c r="C253" s="25"/>
      <c r="D253" s="25"/>
    </row>
    <row r="255" spans="1:9" ht="15.75" x14ac:dyDescent="0.25">
      <c r="A255" s="144" t="s">
        <v>490</v>
      </c>
      <c r="B255" s="145"/>
      <c r="C255" s="145"/>
      <c r="D255" s="145"/>
    </row>
    <row r="256" spans="1:9" x14ac:dyDescent="0.25">
      <c r="A256" s="23" t="s">
        <v>124</v>
      </c>
      <c r="B256" s="23" t="s">
        <v>10</v>
      </c>
      <c r="C256" s="23" t="s">
        <v>74</v>
      </c>
      <c r="D256" s="23" t="s">
        <v>125</v>
      </c>
    </row>
    <row r="257" spans="1:4" x14ac:dyDescent="0.25">
      <c r="A257" s="25" t="s">
        <v>163</v>
      </c>
      <c r="B257" s="54">
        <v>1</v>
      </c>
      <c r="C257" s="48"/>
      <c r="D257" s="46"/>
    </row>
    <row r="258" spans="1:4" ht="30" x14ac:dyDescent="0.25">
      <c r="A258" s="25" t="s">
        <v>203</v>
      </c>
      <c r="B258" s="166">
        <v>7</v>
      </c>
      <c r="C258" s="25" t="s">
        <v>199</v>
      </c>
      <c r="D258" s="71" t="s">
        <v>491</v>
      </c>
    </row>
    <row r="259" spans="1:4" ht="30" x14ac:dyDescent="0.25">
      <c r="A259" s="25" t="s">
        <v>279</v>
      </c>
      <c r="B259" s="187">
        <f>439*43.85</f>
        <v>19250.150000000001</v>
      </c>
      <c r="C259" s="46" t="s">
        <v>277</v>
      </c>
      <c r="D259" s="186" t="s">
        <v>492</v>
      </c>
    </row>
    <row r="260" spans="1:4" ht="60" x14ac:dyDescent="0.25">
      <c r="A260" s="43" t="s">
        <v>191</v>
      </c>
      <c r="B260" s="185">
        <f>1/(23.7)</f>
        <v>4.2194092827004218E-2</v>
      </c>
      <c r="C260" s="43" t="s">
        <v>192</v>
      </c>
      <c r="D260" s="186" t="s">
        <v>335</v>
      </c>
    </row>
    <row r="261" spans="1:4" x14ac:dyDescent="0.25">
      <c r="A261" s="43" t="s">
        <v>194</v>
      </c>
      <c r="B261" s="185">
        <v>0</v>
      </c>
      <c r="C261" s="43" t="s">
        <v>193</v>
      </c>
      <c r="D261" s="27"/>
    </row>
    <row r="262" spans="1:4" x14ac:dyDescent="0.25">
      <c r="A262" s="43" t="s">
        <v>208</v>
      </c>
      <c r="B262" s="552">
        <f>5*52</f>
        <v>260</v>
      </c>
      <c r="C262" s="25" t="s">
        <v>207</v>
      </c>
      <c r="D262" s="71"/>
    </row>
    <row r="263" spans="1:4" x14ac:dyDescent="0.25">
      <c r="A263" s="25" t="s">
        <v>195</v>
      </c>
      <c r="B263" s="49">
        <f>+B258*B262*B260</f>
        <v>76.793248945147681</v>
      </c>
      <c r="C263" s="25" t="s">
        <v>197</v>
      </c>
      <c r="D263" s="25"/>
    </row>
    <row r="264" spans="1:4" x14ac:dyDescent="0.25">
      <c r="A264" s="25" t="s">
        <v>196</v>
      </c>
      <c r="B264" s="49">
        <f>+B258*B261*B262</f>
        <v>0</v>
      </c>
      <c r="C264" s="25" t="s">
        <v>128</v>
      </c>
      <c r="D264" s="25"/>
    </row>
    <row r="265" spans="1:4" x14ac:dyDescent="0.25">
      <c r="A265" s="25" t="s">
        <v>154</v>
      </c>
      <c r="B265" s="72">
        <f>+B263*[3]MMEE!$U$57-B264*0.086/1000</f>
        <v>6.0935443037974692E-2</v>
      </c>
      <c r="C265" s="46" t="s">
        <v>130</v>
      </c>
      <c r="D265" s="25"/>
    </row>
    <row r="266" spans="1:4" x14ac:dyDescent="0.25">
      <c r="A266" s="25" t="s">
        <v>131</v>
      </c>
      <c r="B266" s="183">
        <v>12</v>
      </c>
      <c r="C266" s="25" t="s">
        <v>132</v>
      </c>
      <c r="D266" s="25" t="s">
        <v>493</v>
      </c>
    </row>
    <row r="267" spans="1:4" x14ac:dyDescent="0.25">
      <c r="A267" s="25" t="s">
        <v>133</v>
      </c>
      <c r="B267" s="51">
        <v>7.4999999999999997E-2</v>
      </c>
      <c r="C267" s="25" t="s">
        <v>153</v>
      </c>
      <c r="D267" s="25"/>
    </row>
    <row r="268" spans="1:4" x14ac:dyDescent="0.25">
      <c r="A268" s="25" t="s">
        <v>134</v>
      </c>
      <c r="B268" s="162">
        <f>+PV(B267,B266,-B265,0,1)</f>
        <v>0.50670405433022569</v>
      </c>
      <c r="C268" s="25" t="s">
        <v>135</v>
      </c>
      <c r="D268" s="25"/>
    </row>
    <row r="269" spans="1:4" x14ac:dyDescent="0.25">
      <c r="A269" s="40" t="s">
        <v>243</v>
      </c>
      <c r="B269" s="28">
        <v>3</v>
      </c>
      <c r="C269" s="25"/>
      <c r="D269" s="25"/>
    </row>
    <row r="270" spans="1:4" x14ac:dyDescent="0.25">
      <c r="A270" s="40" t="s">
        <v>288</v>
      </c>
      <c r="B270" s="28">
        <v>3</v>
      </c>
      <c r="C270" s="25"/>
      <c r="D270" s="25"/>
    </row>
    <row r="271" spans="1:4" x14ac:dyDescent="0.25">
      <c r="A271" s="40" t="s">
        <v>140</v>
      </c>
      <c r="B271" s="190">
        <v>1</v>
      </c>
      <c r="C271" s="25"/>
      <c r="D271" s="25"/>
    </row>
    <row r="272" spans="1:4" x14ac:dyDescent="0.25">
      <c r="A272" s="25" t="s">
        <v>289</v>
      </c>
      <c r="B272" s="42">
        <v>7</v>
      </c>
      <c r="C272" s="25"/>
      <c r="D272" s="25"/>
    </row>
    <row r="273" spans="1:4" x14ac:dyDescent="0.25">
      <c r="A273" s="188" t="s">
        <v>141</v>
      </c>
      <c r="B273" s="75">
        <f>+B268*(IF(B269*B270*B271&gt;7,7,B269*B270*B271))</f>
        <v>3.5469283803115799</v>
      </c>
      <c r="C273" s="25" t="s">
        <v>135</v>
      </c>
      <c r="D273" s="189"/>
    </row>
    <row r="274" spans="1:4" x14ac:dyDescent="0.25">
      <c r="A274" s="25" t="s">
        <v>117</v>
      </c>
      <c r="B274" s="42">
        <v>1000</v>
      </c>
      <c r="C274" s="25" t="s">
        <v>156</v>
      </c>
      <c r="D274" s="25"/>
    </row>
    <row r="275" spans="1:4" x14ac:dyDescent="0.25">
      <c r="A275" s="25" t="s">
        <v>240</v>
      </c>
      <c r="B275" s="44">
        <f>+B273*B274</f>
        <v>3546.92838031158</v>
      </c>
      <c r="C275" s="43" t="s">
        <v>110</v>
      </c>
      <c r="D275" s="60"/>
    </row>
    <row r="276" spans="1:4" x14ac:dyDescent="0.25">
      <c r="A276" s="25" t="s">
        <v>286</v>
      </c>
      <c r="B276" s="553">
        <f>'[3]Precios de referencia'!$C$57</f>
        <v>58.35</v>
      </c>
      <c r="C276" s="25" t="s">
        <v>287</v>
      </c>
      <c r="D276" s="139"/>
    </row>
    <row r="277" spans="1:4" x14ac:dyDescent="0.25">
      <c r="A277" s="25" t="s">
        <v>249</v>
      </c>
      <c r="B277" s="553">
        <f>'[3]Precios de referencia'!$D$18</f>
        <v>2.0939999999999999</v>
      </c>
      <c r="C277" s="25" t="s">
        <v>248</v>
      </c>
      <c r="D277" s="139" t="s">
        <v>494</v>
      </c>
    </row>
    <row r="278" spans="1:4" x14ac:dyDescent="0.25">
      <c r="A278" s="25" t="s">
        <v>247</v>
      </c>
      <c r="B278" s="138">
        <f>+B263*B276-B264*B277</f>
        <v>4480.8860759493673</v>
      </c>
      <c r="C278" s="25" t="s">
        <v>250</v>
      </c>
      <c r="D278" s="25"/>
    </row>
    <row r="279" spans="1:4" x14ac:dyDescent="0.25">
      <c r="A279" s="38" t="s">
        <v>138</v>
      </c>
      <c r="B279" s="184">
        <f>B259/(-PV(10%,B266,B278,0,0))</f>
        <v>0.63050382944163907</v>
      </c>
      <c r="C279" s="27"/>
      <c r="D279" s="27"/>
    </row>
    <row r="280" spans="1:4" x14ac:dyDescent="0.25">
      <c r="A280" s="43" t="s">
        <v>242</v>
      </c>
      <c r="B280" s="146">
        <f>+B275/B259</f>
        <v>0.18425458400644046</v>
      </c>
      <c r="C280" s="25"/>
      <c r="D280" s="25"/>
    </row>
    <row r="282" spans="1:4" ht="15.75" x14ac:dyDescent="0.25">
      <c r="A282" s="144" t="s">
        <v>495</v>
      </c>
      <c r="B282" s="145"/>
      <c r="C282" s="145"/>
      <c r="D282" s="145"/>
    </row>
    <row r="283" spans="1:4" x14ac:dyDescent="0.25">
      <c r="A283" s="23" t="s">
        <v>124</v>
      </c>
      <c r="B283" s="23" t="s">
        <v>10</v>
      </c>
      <c r="C283" s="23" t="s">
        <v>74</v>
      </c>
      <c r="D283" s="23" t="s">
        <v>125</v>
      </c>
    </row>
    <row r="284" spans="1:4" x14ac:dyDescent="0.25">
      <c r="A284" s="25" t="s">
        <v>163</v>
      </c>
      <c r="B284" s="54">
        <v>1</v>
      </c>
      <c r="C284" s="48"/>
      <c r="D284" s="46"/>
    </row>
    <row r="285" spans="1:4" x14ac:dyDescent="0.25">
      <c r="A285" s="25" t="s">
        <v>203</v>
      </c>
      <c r="B285" s="166">
        <v>40</v>
      </c>
      <c r="C285" s="25" t="s">
        <v>199</v>
      </c>
      <c r="D285" s="150" t="s">
        <v>496</v>
      </c>
    </row>
    <row r="286" spans="1:4" ht="30" x14ac:dyDescent="0.25">
      <c r="A286" s="25" t="s">
        <v>279</v>
      </c>
      <c r="B286" s="187">
        <f>1090*43.85</f>
        <v>47796.5</v>
      </c>
      <c r="C286" s="46" t="s">
        <v>277</v>
      </c>
      <c r="D286" s="186" t="s">
        <v>497</v>
      </c>
    </row>
    <row r="287" spans="1:4" ht="60" x14ac:dyDescent="0.25">
      <c r="A287" s="43" t="s">
        <v>191</v>
      </c>
      <c r="B287" s="185">
        <f>1/(23.7)</f>
        <v>4.2194092827004218E-2</v>
      </c>
      <c r="C287" s="43" t="s">
        <v>192</v>
      </c>
      <c r="D287" s="186" t="s">
        <v>335</v>
      </c>
    </row>
    <row r="288" spans="1:4" x14ac:dyDescent="0.25">
      <c r="A288" s="43" t="s">
        <v>194</v>
      </c>
      <c r="B288" s="185">
        <v>1.2E-2</v>
      </c>
      <c r="C288" s="43" t="s">
        <v>193</v>
      </c>
      <c r="D288" s="27" t="s">
        <v>498</v>
      </c>
    </row>
    <row r="289" spans="1:4" x14ac:dyDescent="0.25">
      <c r="A289" s="43" t="s">
        <v>208</v>
      </c>
      <c r="B289" s="552">
        <f>5*52</f>
        <v>260</v>
      </c>
      <c r="C289" s="25" t="s">
        <v>207</v>
      </c>
      <c r="D289" s="71"/>
    </row>
    <row r="290" spans="1:4" x14ac:dyDescent="0.25">
      <c r="A290" s="25" t="s">
        <v>195</v>
      </c>
      <c r="B290" s="49">
        <f>+B285*B289*B287</f>
        <v>438.81856540084385</v>
      </c>
      <c r="C290" s="25" t="s">
        <v>197</v>
      </c>
      <c r="D290" s="25"/>
    </row>
    <row r="291" spans="1:4" x14ac:dyDescent="0.25">
      <c r="A291" s="25" t="s">
        <v>196</v>
      </c>
      <c r="B291" s="49">
        <f>+B285*B288*B289</f>
        <v>124.8</v>
      </c>
      <c r="C291" s="25" t="s">
        <v>128</v>
      </c>
      <c r="D291" s="25"/>
    </row>
    <row r="292" spans="1:4" x14ac:dyDescent="0.25">
      <c r="A292" s="25" t="s">
        <v>154</v>
      </c>
      <c r="B292" s="72">
        <f>+B290*[3]MMEE!$U$57-B291*0.086/1000</f>
        <v>0.33746973164556965</v>
      </c>
      <c r="C292" s="46" t="s">
        <v>130</v>
      </c>
      <c r="D292" s="25"/>
    </row>
    <row r="293" spans="1:4" x14ac:dyDescent="0.25">
      <c r="A293" s="25" t="s">
        <v>131</v>
      </c>
      <c r="B293" s="183">
        <f>12</f>
        <v>12</v>
      </c>
      <c r="C293" s="25" t="s">
        <v>132</v>
      </c>
      <c r="D293" s="25" t="s">
        <v>493</v>
      </c>
    </row>
    <row r="294" spans="1:4" x14ac:dyDescent="0.25">
      <c r="A294" s="25" t="s">
        <v>133</v>
      </c>
      <c r="B294" s="51">
        <v>7.4999999999999997E-2</v>
      </c>
      <c r="C294" s="25" t="s">
        <v>153</v>
      </c>
      <c r="D294" s="25"/>
    </row>
    <row r="295" spans="1:4" x14ac:dyDescent="0.25">
      <c r="A295" s="25" t="s">
        <v>134</v>
      </c>
      <c r="B295" s="162">
        <f>+PV(B294,B293,-B292,0,1)</f>
        <v>2.8062039547653517</v>
      </c>
      <c r="C295" s="25" t="s">
        <v>135</v>
      </c>
      <c r="D295" s="25"/>
    </row>
    <row r="296" spans="1:4" x14ac:dyDescent="0.25">
      <c r="A296" s="40" t="s">
        <v>243</v>
      </c>
      <c r="B296" s="28">
        <v>3</v>
      </c>
      <c r="C296" s="25"/>
      <c r="D296" s="25"/>
    </row>
    <row r="297" spans="1:4" x14ac:dyDescent="0.25">
      <c r="A297" s="40" t="s">
        <v>288</v>
      </c>
      <c r="B297" s="28">
        <v>3</v>
      </c>
      <c r="C297" s="25"/>
      <c r="D297" s="25"/>
    </row>
    <row r="298" spans="1:4" x14ac:dyDescent="0.25">
      <c r="A298" s="40" t="s">
        <v>140</v>
      </c>
      <c r="B298" s="190">
        <v>1</v>
      </c>
      <c r="C298" s="25"/>
      <c r="D298" s="25"/>
    </row>
    <row r="299" spans="1:4" x14ac:dyDescent="0.25">
      <c r="A299" s="25" t="s">
        <v>289</v>
      </c>
      <c r="B299" s="42">
        <v>7</v>
      </c>
      <c r="C299" s="25"/>
      <c r="D299" s="25"/>
    </row>
    <row r="300" spans="1:4" x14ac:dyDescent="0.25">
      <c r="A300" s="188" t="s">
        <v>141</v>
      </c>
      <c r="B300" s="75">
        <f>+B295*(IF(B296*B297*B298&gt;7,7,B296*B297*B298))</f>
        <v>19.643427683357462</v>
      </c>
      <c r="C300" s="25" t="s">
        <v>135</v>
      </c>
      <c r="D300" s="189"/>
    </row>
    <row r="301" spans="1:4" x14ac:dyDescent="0.25">
      <c r="A301" s="25" t="s">
        <v>117</v>
      </c>
      <c r="B301" s="42">
        <v>1000</v>
      </c>
      <c r="C301" s="25" t="s">
        <v>156</v>
      </c>
      <c r="D301" s="25"/>
    </row>
    <row r="302" spans="1:4" x14ac:dyDescent="0.25">
      <c r="A302" s="25" t="s">
        <v>240</v>
      </c>
      <c r="B302" s="44">
        <f>+B300*B301</f>
        <v>19643.427683357462</v>
      </c>
      <c r="C302" s="43" t="s">
        <v>110</v>
      </c>
      <c r="D302" s="60"/>
    </row>
    <row r="303" spans="1:4" x14ac:dyDescent="0.25">
      <c r="A303" s="25" t="s">
        <v>286</v>
      </c>
      <c r="B303" s="553">
        <f>'[3]Precios de referencia'!$C$57</f>
        <v>58.35</v>
      </c>
      <c r="C303" s="25" t="s">
        <v>287</v>
      </c>
      <c r="D303" s="139"/>
    </row>
    <row r="304" spans="1:4" x14ac:dyDescent="0.25">
      <c r="A304" s="25" t="s">
        <v>249</v>
      </c>
      <c r="B304" s="553">
        <f>'[3]Precios de referencia'!$D$18</f>
        <v>2.0939999999999999</v>
      </c>
      <c r="C304" s="25" t="s">
        <v>248</v>
      </c>
      <c r="D304" s="139" t="s">
        <v>494</v>
      </c>
    </row>
    <row r="305" spans="1:4" x14ac:dyDescent="0.25">
      <c r="A305" s="25" t="s">
        <v>247</v>
      </c>
      <c r="B305" s="138">
        <f>+B290*B303-B291*B304</f>
        <v>25343.732091139238</v>
      </c>
      <c r="C305" s="25" t="s">
        <v>250</v>
      </c>
      <c r="D305" s="25"/>
    </row>
    <row r="306" spans="1:4" x14ac:dyDescent="0.25">
      <c r="A306" s="38" t="s">
        <v>138</v>
      </c>
      <c r="B306" s="184">
        <f>B286/(-PV(10%,B293,B305,0,0))</f>
        <v>0.27678531184613525</v>
      </c>
      <c r="C306" s="27"/>
      <c r="D306" s="27"/>
    </row>
    <row r="307" spans="1:4" x14ac:dyDescent="0.25">
      <c r="A307" s="43" t="s">
        <v>242</v>
      </c>
      <c r="B307" s="146">
        <f>+B302/B286</f>
        <v>0.41098046265641758</v>
      </c>
      <c r="C307" s="25"/>
      <c r="D307" s="25"/>
    </row>
  </sheetData>
  <phoneticPr fontId="18" type="noConversion"/>
  <hyperlinks>
    <hyperlink ref="D177" r:id="rId1" display="https://mobility.uy/precios-y-financiacion/" xr:uid="{00000000-0004-0000-0500-000000000000}"/>
    <hyperlink ref="D259" r:id="rId2" display="https://mobility.uy/precios-y-financiacion/" xr:uid="{00000000-0004-0000-0500-000001000000}"/>
    <hyperlink ref="D286" r:id="rId3" display="https://mobility.uy/precios-y-financiacion/" xr:uid="{00000000-0004-0000-0500-000002000000}"/>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Datos Postulación</vt:lpstr>
      <vt:lpstr>Datos Instalaciones</vt:lpstr>
      <vt:lpstr>Instrucciones para hoja MMEE</vt:lpstr>
      <vt:lpstr>MMEE std</vt:lpstr>
      <vt:lpstr>Resumen</vt:lpstr>
      <vt:lpstr>Calculadores</vt:lpstr>
      <vt:lpstr>'Datos Postulación'!Área_de_impresión</vt:lpstr>
      <vt:lpstr>'MMEE std'!Área_de_impresión</vt:lpstr>
      <vt:lpstr>'MMEE std'!Títulos_a_imprimir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Antonella Tambasco</dc:creator>
  <cp:lastModifiedBy>Adriana Torchelo</cp:lastModifiedBy>
  <cp:lastPrinted>2018-09-07T11:58:46Z</cp:lastPrinted>
  <dcterms:created xsi:type="dcterms:W3CDTF">2015-05-19T13:02:59Z</dcterms:created>
  <dcterms:modified xsi:type="dcterms:W3CDTF">2024-04-10T12:43:29Z</dcterms:modified>
</cp:coreProperties>
</file>