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omments35.xml" ContentType="application/vnd.openxmlformats-officedocument.spreadsheetml.comments+xml"/>
  <Override PartName="/xl/comments3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ownloads\"/>
    </mc:Choice>
  </mc:AlternateContent>
  <bookViews>
    <workbookView xWindow="0" yWindow="0" windowWidth="20490" windowHeight="7155"/>
  </bookViews>
  <sheets>
    <sheet name="ASOC.ESPAÑOLA" sheetId="1" r:id="rId1"/>
    <sheet name="HOSP.EVANGÉLICO" sheetId="2" r:id="rId2"/>
    <sheet name="CASA DE GALICIA" sheetId="23" r:id="rId3"/>
    <sheet name="CASMU" sheetId="44" r:id="rId4"/>
    <sheet name="CÍRCULO CATÓLICO" sheetId="3" r:id="rId5"/>
    <sheet name="CUDAM" sheetId="4" r:id="rId6"/>
    <sheet name="COSEM" sheetId="24" r:id="rId7"/>
    <sheet name="GREMCA" sheetId="28" r:id="rId8"/>
    <sheet name="MUCAM" sheetId="45" r:id="rId9"/>
    <sheet name="SMI" sheetId="5" r:id="rId10"/>
    <sheet name="UNIVERSAL" sheetId="30" r:id="rId11"/>
    <sheet name="GREMEDA" sheetId="6" r:id="rId12"/>
    <sheet name="CAAMEPA" sheetId="7" r:id="rId13"/>
    <sheet name="CRAMI" sheetId="8" r:id="rId14"/>
    <sheet name="COMECA" sheetId="31" r:id="rId15"/>
    <sheet name="CAMCEL" sheetId="9" r:id="rId16"/>
    <sheet name="CAMEC" sheetId="11" r:id="rId17"/>
    <sheet name="CAMOC" sheetId="14" r:id="rId18"/>
    <sheet name="CAMEDUR" sheetId="12" r:id="rId19"/>
    <sheet name="COMEFLO" sheetId="13" r:id="rId20"/>
    <sheet name="COMEF" sheetId="10" r:id="rId21"/>
    <sheet name="CAMDEL" sheetId="15" r:id="rId22"/>
    <sheet name="AMECOM" sheetId="16" r:id="rId23"/>
    <sheet name="CRAME" sheetId="29" r:id="rId24"/>
    <sheet name="COMEPA" sheetId="25" r:id="rId25"/>
    <sheet name="AMEDRIN" sheetId="32" r:id="rId26"/>
    <sheet name="CAMY" sheetId="33" r:id="rId27"/>
    <sheet name="CASMER" sheetId="34" r:id="rId28"/>
    <sheet name="COMERI" sheetId="26" r:id="rId29"/>
    <sheet name="COMERO" sheetId="27" r:id="rId30"/>
    <sheet name="SMQS" sheetId="42" r:id="rId31"/>
    <sheet name="AMSJ" sheetId="35" r:id="rId32"/>
    <sheet name="CAMS" sheetId="36" r:id="rId33"/>
    <sheet name="COMTA" sheetId="37" r:id="rId34"/>
    <sheet name="IAC" sheetId="38" r:id="rId35"/>
    <sheet name="Total Montevideo" sheetId="17" r:id="rId36"/>
    <sheet name="Total Interior" sheetId="21" r:id="rId37"/>
    <sheet name="Total Pais" sheetId="22" r:id="rId38"/>
  </sheets>
  <externalReferences>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8" i="45" l="1"/>
  <c r="G168" i="45"/>
  <c r="G154" i="45"/>
  <c r="D152" i="45"/>
  <c r="D148" i="45"/>
  <c r="G143" i="45"/>
  <c r="G174" i="45" s="1"/>
  <c r="D143" i="45"/>
  <c r="D142" i="45"/>
  <c r="G139" i="45"/>
  <c r="D138" i="45"/>
  <c r="D126" i="45"/>
  <c r="G123" i="45"/>
  <c r="D122" i="45"/>
  <c r="G111" i="45"/>
  <c r="D111" i="45"/>
  <c r="G105" i="45"/>
  <c r="G102" i="45"/>
  <c r="G101" i="45"/>
  <c r="G95" i="45"/>
  <c r="D90" i="45"/>
  <c r="D89" i="45"/>
  <c r="D88" i="45"/>
  <c r="D87" i="45"/>
  <c r="D86" i="45"/>
  <c r="D85" i="45"/>
  <c r="D83" i="45"/>
  <c r="D82" i="45"/>
  <c r="D81" i="45"/>
  <c r="D80" i="45"/>
  <c r="G79" i="45"/>
  <c r="D76" i="45"/>
  <c r="D75" i="45"/>
  <c r="D74" i="45"/>
  <c r="D73" i="45"/>
  <c r="D72" i="45"/>
  <c r="D71" i="45"/>
  <c r="D70" i="45"/>
  <c r="D69" i="45"/>
  <c r="D68" i="45"/>
  <c r="D67" i="45"/>
  <c r="D66" i="45"/>
  <c r="D65" i="45"/>
  <c r="D64" i="45"/>
  <c r="D60" i="45"/>
  <c r="G56" i="45"/>
  <c r="G57" i="45" s="1"/>
  <c r="D52" i="45"/>
  <c r="D47" i="45"/>
  <c r="G40" i="45"/>
  <c r="G33" i="45"/>
  <c r="G48" i="45" s="1"/>
  <c r="G32" i="45"/>
  <c r="D29" i="45"/>
  <c r="G26" i="45"/>
  <c r="G27" i="45" s="1"/>
  <c r="D21" i="45"/>
  <c r="D35" i="45" s="1"/>
  <c r="G19" i="45"/>
  <c r="D8" i="45"/>
  <c r="D7" i="45"/>
  <c r="D6" i="45"/>
  <c r="G6" i="45" s="1"/>
  <c r="E2" i="45"/>
  <c r="E1" i="45"/>
  <c r="G169" i="45" l="1"/>
  <c r="D20" i="45"/>
  <c r="G140" i="45"/>
  <c r="D53" i="45"/>
  <c r="D61" i="45" s="1"/>
  <c r="D91" i="45"/>
  <c r="D77" i="45"/>
  <c r="D92" i="45" s="1"/>
  <c r="D153" i="45"/>
  <c r="G106" i="45"/>
  <c r="G109" i="45" s="1"/>
  <c r="D155" i="45" s="1"/>
  <c r="G172" i="45" l="1"/>
  <c r="G181" i="45" s="1"/>
  <c r="G178" i="42" l="1"/>
  <c r="G168" i="42"/>
  <c r="G154" i="42"/>
  <c r="D152" i="42"/>
  <c r="D148" i="42"/>
  <c r="G143" i="42"/>
  <c r="G174" i="42" s="1"/>
  <c r="D143" i="42"/>
  <c r="D142" i="42"/>
  <c r="G139" i="42"/>
  <c r="D136" i="42"/>
  <c r="D138" i="42" s="1"/>
  <c r="D126" i="42"/>
  <c r="G123" i="42"/>
  <c r="D122" i="42"/>
  <c r="G111" i="42"/>
  <c r="D111" i="42"/>
  <c r="G105" i="42"/>
  <c r="G102" i="42"/>
  <c r="G101" i="42"/>
  <c r="G95" i="42"/>
  <c r="D90" i="42"/>
  <c r="D89" i="42"/>
  <c r="D88" i="42"/>
  <c r="D87" i="42"/>
  <c r="D86" i="42"/>
  <c r="D85" i="42"/>
  <c r="D83" i="42"/>
  <c r="D82" i="42"/>
  <c r="D81" i="42"/>
  <c r="D80" i="42"/>
  <c r="G79" i="42"/>
  <c r="D76" i="42"/>
  <c r="D75" i="42"/>
  <c r="D74" i="42"/>
  <c r="D73" i="42"/>
  <c r="D72" i="42"/>
  <c r="D71" i="42"/>
  <c r="D70" i="42"/>
  <c r="D69" i="42"/>
  <c r="D68" i="42"/>
  <c r="D67" i="42"/>
  <c r="D66" i="42"/>
  <c r="D65" i="42"/>
  <c r="D64" i="42"/>
  <c r="D60" i="42"/>
  <c r="G57" i="42"/>
  <c r="D52" i="42"/>
  <c r="G47" i="42"/>
  <c r="D47" i="42"/>
  <c r="G46" i="42"/>
  <c r="G40" i="42" s="1"/>
  <c r="G33" i="42"/>
  <c r="G32" i="42"/>
  <c r="D29" i="42"/>
  <c r="G27" i="42"/>
  <c r="D26" i="42"/>
  <c r="D21" i="42" s="1"/>
  <c r="G19" i="42"/>
  <c r="D9" i="42"/>
  <c r="D20" i="42" s="1"/>
  <c r="D6" i="42"/>
  <c r="G6" i="42" s="1"/>
  <c r="E2" i="42"/>
  <c r="E1" i="42"/>
  <c r="G48" i="42" l="1"/>
  <c r="D153" i="42"/>
  <c r="D35" i="42"/>
  <c r="D53" i="42" s="1"/>
  <c r="D61" i="42" s="1"/>
  <c r="D91" i="42"/>
  <c r="G140" i="42"/>
  <c r="D77" i="42"/>
  <c r="G169" i="42"/>
  <c r="G106" i="42"/>
  <c r="D92" i="42" l="1"/>
  <c r="G109" i="42"/>
  <c r="D155" i="42" s="1"/>
  <c r="G172" i="42" s="1"/>
  <c r="G181" i="42" s="1"/>
  <c r="G168" i="44"/>
  <c r="G154" i="44"/>
  <c r="D152" i="44"/>
  <c r="D148" i="44"/>
  <c r="D142" i="44"/>
  <c r="G139" i="44"/>
  <c r="D138" i="44"/>
  <c r="D126" i="44"/>
  <c r="G123" i="44"/>
  <c r="D122" i="44"/>
  <c r="D153" i="44" s="1"/>
  <c r="G101" i="44"/>
  <c r="G95" i="44"/>
  <c r="G79" i="44"/>
  <c r="G57" i="44"/>
  <c r="D52" i="44"/>
  <c r="D47" i="44"/>
  <c r="G40" i="44"/>
  <c r="G33" i="44"/>
  <c r="G32" i="44"/>
  <c r="D29" i="44"/>
  <c r="G27" i="44"/>
  <c r="D21" i="44"/>
  <c r="D35" i="44" s="1"/>
  <c r="D53" i="44" s="1"/>
  <c r="D61" i="44" s="1"/>
  <c r="D20" i="44"/>
  <c r="G19" i="44"/>
  <c r="G140" i="44" l="1"/>
  <c r="G48" i="44"/>
  <c r="G106" i="44" s="1"/>
  <c r="G109" i="44" s="1"/>
  <c r="D155" i="44" s="1"/>
  <c r="G172" i="44" s="1"/>
  <c r="G181" i="44" s="1"/>
  <c r="G169" i="44"/>
  <c r="G178" i="23" l="1"/>
  <c r="G168" i="23"/>
  <c r="G154" i="23"/>
  <c r="D152" i="23"/>
  <c r="D148" i="23"/>
  <c r="G143" i="23"/>
  <c r="G174" i="23" s="1"/>
  <c r="D143" i="23"/>
  <c r="D142" i="23"/>
  <c r="G139" i="23"/>
  <c r="D138" i="23"/>
  <c r="D126" i="23"/>
  <c r="G123" i="23"/>
  <c r="G140" i="23" s="1"/>
  <c r="D122" i="23"/>
  <c r="G111" i="23"/>
  <c r="D111" i="23"/>
  <c r="G105" i="23"/>
  <c r="G102" i="23"/>
  <c r="G101" i="23"/>
  <c r="G95" i="23"/>
  <c r="D90" i="23"/>
  <c r="D89" i="23"/>
  <c r="D88" i="23"/>
  <c r="D87" i="23"/>
  <c r="D86" i="23"/>
  <c r="D85" i="23"/>
  <c r="D83" i="23"/>
  <c r="D82" i="23"/>
  <c r="D81" i="23"/>
  <c r="D80" i="23"/>
  <c r="G79" i="23"/>
  <c r="D76" i="23"/>
  <c r="D75" i="23"/>
  <c r="D74" i="23"/>
  <c r="D73" i="23"/>
  <c r="D72" i="23"/>
  <c r="D71" i="23"/>
  <c r="D70" i="23"/>
  <c r="D69" i="23"/>
  <c r="D68" i="23"/>
  <c r="D67" i="23"/>
  <c r="D66" i="23"/>
  <c r="D65" i="23"/>
  <c r="D64" i="23"/>
  <c r="D60" i="23"/>
  <c r="G57" i="23"/>
  <c r="D52" i="23"/>
  <c r="D47" i="23"/>
  <c r="G40" i="23"/>
  <c r="G33" i="23"/>
  <c r="G32" i="23"/>
  <c r="D29" i="23"/>
  <c r="G27" i="23"/>
  <c r="D21" i="23"/>
  <c r="D20" i="23"/>
  <c r="G19" i="23"/>
  <c r="D6" i="23"/>
  <c r="G6" i="23" s="1"/>
  <c r="E2" i="23"/>
  <c r="E1" i="23"/>
  <c r="G169" i="23" l="1"/>
  <c r="D35" i="23"/>
  <c r="D53" i="23" s="1"/>
  <c r="D61" i="23" s="1"/>
  <c r="G48" i="23"/>
  <c r="G106" i="23" s="1"/>
  <c r="D77" i="23"/>
  <c r="D91" i="23"/>
  <c r="D153" i="23"/>
  <c r="G177" i="21"/>
  <c r="G162" i="21"/>
  <c r="D84" i="21"/>
  <c r="D15" i="21"/>
  <c r="G177" i="17"/>
  <c r="G177" i="22" s="1"/>
  <c r="G176" i="17"/>
  <c r="G176" i="22" s="1"/>
  <c r="G175" i="17"/>
  <c r="G175" i="22" s="1"/>
  <c r="G167" i="17"/>
  <c r="G166" i="17"/>
  <c r="G165" i="17"/>
  <c r="G164" i="17"/>
  <c r="G164" i="22" s="1"/>
  <c r="G163" i="17"/>
  <c r="G163" i="22" s="1"/>
  <c r="G162" i="17"/>
  <c r="G162" i="22" s="1"/>
  <c r="G161" i="17"/>
  <c r="G160" i="17"/>
  <c r="G159" i="17"/>
  <c r="G158" i="17"/>
  <c r="G158" i="22" s="1"/>
  <c r="G157" i="17"/>
  <c r="G155" i="17"/>
  <c r="G153" i="17"/>
  <c r="G152" i="17"/>
  <c r="G150" i="17"/>
  <c r="G150" i="22" s="1"/>
  <c r="G149" i="17"/>
  <c r="G149" i="22" s="1"/>
  <c r="G148" i="17"/>
  <c r="G148" i="22" s="1"/>
  <c r="G147" i="17"/>
  <c r="G146" i="17"/>
  <c r="G145" i="17"/>
  <c r="G144" i="17"/>
  <c r="G138" i="17"/>
  <c r="G136" i="17"/>
  <c r="G135" i="17"/>
  <c r="G135" i="22" s="1"/>
  <c r="G134" i="17"/>
  <c r="G132" i="17"/>
  <c r="G131" i="17"/>
  <c r="G131" i="22" s="1"/>
  <c r="G130" i="17"/>
  <c r="G130" i="22" s="1"/>
  <c r="G128" i="17"/>
  <c r="G128" i="22" s="1"/>
  <c r="G127" i="17"/>
  <c r="G127" i="22" s="1"/>
  <c r="G126" i="17"/>
  <c r="G126" i="22" s="1"/>
  <c r="G125" i="17"/>
  <c r="G122" i="17"/>
  <c r="G120" i="17"/>
  <c r="G120" i="22" s="1"/>
  <c r="G119" i="17"/>
  <c r="G119" i="22" s="1"/>
  <c r="G118" i="17"/>
  <c r="G118" i="22" s="1"/>
  <c r="G117" i="17"/>
  <c r="G116" i="17"/>
  <c r="G115" i="17"/>
  <c r="G114" i="17"/>
  <c r="G113" i="17"/>
  <c r="G113" i="22" s="1"/>
  <c r="G112" i="17"/>
  <c r="G112" i="22" s="1"/>
  <c r="G104" i="17"/>
  <c r="G104" i="22" s="1"/>
  <c r="G103" i="17"/>
  <c r="G100" i="17"/>
  <c r="G99" i="17"/>
  <c r="G98" i="17"/>
  <c r="G96" i="17"/>
  <c r="G93" i="17"/>
  <c r="G92" i="17"/>
  <c r="G91" i="17"/>
  <c r="G90" i="17"/>
  <c r="G88" i="17"/>
  <c r="G88" i="22" s="1"/>
  <c r="G87" i="17"/>
  <c r="G86" i="17"/>
  <c r="G85" i="17"/>
  <c r="G84" i="17"/>
  <c r="G83" i="17"/>
  <c r="G82" i="17"/>
  <c r="G81" i="17"/>
  <c r="G80" i="17"/>
  <c r="G80" i="22" s="1"/>
  <c r="G76" i="17"/>
  <c r="G75" i="17"/>
  <c r="G74" i="17"/>
  <c r="G73" i="17"/>
  <c r="G73" i="22" s="1"/>
  <c r="G72" i="17"/>
  <c r="G71" i="17"/>
  <c r="G70" i="17"/>
  <c r="G69" i="17"/>
  <c r="G68" i="17"/>
  <c r="G67" i="17"/>
  <c r="G66" i="17"/>
  <c r="G65" i="17"/>
  <c r="G64" i="17"/>
  <c r="G62" i="17"/>
  <c r="G62" i="22" s="1"/>
  <c r="G56" i="17"/>
  <c r="G55" i="17"/>
  <c r="G54" i="17"/>
  <c r="G53" i="17"/>
  <c r="G52" i="17"/>
  <c r="G51" i="17"/>
  <c r="G51" i="22" s="1"/>
  <c r="G49" i="17"/>
  <c r="G45" i="17"/>
  <c r="G45" i="22" s="1"/>
  <c r="G44" i="17"/>
  <c r="G44" i="22" s="1"/>
  <c r="G43" i="17"/>
  <c r="G42" i="17"/>
  <c r="G42" i="22" s="1"/>
  <c r="G41" i="17"/>
  <c r="G38" i="17"/>
  <c r="G38" i="22" s="1"/>
  <c r="G37" i="17"/>
  <c r="G37" i="22" s="1"/>
  <c r="G36" i="17"/>
  <c r="G36" i="22" s="1"/>
  <c r="G35" i="17"/>
  <c r="G35" i="22" s="1"/>
  <c r="G34" i="17"/>
  <c r="G34" i="22" s="1"/>
  <c r="G31" i="17"/>
  <c r="G30" i="17"/>
  <c r="G29" i="17"/>
  <c r="G28" i="17"/>
  <c r="G24" i="17"/>
  <c r="G24" i="22" s="1"/>
  <c r="G20" i="17"/>
  <c r="G17" i="17"/>
  <c r="G12" i="17"/>
  <c r="G8" i="17"/>
  <c r="D151" i="17"/>
  <c r="D151" i="22" s="1"/>
  <c r="D149" i="17"/>
  <c r="D146" i="17"/>
  <c r="D146" i="22" s="1"/>
  <c r="D145" i="17"/>
  <c r="D144" i="17"/>
  <c r="D141" i="17"/>
  <c r="D140" i="17"/>
  <c r="D139" i="17"/>
  <c r="D139" i="22" s="1"/>
  <c r="D137" i="17"/>
  <c r="D136" i="17"/>
  <c r="D134" i="17"/>
  <c r="D133" i="17"/>
  <c r="D132" i="17"/>
  <c r="D131" i="17"/>
  <c r="D130" i="17"/>
  <c r="D129" i="17"/>
  <c r="D128" i="17"/>
  <c r="D127" i="17"/>
  <c r="D125" i="17"/>
  <c r="D124" i="17"/>
  <c r="D123" i="17"/>
  <c r="D123" i="22" s="1"/>
  <c r="D120" i="17"/>
  <c r="D120" i="22" s="1"/>
  <c r="D119" i="17"/>
  <c r="D119" i="22" s="1"/>
  <c r="D118" i="17"/>
  <c r="D118" i="22" s="1"/>
  <c r="D117" i="17"/>
  <c r="D115" i="17"/>
  <c r="D114" i="17"/>
  <c r="D84" i="17"/>
  <c r="D84" i="22" s="1"/>
  <c r="D79" i="17"/>
  <c r="D79" i="22" s="1"/>
  <c r="D78" i="17"/>
  <c r="D78" i="22" s="1"/>
  <c r="D63" i="17"/>
  <c r="D63" i="22" s="1"/>
  <c r="D62" i="17"/>
  <c r="D62" i="22" s="1"/>
  <c r="D59" i="17"/>
  <c r="D58" i="17"/>
  <c r="D58" i="22" s="1"/>
  <c r="D57" i="17"/>
  <c r="D57" i="22" s="1"/>
  <c r="D56" i="17"/>
  <c r="D51" i="17"/>
  <c r="D49" i="17"/>
  <c r="D49" i="22" s="1"/>
  <c r="D44" i="17"/>
  <c r="D44" i="22" s="1"/>
  <c r="D43" i="17"/>
  <c r="D41" i="17"/>
  <c r="D40" i="17"/>
  <c r="D39" i="17"/>
  <c r="D38" i="17"/>
  <c r="D38" i="22" s="1"/>
  <c r="D37" i="17"/>
  <c r="D34" i="17"/>
  <c r="D33" i="17"/>
  <c r="D32" i="17"/>
  <c r="D31" i="17"/>
  <c r="D30" i="17"/>
  <c r="D28" i="17"/>
  <c r="D27" i="17"/>
  <c r="D26" i="17"/>
  <c r="D25" i="17"/>
  <c r="D24" i="17"/>
  <c r="D23" i="17"/>
  <c r="D22" i="17"/>
  <c r="D17" i="17"/>
  <c r="D17" i="22" s="1"/>
  <c r="D16" i="17"/>
  <c r="D16" i="22" s="1"/>
  <c r="D15" i="17"/>
  <c r="D15" i="22" s="1"/>
  <c r="D14" i="17"/>
  <c r="D13" i="17"/>
  <c r="D12" i="17"/>
  <c r="D11" i="17"/>
  <c r="D10" i="17"/>
  <c r="D8" i="17"/>
  <c r="D7" i="17"/>
  <c r="G178" i="38"/>
  <c r="G166" i="38"/>
  <c r="G168" i="38" s="1"/>
  <c r="D152" i="38"/>
  <c r="D148" i="38"/>
  <c r="G144" i="38"/>
  <c r="G154" i="38" s="1"/>
  <c r="G143" i="38"/>
  <c r="G174" i="38" s="1"/>
  <c r="D143" i="38"/>
  <c r="D142" i="38"/>
  <c r="G139" i="38"/>
  <c r="D136" i="38"/>
  <c r="D138" i="38" s="1"/>
  <c r="D126" i="38"/>
  <c r="D122" i="38"/>
  <c r="G121" i="38"/>
  <c r="G123" i="38" s="1"/>
  <c r="D114" i="38"/>
  <c r="G111" i="38"/>
  <c r="D111" i="38"/>
  <c r="G105" i="38"/>
  <c r="G102" i="38"/>
  <c r="G99" i="38"/>
  <c r="G101" i="38" s="1"/>
  <c r="G95" i="38"/>
  <c r="D90" i="38"/>
  <c r="D89" i="38"/>
  <c r="D88" i="38"/>
  <c r="D87" i="38"/>
  <c r="D86" i="38"/>
  <c r="D85" i="38"/>
  <c r="D83" i="38"/>
  <c r="D82" i="38"/>
  <c r="D81" i="38"/>
  <c r="D80" i="38"/>
  <c r="G77" i="38"/>
  <c r="G79" i="38" s="1"/>
  <c r="D76" i="38"/>
  <c r="D75" i="38"/>
  <c r="D74" i="38"/>
  <c r="D73" i="38"/>
  <c r="D72" i="38"/>
  <c r="D71" i="38"/>
  <c r="D70" i="38"/>
  <c r="D69" i="38"/>
  <c r="D68" i="38"/>
  <c r="D67" i="38"/>
  <c r="D66" i="38"/>
  <c r="D65" i="38"/>
  <c r="D64" i="38"/>
  <c r="D60" i="38"/>
  <c r="G57" i="38"/>
  <c r="D50" i="38"/>
  <c r="D52" i="38" s="1"/>
  <c r="D42" i="38"/>
  <c r="D47" i="38" s="1"/>
  <c r="G40" i="38"/>
  <c r="G33" i="38"/>
  <c r="G48" i="38" s="1"/>
  <c r="G32" i="38"/>
  <c r="D32" i="38"/>
  <c r="D29" i="38" s="1"/>
  <c r="G27" i="38"/>
  <c r="D21" i="38"/>
  <c r="G17" i="38"/>
  <c r="G19" i="38" s="1"/>
  <c r="D9" i="38"/>
  <c r="D20" i="38" s="1"/>
  <c r="D6" i="38"/>
  <c r="G6" i="38" s="1"/>
  <c r="E2" i="38"/>
  <c r="E1" i="38"/>
  <c r="G109" i="23" l="1"/>
  <c r="G112" i="21"/>
  <c r="G120" i="21"/>
  <c r="D58" i="21"/>
  <c r="G51" i="21"/>
  <c r="D78" i="21"/>
  <c r="G128" i="21"/>
  <c r="G176" i="21"/>
  <c r="D139" i="21"/>
  <c r="D16" i="21"/>
  <c r="G88" i="21"/>
  <c r="D38" i="21"/>
  <c r="G73" i="21"/>
  <c r="D123" i="21"/>
  <c r="G163" i="21"/>
  <c r="G44" i="21"/>
  <c r="G118" i="21"/>
  <c r="D119" i="21"/>
  <c r="G130" i="21"/>
  <c r="D146" i="21"/>
  <c r="G150" i="21"/>
  <c r="D17" i="21"/>
  <c r="G36" i="21"/>
  <c r="G42" i="21"/>
  <c r="G62" i="21"/>
  <c r="D79" i="21"/>
  <c r="G104" i="21"/>
  <c r="G113" i="21"/>
  <c r="G119" i="21"/>
  <c r="G126" i="21"/>
  <c r="G131" i="21"/>
  <c r="G148" i="21"/>
  <c r="D151" i="21"/>
  <c r="G164" i="21"/>
  <c r="G34" i="21"/>
  <c r="G35" i="21"/>
  <c r="G38" i="21"/>
  <c r="G45" i="21"/>
  <c r="D62" i="21"/>
  <c r="G24" i="21"/>
  <c r="G37" i="21"/>
  <c r="D44" i="21"/>
  <c r="D49" i="21"/>
  <c r="D57" i="21"/>
  <c r="D63" i="21"/>
  <c r="G80" i="21"/>
  <c r="D118" i="21"/>
  <c r="D120" i="21"/>
  <c r="G127" i="21"/>
  <c r="G135" i="21"/>
  <c r="G149" i="21"/>
  <c r="G158" i="21"/>
  <c r="G175" i="21"/>
  <c r="D153" i="38"/>
  <c r="D35" i="38"/>
  <c r="D53" i="38" s="1"/>
  <c r="D61" i="38" s="1"/>
  <c r="G17" i="22"/>
  <c r="G17" i="21"/>
  <c r="G140" i="38"/>
  <c r="G169" i="38"/>
  <c r="D155" i="23"/>
  <c r="G172" i="23" s="1"/>
  <c r="D77" i="38"/>
  <c r="D91" i="38"/>
  <c r="D92" i="23"/>
  <c r="G106" i="38"/>
  <c r="G109" i="38" l="1"/>
  <c r="D155" i="38" s="1"/>
  <c r="G172" i="38" s="1"/>
  <c r="G181" i="38" s="1"/>
  <c r="D92" i="38"/>
  <c r="G181" i="23"/>
  <c r="G178" i="37"/>
  <c r="G167" i="37"/>
  <c r="G166" i="37"/>
  <c r="G156" i="37"/>
  <c r="G153" i="37"/>
  <c r="D152" i="37"/>
  <c r="G151" i="37"/>
  <c r="D147" i="37"/>
  <c r="G146" i="37"/>
  <c r="G145" i="37"/>
  <c r="G144" i="37"/>
  <c r="D144" i="37"/>
  <c r="G143" i="37"/>
  <c r="G174" i="37" s="1"/>
  <c r="D143" i="37"/>
  <c r="D141" i="37"/>
  <c r="D140" i="37"/>
  <c r="G138" i="37"/>
  <c r="G137" i="37"/>
  <c r="D137" i="37"/>
  <c r="D136" i="37"/>
  <c r="D135" i="37"/>
  <c r="G134" i="37"/>
  <c r="D134" i="37"/>
  <c r="D133" i="37"/>
  <c r="D132" i="37"/>
  <c r="G129" i="37"/>
  <c r="D129" i="37"/>
  <c r="D128" i="37"/>
  <c r="D127" i="37"/>
  <c r="D126" i="37"/>
  <c r="G122" i="37"/>
  <c r="G121" i="37"/>
  <c r="D121" i="37"/>
  <c r="G116" i="37"/>
  <c r="D116" i="37"/>
  <c r="D114" i="37"/>
  <c r="D113" i="37"/>
  <c r="D112" i="37"/>
  <c r="G111" i="37"/>
  <c r="D111" i="37"/>
  <c r="G105" i="37"/>
  <c r="G102" i="37"/>
  <c r="G100" i="37"/>
  <c r="G99" i="37"/>
  <c r="G97" i="37"/>
  <c r="G94" i="37"/>
  <c r="G93" i="37"/>
  <c r="G91" i="37"/>
  <c r="D90" i="37"/>
  <c r="D89" i="37"/>
  <c r="D88" i="37"/>
  <c r="G87" i="37"/>
  <c r="D87" i="37"/>
  <c r="D86" i="37"/>
  <c r="G85" i="37"/>
  <c r="D85" i="37"/>
  <c r="G84" i="37"/>
  <c r="G83" i="37"/>
  <c r="D83" i="37"/>
  <c r="G82" i="37"/>
  <c r="D82" i="37"/>
  <c r="G81" i="37"/>
  <c r="D81" i="37"/>
  <c r="D80" i="37"/>
  <c r="G78" i="37"/>
  <c r="G77" i="37"/>
  <c r="G76" i="37"/>
  <c r="D76" i="37"/>
  <c r="G75" i="37"/>
  <c r="D75" i="37"/>
  <c r="D74" i="37"/>
  <c r="D73" i="37"/>
  <c r="D72" i="37"/>
  <c r="G71" i="37"/>
  <c r="D71" i="37"/>
  <c r="G70" i="37"/>
  <c r="D70" i="37"/>
  <c r="G69" i="37"/>
  <c r="D69" i="37"/>
  <c r="D68" i="37"/>
  <c r="G67" i="37"/>
  <c r="D67" i="37"/>
  <c r="G66" i="37"/>
  <c r="D66" i="37"/>
  <c r="G65" i="37"/>
  <c r="D65" i="37"/>
  <c r="D64" i="37"/>
  <c r="G63" i="37"/>
  <c r="G61" i="37"/>
  <c r="G60" i="37"/>
  <c r="D60" i="37"/>
  <c r="G59" i="37"/>
  <c r="G58" i="37"/>
  <c r="G56" i="37"/>
  <c r="G54" i="37"/>
  <c r="G53" i="37"/>
  <c r="G52" i="37"/>
  <c r="G50" i="37"/>
  <c r="D50" i="37"/>
  <c r="D52" i="37" s="1"/>
  <c r="G49" i="37"/>
  <c r="G47" i="37"/>
  <c r="G46" i="37"/>
  <c r="G40" i="37" s="1"/>
  <c r="D46" i="37"/>
  <c r="D45" i="37"/>
  <c r="D42" i="37"/>
  <c r="G39" i="37"/>
  <c r="G33" i="37" s="1"/>
  <c r="D37" i="37"/>
  <c r="D47" i="37" s="1"/>
  <c r="D36" i="37"/>
  <c r="D34" i="37"/>
  <c r="D33" i="37"/>
  <c r="D32" i="37"/>
  <c r="G31" i="37"/>
  <c r="D31" i="37"/>
  <c r="G30" i="37"/>
  <c r="D30" i="37"/>
  <c r="G29" i="37"/>
  <c r="G28" i="37"/>
  <c r="D28" i="37"/>
  <c r="D27" i="37"/>
  <c r="G26" i="37"/>
  <c r="D26" i="37"/>
  <c r="G25" i="37"/>
  <c r="D25" i="37"/>
  <c r="D24" i="37"/>
  <c r="G23" i="37"/>
  <c r="D22" i="37"/>
  <c r="G21" i="37"/>
  <c r="D19" i="37"/>
  <c r="G18" i="37"/>
  <c r="G16" i="37"/>
  <c r="G15" i="37"/>
  <c r="G14" i="37"/>
  <c r="D13" i="37"/>
  <c r="G12" i="37"/>
  <c r="D12" i="37"/>
  <c r="D11" i="37"/>
  <c r="G10" i="37"/>
  <c r="D10" i="37"/>
  <c r="D9" i="37"/>
  <c r="G8" i="37"/>
  <c r="D8" i="37"/>
  <c r="G7" i="37"/>
  <c r="D7" i="37"/>
  <c r="D6" i="37"/>
  <c r="G6" i="37" s="1"/>
  <c r="E2" i="37"/>
  <c r="E1" i="37"/>
  <c r="D142" i="37" l="1"/>
  <c r="G154" i="37"/>
  <c r="D21" i="37"/>
  <c r="D148" i="37"/>
  <c r="G32" i="37"/>
  <c r="G95" i="37"/>
  <c r="G79" i="37"/>
  <c r="G101" i="37"/>
  <c r="D138" i="37"/>
  <c r="G48" i="37"/>
  <c r="D122" i="37"/>
  <c r="D153" i="37" s="1"/>
  <c r="D20" i="37"/>
  <c r="G19" i="37"/>
  <c r="G71" i="21"/>
  <c r="G71" i="22"/>
  <c r="G139" i="37"/>
  <c r="G134" i="21"/>
  <c r="G134" i="22"/>
  <c r="G75" i="21"/>
  <c r="G75" i="22"/>
  <c r="G27" i="37"/>
  <c r="D133" i="21"/>
  <c r="D133" i="22"/>
  <c r="D29" i="37"/>
  <c r="D35" i="37" s="1"/>
  <c r="G49" i="21"/>
  <c r="G49" i="22"/>
  <c r="G52" i="21"/>
  <c r="G52" i="22"/>
  <c r="G57" i="37"/>
  <c r="G123" i="37"/>
  <c r="G168" i="37"/>
  <c r="G169" i="37" s="1"/>
  <c r="D91" i="37"/>
  <c r="D77" i="37"/>
  <c r="G140" i="37"/>
  <c r="G106" i="37" l="1"/>
  <c r="D53" i="37"/>
  <c r="D61" i="37" s="1"/>
  <c r="D92" i="37"/>
  <c r="G178" i="36"/>
  <c r="G168" i="36"/>
  <c r="G154" i="36"/>
  <c r="D152" i="36"/>
  <c r="D148" i="36"/>
  <c r="G143" i="36"/>
  <c r="G174" i="36" s="1"/>
  <c r="D143" i="36"/>
  <c r="D142" i="36"/>
  <c r="G139" i="36"/>
  <c r="D138" i="36"/>
  <c r="D126" i="36"/>
  <c r="G123" i="36"/>
  <c r="D122" i="36"/>
  <c r="G111" i="36"/>
  <c r="D111" i="36"/>
  <c r="G103" i="36"/>
  <c r="G105" i="36" s="1"/>
  <c r="G102" i="36"/>
  <c r="G101" i="36"/>
  <c r="G95" i="36"/>
  <c r="D90" i="36"/>
  <c r="D89" i="36"/>
  <c r="D88" i="36"/>
  <c r="D87" i="36"/>
  <c r="D86" i="36"/>
  <c r="D85" i="36"/>
  <c r="D83" i="36"/>
  <c r="D82" i="36"/>
  <c r="D81" i="36"/>
  <c r="D80" i="36"/>
  <c r="G79" i="36"/>
  <c r="D76" i="36"/>
  <c r="D75" i="36"/>
  <c r="D74" i="36"/>
  <c r="D73" i="36"/>
  <c r="D72" i="36"/>
  <c r="D71" i="36"/>
  <c r="D70" i="36"/>
  <c r="D69" i="36"/>
  <c r="D68" i="36"/>
  <c r="D67" i="36"/>
  <c r="D66" i="36"/>
  <c r="D65" i="36"/>
  <c r="D64" i="36"/>
  <c r="D60" i="36"/>
  <c r="G57" i="36"/>
  <c r="D52" i="36"/>
  <c r="D47" i="36"/>
  <c r="G40" i="36"/>
  <c r="G33" i="36"/>
  <c r="G32" i="36"/>
  <c r="D29" i="36"/>
  <c r="G27" i="36"/>
  <c r="D21" i="36"/>
  <c r="D20" i="36"/>
  <c r="G19" i="36"/>
  <c r="D6" i="36"/>
  <c r="G6" i="36" s="1"/>
  <c r="E2" i="36"/>
  <c r="E1" i="36"/>
  <c r="D153" i="36" l="1"/>
  <c r="G169" i="36"/>
  <c r="G109" i="37"/>
  <c r="D155" i="37" s="1"/>
  <c r="G172" i="37" s="1"/>
  <c r="G181" i="37" s="1"/>
  <c r="G140" i="36"/>
  <c r="G48" i="36"/>
  <c r="G106" i="36" s="1"/>
  <c r="D35" i="36"/>
  <c r="D53" i="36" s="1"/>
  <c r="D61" i="36" s="1"/>
  <c r="G103" i="21"/>
  <c r="G103" i="22"/>
  <c r="D91" i="36"/>
  <c r="D77" i="36"/>
  <c r="G109" i="36" l="1"/>
  <c r="D155" i="36" s="1"/>
  <c r="G172" i="36" s="1"/>
  <c r="G181" i="36" s="1"/>
  <c r="D92" i="36"/>
  <c r="G178" i="35"/>
  <c r="G168" i="35"/>
  <c r="G154" i="35"/>
  <c r="D152" i="35"/>
  <c r="D148" i="35"/>
  <c r="G143" i="35"/>
  <c r="G174" i="35" s="1"/>
  <c r="D143" i="35"/>
  <c r="D142" i="35"/>
  <c r="G139" i="35"/>
  <c r="D138" i="35"/>
  <c r="D126" i="35"/>
  <c r="G123" i="35"/>
  <c r="D122" i="35"/>
  <c r="G111" i="35"/>
  <c r="D111" i="35"/>
  <c r="G105" i="35"/>
  <c r="G102" i="35"/>
  <c r="G101" i="35"/>
  <c r="G93" i="35"/>
  <c r="D90" i="35"/>
  <c r="G89" i="35"/>
  <c r="D89" i="35"/>
  <c r="D88" i="35"/>
  <c r="D87" i="35"/>
  <c r="D86" i="35"/>
  <c r="D85" i="35"/>
  <c r="D83" i="35"/>
  <c r="D82" i="35"/>
  <c r="D81" i="35"/>
  <c r="D80" i="35"/>
  <c r="G79" i="35"/>
  <c r="D76" i="35"/>
  <c r="D75" i="35"/>
  <c r="D74" i="35"/>
  <c r="D73" i="35"/>
  <c r="D72" i="35"/>
  <c r="D71" i="35"/>
  <c r="D70" i="35"/>
  <c r="D69" i="35"/>
  <c r="D68" i="35"/>
  <c r="D67" i="35"/>
  <c r="D66" i="35"/>
  <c r="D65" i="35"/>
  <c r="D64" i="35"/>
  <c r="D60" i="35"/>
  <c r="G57" i="35"/>
  <c r="D52" i="35"/>
  <c r="D47" i="35"/>
  <c r="G40" i="35"/>
  <c r="G33" i="35"/>
  <c r="G30" i="35"/>
  <c r="D29" i="35"/>
  <c r="G28" i="35"/>
  <c r="G27" i="35"/>
  <c r="D21" i="35"/>
  <c r="D20" i="35"/>
  <c r="G19" i="35"/>
  <c r="D6" i="35"/>
  <c r="G6" i="35" s="1"/>
  <c r="E2" i="35"/>
  <c r="E1" i="35"/>
  <c r="G140" i="35" l="1"/>
  <c r="D35" i="35"/>
  <c r="D53" i="35"/>
  <c r="D61" i="35" s="1"/>
  <c r="G48" i="35"/>
  <c r="G169" i="35"/>
  <c r="D153" i="35"/>
  <c r="G32" i="35"/>
  <c r="D91" i="35"/>
  <c r="D77" i="35"/>
  <c r="G95" i="35"/>
  <c r="G106" i="35" l="1"/>
  <c r="G109" i="35" s="1"/>
  <c r="D155" i="35" s="1"/>
  <c r="G172" i="35" s="1"/>
  <c r="G181" i="35" s="1"/>
  <c r="D92" i="35"/>
  <c r="G178" i="34" l="1"/>
  <c r="G168" i="34"/>
  <c r="G154" i="34"/>
  <c r="D149" i="34"/>
  <c r="D145" i="34"/>
  <c r="D144" i="34"/>
  <c r="G143" i="34"/>
  <c r="G174" i="34" s="1"/>
  <c r="D143" i="34"/>
  <c r="D141" i="34"/>
  <c r="D142" i="34" s="1"/>
  <c r="G137" i="34"/>
  <c r="G139" i="34" s="1"/>
  <c r="D137" i="34"/>
  <c r="D138" i="34" s="1"/>
  <c r="D126" i="34"/>
  <c r="G123" i="34"/>
  <c r="D122" i="34"/>
  <c r="G111" i="34"/>
  <c r="D111" i="34"/>
  <c r="G105" i="34"/>
  <c r="G102" i="34"/>
  <c r="G101" i="34"/>
  <c r="G95" i="34"/>
  <c r="D90" i="34"/>
  <c r="D89" i="34"/>
  <c r="D88" i="34"/>
  <c r="D87" i="34"/>
  <c r="D86" i="34"/>
  <c r="D85" i="34"/>
  <c r="D83" i="34"/>
  <c r="D82" i="34"/>
  <c r="D81" i="34"/>
  <c r="D80" i="34"/>
  <c r="G77" i="34"/>
  <c r="G79" i="34" s="1"/>
  <c r="D76" i="34"/>
  <c r="D75" i="34"/>
  <c r="D74" i="34"/>
  <c r="D73" i="34"/>
  <c r="D72" i="34"/>
  <c r="D71" i="34"/>
  <c r="D70" i="34"/>
  <c r="D69" i="34"/>
  <c r="D68" i="34"/>
  <c r="D67" i="34"/>
  <c r="D66" i="34"/>
  <c r="D65" i="34"/>
  <c r="D64" i="34"/>
  <c r="D60" i="34"/>
  <c r="G57" i="34"/>
  <c r="D52" i="34"/>
  <c r="G46" i="34"/>
  <c r="D42" i="34"/>
  <c r="D47" i="34" s="1"/>
  <c r="G39" i="34"/>
  <c r="G33" i="34" s="1"/>
  <c r="G32" i="34"/>
  <c r="D29" i="34"/>
  <c r="G23" i="34"/>
  <c r="G27" i="34" s="1"/>
  <c r="D21" i="34"/>
  <c r="D20" i="34"/>
  <c r="G19" i="34"/>
  <c r="D6" i="34"/>
  <c r="G6" i="34" s="1"/>
  <c r="E2" i="34"/>
  <c r="E1" i="34"/>
  <c r="D148" i="34" l="1"/>
  <c r="D149" i="21"/>
  <c r="D149" i="22"/>
  <c r="G140" i="34"/>
  <c r="D144" i="21"/>
  <c r="D144" i="22"/>
  <c r="G169" i="34"/>
  <c r="D152" i="34"/>
  <c r="D35" i="34"/>
  <c r="D53" i="34" s="1"/>
  <c r="D61" i="34" s="1"/>
  <c r="G40" i="34"/>
  <c r="G48" i="34" s="1"/>
  <c r="G106" i="34" s="1"/>
  <c r="D77" i="34"/>
  <c r="D91" i="34"/>
  <c r="D153" i="34" l="1"/>
  <c r="G109" i="34"/>
  <c r="D92" i="34"/>
  <c r="G178" i="33"/>
  <c r="G161" i="33"/>
  <c r="G168" i="33" s="1"/>
  <c r="G155" i="33"/>
  <c r="G154" i="33"/>
  <c r="D152" i="33"/>
  <c r="D148" i="33"/>
  <c r="G143" i="33"/>
  <c r="G174" i="33" s="1"/>
  <c r="D143" i="33"/>
  <c r="D142" i="33"/>
  <c r="G139" i="33"/>
  <c r="D137" i="33"/>
  <c r="D136" i="33"/>
  <c r="D135" i="33"/>
  <c r="D126" i="33"/>
  <c r="G123" i="33"/>
  <c r="D122" i="33"/>
  <c r="G111" i="33"/>
  <c r="D111" i="33"/>
  <c r="G105" i="33"/>
  <c r="G102" i="33"/>
  <c r="G101" i="33"/>
  <c r="G95" i="33"/>
  <c r="G93" i="33"/>
  <c r="D90" i="33"/>
  <c r="D89" i="33"/>
  <c r="D88" i="33"/>
  <c r="D87" i="33"/>
  <c r="D86" i="33"/>
  <c r="D85" i="33"/>
  <c r="D83" i="33"/>
  <c r="D82" i="33"/>
  <c r="D81" i="33"/>
  <c r="D80" i="33"/>
  <c r="G77" i="33"/>
  <c r="D76" i="33"/>
  <c r="D75" i="33"/>
  <c r="D74" i="33"/>
  <c r="D73" i="33"/>
  <c r="D72" i="33"/>
  <c r="D71" i="33"/>
  <c r="D70" i="33"/>
  <c r="D69" i="33"/>
  <c r="D68" i="33"/>
  <c r="D67" i="33"/>
  <c r="D66" i="33"/>
  <c r="D65" i="33"/>
  <c r="D64" i="33"/>
  <c r="D60" i="33"/>
  <c r="G59" i="33"/>
  <c r="G57" i="33"/>
  <c r="D52" i="33"/>
  <c r="D46" i="33"/>
  <c r="G43" i="33"/>
  <c r="D42" i="33"/>
  <c r="D40" i="33"/>
  <c r="G39" i="33"/>
  <c r="G33" i="33" s="1"/>
  <c r="D37" i="33"/>
  <c r="D29" i="33"/>
  <c r="G28" i="33"/>
  <c r="G32" i="33" s="1"/>
  <c r="G23" i="33"/>
  <c r="G27" i="33" s="1"/>
  <c r="D22" i="33"/>
  <c r="D21" i="33" s="1"/>
  <c r="D19" i="33"/>
  <c r="G16" i="33"/>
  <c r="G8" i="33"/>
  <c r="D8" i="33"/>
  <c r="D6" i="33"/>
  <c r="G6" i="33" s="1"/>
  <c r="E2" i="33"/>
  <c r="E1" i="33"/>
  <c r="D20" i="33" l="1"/>
  <c r="D35" i="33"/>
  <c r="D155" i="34"/>
  <c r="G172" i="34" s="1"/>
  <c r="G181" i="34" s="1"/>
  <c r="G79" i="33"/>
  <c r="G169" i="33"/>
  <c r="G40" i="33"/>
  <c r="G48" i="33" s="1"/>
  <c r="G43" i="21"/>
  <c r="G43" i="22"/>
  <c r="G140" i="33"/>
  <c r="G19" i="33"/>
  <c r="D47" i="33"/>
  <c r="D53" i="33" s="1"/>
  <c r="D61" i="33" s="1"/>
  <c r="D138" i="33"/>
  <c r="D153" i="33"/>
  <c r="D77" i="33"/>
  <c r="D91" i="33"/>
  <c r="G106" i="33" l="1"/>
  <c r="G109" i="33" s="1"/>
  <c r="D155" i="33" s="1"/>
  <c r="G172" i="33" s="1"/>
  <c r="D92" i="33"/>
  <c r="G178" i="32"/>
  <c r="G168" i="32"/>
  <c r="G159" i="32"/>
  <c r="G152" i="32"/>
  <c r="D152" i="32"/>
  <c r="G151" i="32"/>
  <c r="D145" i="32"/>
  <c r="G143" i="32"/>
  <c r="G174" i="32" s="1"/>
  <c r="D143" i="32"/>
  <c r="D142" i="32"/>
  <c r="G137" i="32"/>
  <c r="D135" i="32"/>
  <c r="D138" i="32" s="1"/>
  <c r="G132" i="32"/>
  <c r="G129" i="32"/>
  <c r="D124" i="32"/>
  <c r="D126" i="32" s="1"/>
  <c r="D122" i="32"/>
  <c r="G121" i="32"/>
  <c r="G123" i="32" s="1"/>
  <c r="G111" i="32"/>
  <c r="D111" i="32"/>
  <c r="G105" i="32"/>
  <c r="G102" i="32"/>
  <c r="G99" i="32"/>
  <c r="G101" i="32" s="1"/>
  <c r="G97" i="32"/>
  <c r="G95" i="32"/>
  <c r="D90" i="32"/>
  <c r="D89" i="32"/>
  <c r="D88" i="32"/>
  <c r="D87" i="32"/>
  <c r="D86" i="32"/>
  <c r="D85" i="32"/>
  <c r="D83" i="32"/>
  <c r="D82" i="32"/>
  <c r="D81" i="32"/>
  <c r="D80" i="32"/>
  <c r="G77" i="32"/>
  <c r="D76" i="32"/>
  <c r="D75" i="32"/>
  <c r="D74" i="32"/>
  <c r="D73" i="32"/>
  <c r="D72" i="32"/>
  <c r="D71" i="32"/>
  <c r="D70" i="32"/>
  <c r="D69" i="32"/>
  <c r="D68" i="32"/>
  <c r="D67" i="32"/>
  <c r="D66" i="32"/>
  <c r="D65" i="32"/>
  <c r="D64" i="32"/>
  <c r="D60" i="32"/>
  <c r="G58" i="32"/>
  <c r="G50" i="32"/>
  <c r="G57" i="32" s="1"/>
  <c r="D50" i="32"/>
  <c r="D52" i="32" s="1"/>
  <c r="D46" i="32"/>
  <c r="D42" i="32"/>
  <c r="D47" i="32" s="1"/>
  <c r="G40" i="32"/>
  <c r="G33" i="32"/>
  <c r="G48" i="32" s="1"/>
  <c r="D33" i="32"/>
  <c r="D29" i="32" s="1"/>
  <c r="G30" i="32"/>
  <c r="G28" i="32"/>
  <c r="G27" i="32"/>
  <c r="D27" i="32"/>
  <c r="G19" i="32"/>
  <c r="D19" i="32"/>
  <c r="D18" i="32"/>
  <c r="D6" i="32"/>
  <c r="G6" i="32" s="1"/>
  <c r="E2" i="32"/>
  <c r="E1" i="32"/>
  <c r="G139" i="32" l="1"/>
  <c r="D20" i="32"/>
  <c r="G32" i="32"/>
  <c r="G28" i="21"/>
  <c r="G28" i="22"/>
  <c r="G152" i="21"/>
  <c r="G152" i="22"/>
  <c r="D21" i="32"/>
  <c r="D35" i="32" s="1"/>
  <c r="D148" i="32"/>
  <c r="D153" i="32" s="1"/>
  <c r="D145" i="21"/>
  <c r="D145" i="22"/>
  <c r="G132" i="21"/>
  <c r="G132" i="22"/>
  <c r="G30" i="22"/>
  <c r="G30" i="21"/>
  <c r="G79" i="32"/>
  <c r="G154" i="32"/>
  <c r="G169" i="32" s="1"/>
  <c r="G159" i="21"/>
  <c r="G159" i="22"/>
  <c r="D77" i="32"/>
  <c r="G181" i="33"/>
  <c r="D91" i="32"/>
  <c r="G140" i="32"/>
  <c r="G106" i="32" l="1"/>
  <c r="D92" i="32"/>
  <c r="D53" i="32"/>
  <c r="D61" i="32" s="1"/>
  <c r="G109" i="32" s="1"/>
  <c r="D155" i="32" s="1"/>
  <c r="G172" i="32" s="1"/>
  <c r="G181" i="32" s="1"/>
  <c r="G178" i="31"/>
  <c r="G165" i="31"/>
  <c r="D152" i="31"/>
  <c r="D148" i="31"/>
  <c r="G147" i="31"/>
  <c r="G146" i="31"/>
  <c r="G143" i="31"/>
  <c r="G174" i="31" s="1"/>
  <c r="D143" i="31"/>
  <c r="D142" i="31"/>
  <c r="G139" i="31"/>
  <c r="G137" i="31"/>
  <c r="D136" i="31"/>
  <c r="D138" i="31" s="1"/>
  <c r="D126" i="31"/>
  <c r="G123" i="31"/>
  <c r="G140" i="31" s="1"/>
  <c r="D122" i="31"/>
  <c r="G111" i="31"/>
  <c r="D111" i="31"/>
  <c r="G105" i="31"/>
  <c r="G102" i="31"/>
  <c r="G101" i="31"/>
  <c r="G95" i="31"/>
  <c r="D90" i="31"/>
  <c r="D89" i="31"/>
  <c r="D88" i="31"/>
  <c r="D87" i="31"/>
  <c r="D86" i="31"/>
  <c r="D85" i="31"/>
  <c r="D83" i="31"/>
  <c r="D82" i="31"/>
  <c r="D81" i="31"/>
  <c r="D80" i="31"/>
  <c r="G79" i="31"/>
  <c r="D76" i="31"/>
  <c r="D75" i="31"/>
  <c r="D74" i="31"/>
  <c r="D73" i="31"/>
  <c r="D72" i="31"/>
  <c r="D71" i="31"/>
  <c r="D70" i="31"/>
  <c r="D69" i="31"/>
  <c r="D68" i="31"/>
  <c r="D67" i="31"/>
  <c r="D66" i="31"/>
  <c r="D65" i="31"/>
  <c r="D64" i="31"/>
  <c r="D60" i="31"/>
  <c r="G57" i="31"/>
  <c r="D52" i="31"/>
  <c r="G40" i="31"/>
  <c r="D39" i="31"/>
  <c r="G33" i="31"/>
  <c r="G32" i="31"/>
  <c r="D29" i="31"/>
  <c r="G23" i="31"/>
  <c r="G27" i="31" s="1"/>
  <c r="D21" i="31"/>
  <c r="D20" i="31"/>
  <c r="G10" i="31"/>
  <c r="G8" i="31"/>
  <c r="D6" i="31"/>
  <c r="G6" i="31" s="1"/>
  <c r="E2" i="31"/>
  <c r="E1" i="31"/>
  <c r="G154" i="31" l="1"/>
  <c r="G146" i="21"/>
  <c r="G146" i="22"/>
  <c r="G48" i="31"/>
  <c r="D47" i="31"/>
  <c r="D39" i="21"/>
  <c r="D39" i="22"/>
  <c r="D153" i="31"/>
  <c r="G147" i="21"/>
  <c r="G147" i="22"/>
  <c r="G165" i="21"/>
  <c r="G165" i="22"/>
  <c r="G19" i="31"/>
  <c r="G8" i="21"/>
  <c r="G8" i="22"/>
  <c r="D35" i="31"/>
  <c r="D53" i="31" s="1"/>
  <c r="D61" i="31" s="1"/>
  <c r="G168" i="31"/>
  <c r="D77" i="31"/>
  <c r="D91" i="31"/>
  <c r="G106" i="31" l="1"/>
  <c r="G109" i="31" s="1"/>
  <c r="D155" i="31" s="1"/>
  <c r="G172" i="31" s="1"/>
  <c r="G181" i="31" s="1"/>
  <c r="G169" i="31"/>
  <c r="D92" i="31"/>
  <c r="G178" i="30"/>
  <c r="G168" i="30"/>
  <c r="G154" i="30"/>
  <c r="G169" i="30" s="1"/>
  <c r="D152" i="30"/>
  <c r="D148" i="30"/>
  <c r="G143" i="30"/>
  <c r="G174" i="30" s="1"/>
  <c r="D143" i="30"/>
  <c r="D142" i="30"/>
  <c r="G139" i="30"/>
  <c r="D138" i="30"/>
  <c r="D126" i="30"/>
  <c r="G123" i="30"/>
  <c r="D122" i="30"/>
  <c r="G111" i="30"/>
  <c r="D111" i="30"/>
  <c r="G105" i="30"/>
  <c r="G102" i="30"/>
  <c r="G101" i="30"/>
  <c r="G95" i="30"/>
  <c r="D90" i="30"/>
  <c r="D89" i="30"/>
  <c r="D88" i="30"/>
  <c r="D87" i="30"/>
  <c r="D86" i="30"/>
  <c r="D85" i="30"/>
  <c r="D83" i="30"/>
  <c r="D82" i="30"/>
  <c r="D81" i="30"/>
  <c r="D80" i="30"/>
  <c r="G79" i="30"/>
  <c r="D76" i="30"/>
  <c r="D75" i="30"/>
  <c r="D74" i="30"/>
  <c r="D73" i="30"/>
  <c r="D72" i="30"/>
  <c r="D71" i="30"/>
  <c r="D70" i="30"/>
  <c r="D69" i="30"/>
  <c r="D68" i="30"/>
  <c r="D67" i="30"/>
  <c r="D66" i="30"/>
  <c r="D65" i="30"/>
  <c r="D64" i="30"/>
  <c r="D60" i="30"/>
  <c r="G57" i="30"/>
  <c r="D52" i="30"/>
  <c r="D47" i="30"/>
  <c r="G40" i="30"/>
  <c r="G33" i="30"/>
  <c r="G32" i="30"/>
  <c r="D29" i="30"/>
  <c r="G27" i="30"/>
  <c r="D21" i="30"/>
  <c r="D20" i="30"/>
  <c r="G19" i="30"/>
  <c r="D6" i="30"/>
  <c r="G6" i="30" s="1"/>
  <c r="E2" i="30"/>
  <c r="E1" i="30"/>
  <c r="D35" i="30" l="1"/>
  <c r="G48" i="30"/>
  <c r="D153" i="30"/>
  <c r="G140" i="30"/>
  <c r="D53" i="30"/>
  <c r="D61" i="30" s="1"/>
  <c r="D91" i="30"/>
  <c r="D77" i="30"/>
  <c r="G106" i="30"/>
  <c r="G109" i="30" l="1"/>
  <c r="D155" i="30" s="1"/>
  <c r="G172" i="30" s="1"/>
  <c r="G181" i="30" s="1"/>
  <c r="D92" i="30"/>
  <c r="G178" i="29"/>
  <c r="G168" i="29"/>
  <c r="G154" i="29"/>
  <c r="D152" i="29"/>
  <c r="D148" i="29"/>
  <c r="G143" i="29"/>
  <c r="G174" i="29" s="1"/>
  <c r="D143" i="29"/>
  <c r="D142" i="29"/>
  <c r="G139" i="29"/>
  <c r="D138" i="29"/>
  <c r="D126" i="29"/>
  <c r="D122" i="29"/>
  <c r="G121" i="29"/>
  <c r="G123" i="29" s="1"/>
  <c r="G140" i="29" s="1"/>
  <c r="G111" i="29"/>
  <c r="D111" i="29"/>
  <c r="G105" i="29"/>
  <c r="G102" i="29"/>
  <c r="G101" i="29"/>
  <c r="G95" i="29"/>
  <c r="D90" i="29"/>
  <c r="D89" i="29"/>
  <c r="D88" i="29"/>
  <c r="D87" i="29"/>
  <c r="D86" i="29"/>
  <c r="D85" i="29"/>
  <c r="D83" i="29"/>
  <c r="D82" i="29"/>
  <c r="D81" i="29"/>
  <c r="D80" i="29"/>
  <c r="G79" i="29"/>
  <c r="D76" i="29"/>
  <c r="D75" i="29"/>
  <c r="D74" i="29"/>
  <c r="D73" i="29"/>
  <c r="D72" i="29"/>
  <c r="D71" i="29"/>
  <c r="D70" i="29"/>
  <c r="D69" i="29"/>
  <c r="D68" i="29"/>
  <c r="D67" i="29"/>
  <c r="D66" i="29"/>
  <c r="D65" i="29"/>
  <c r="D64" i="29"/>
  <c r="D60" i="29"/>
  <c r="G57" i="29"/>
  <c r="D52" i="29"/>
  <c r="D47" i="29"/>
  <c r="G40" i="29"/>
  <c r="G33" i="29"/>
  <c r="G32" i="29"/>
  <c r="D29" i="29"/>
  <c r="G27" i="29"/>
  <c r="D21" i="29"/>
  <c r="D35" i="29" s="1"/>
  <c r="D20" i="29"/>
  <c r="G19" i="29"/>
  <c r="D6" i="29"/>
  <c r="G6" i="29" s="1"/>
  <c r="E2" i="29"/>
  <c r="E1" i="29"/>
  <c r="G48" i="29" l="1"/>
  <c r="G106" i="29" s="1"/>
  <c r="G169" i="29"/>
  <c r="D53" i="29"/>
  <c r="D61" i="29" s="1"/>
  <c r="D77" i="29"/>
  <c r="D91" i="29"/>
  <c r="D153" i="29"/>
  <c r="G178" i="28"/>
  <c r="G168" i="28"/>
  <c r="D152" i="28"/>
  <c r="G151" i="28"/>
  <c r="G154" i="28" s="1"/>
  <c r="G169" i="28" s="1"/>
  <c r="D148" i="28"/>
  <c r="G143" i="28"/>
  <c r="G174" i="28" s="1"/>
  <c r="D143" i="28"/>
  <c r="D142" i="28"/>
  <c r="G139" i="28"/>
  <c r="D138" i="28"/>
  <c r="D126" i="28"/>
  <c r="G123" i="28"/>
  <c r="G140" i="28" s="1"/>
  <c r="D122" i="28"/>
  <c r="G111" i="28"/>
  <c r="D111" i="28"/>
  <c r="G105" i="28"/>
  <c r="G102" i="28"/>
  <c r="G101" i="28"/>
  <c r="G95" i="28"/>
  <c r="D90" i="28"/>
  <c r="D89" i="28"/>
  <c r="D88" i="28"/>
  <c r="D87" i="28"/>
  <c r="D86" i="28"/>
  <c r="D85" i="28"/>
  <c r="D83" i="28"/>
  <c r="D82" i="28"/>
  <c r="D81" i="28"/>
  <c r="D80" i="28"/>
  <c r="G78" i="28"/>
  <c r="G79" i="28" s="1"/>
  <c r="D76" i="28"/>
  <c r="D75" i="28"/>
  <c r="D74" i="28"/>
  <c r="D73" i="28"/>
  <c r="D72" i="28"/>
  <c r="D71" i="28"/>
  <c r="D70" i="28"/>
  <c r="D69" i="28"/>
  <c r="D68" i="28"/>
  <c r="D67" i="28"/>
  <c r="D66" i="28"/>
  <c r="D65" i="28"/>
  <c r="D64" i="28"/>
  <c r="D60" i="28"/>
  <c r="G57" i="28"/>
  <c r="D52" i="28"/>
  <c r="D47" i="28"/>
  <c r="G40" i="28"/>
  <c r="G33" i="28"/>
  <c r="G32" i="28"/>
  <c r="D29" i="28"/>
  <c r="G27" i="28"/>
  <c r="D21" i="28"/>
  <c r="D20" i="28"/>
  <c r="G19" i="28"/>
  <c r="D6" i="28"/>
  <c r="G6" i="28" s="1"/>
  <c r="E2" i="28"/>
  <c r="E1" i="28"/>
  <c r="G109" i="29" l="1"/>
  <c r="D155" i="29" s="1"/>
  <c r="G172" i="29" s="1"/>
  <c r="D35" i="28"/>
  <c r="D53" i="28" s="1"/>
  <c r="D61" i="28" s="1"/>
  <c r="G48" i="28"/>
  <c r="G106" i="28" s="1"/>
  <c r="G109" i="28" s="1"/>
  <c r="D153" i="28"/>
  <c r="D92" i="29"/>
  <c r="D77" i="28"/>
  <c r="D91" i="28"/>
  <c r="G178" i="27"/>
  <c r="G168" i="27"/>
  <c r="G154" i="27"/>
  <c r="D152" i="27"/>
  <c r="D147" i="27"/>
  <c r="D148" i="27" s="1"/>
  <c r="G143" i="27"/>
  <c r="G174" i="27" s="1"/>
  <c r="D143" i="27"/>
  <c r="D141" i="27"/>
  <c r="D142" i="27" s="1"/>
  <c r="G139" i="27"/>
  <c r="D136" i="27"/>
  <c r="D138" i="27" s="1"/>
  <c r="D126" i="27"/>
  <c r="G123" i="27"/>
  <c r="D121" i="27"/>
  <c r="D122" i="27" s="1"/>
  <c r="G111" i="27"/>
  <c r="D111" i="27"/>
  <c r="G105" i="27"/>
  <c r="G102" i="27"/>
  <c r="G101" i="27"/>
  <c r="G95" i="27"/>
  <c r="D90" i="27"/>
  <c r="D89" i="27"/>
  <c r="D88" i="27"/>
  <c r="D87" i="27"/>
  <c r="D86" i="27"/>
  <c r="D85" i="27"/>
  <c r="D83" i="27"/>
  <c r="D82" i="27"/>
  <c r="D81" i="27"/>
  <c r="D80" i="27"/>
  <c r="G79" i="27"/>
  <c r="D76" i="27"/>
  <c r="D75" i="27"/>
  <c r="D74" i="27"/>
  <c r="D73" i="27"/>
  <c r="D72" i="27"/>
  <c r="D71" i="27"/>
  <c r="D70" i="27"/>
  <c r="D69" i="27"/>
  <c r="D68" i="27"/>
  <c r="D67" i="27"/>
  <c r="D66" i="27"/>
  <c r="D65" i="27"/>
  <c r="D64" i="27"/>
  <c r="D59" i="27"/>
  <c r="D60" i="27" s="1"/>
  <c r="G57" i="27"/>
  <c r="D52" i="27"/>
  <c r="D47" i="27"/>
  <c r="G40" i="27"/>
  <c r="G33" i="27"/>
  <c r="G32" i="27"/>
  <c r="D29" i="27"/>
  <c r="G27" i="27"/>
  <c r="D27" i="27"/>
  <c r="D21" i="27" s="1"/>
  <c r="D20" i="27"/>
  <c r="G19" i="27"/>
  <c r="D6" i="27"/>
  <c r="G6" i="27" s="1"/>
  <c r="E2" i="27"/>
  <c r="E1" i="27"/>
  <c r="G140" i="27" l="1"/>
  <c r="G169" i="27"/>
  <c r="D155" i="28"/>
  <c r="G172" i="28" s="1"/>
  <c r="G181" i="28" s="1"/>
  <c r="D35" i="27"/>
  <c r="G48" i="27"/>
  <c r="G106" i="27" s="1"/>
  <c r="G181" i="29"/>
  <c r="D92" i="28"/>
  <c r="D91" i="27"/>
  <c r="D77" i="27"/>
  <c r="D53" i="27"/>
  <c r="D61" i="27" s="1"/>
  <c r="D153" i="27"/>
  <c r="D92" i="27" l="1"/>
  <c r="G109" i="27"/>
  <c r="D155" i="27" s="1"/>
  <c r="G172" i="27" s="1"/>
  <c r="G178" i="26"/>
  <c r="G166" i="26"/>
  <c r="G168" i="26" s="1"/>
  <c r="G154" i="26"/>
  <c r="D152" i="26"/>
  <c r="D148" i="26"/>
  <c r="G143" i="26"/>
  <c r="G174" i="26" s="1"/>
  <c r="D143" i="26"/>
  <c r="D142" i="26"/>
  <c r="G137" i="26"/>
  <c r="G139" i="26" s="1"/>
  <c r="D136" i="26"/>
  <c r="D138" i="26" s="1"/>
  <c r="D126" i="26"/>
  <c r="D122" i="26"/>
  <c r="G121" i="26"/>
  <c r="G123" i="26" s="1"/>
  <c r="G111" i="26"/>
  <c r="D111" i="26"/>
  <c r="G105" i="26"/>
  <c r="G102" i="26"/>
  <c r="G99" i="26"/>
  <c r="G101" i="26" s="1"/>
  <c r="G93" i="26"/>
  <c r="G95" i="26" s="1"/>
  <c r="D90" i="26"/>
  <c r="D89" i="26"/>
  <c r="D88" i="26"/>
  <c r="D87" i="26"/>
  <c r="D86" i="26"/>
  <c r="D85" i="26"/>
  <c r="D83" i="26"/>
  <c r="D82" i="26"/>
  <c r="D81" i="26"/>
  <c r="D80" i="26"/>
  <c r="G77" i="26"/>
  <c r="G79" i="26" s="1"/>
  <c r="D76" i="26"/>
  <c r="D75" i="26"/>
  <c r="D74" i="26"/>
  <c r="D73" i="26"/>
  <c r="D72" i="26"/>
  <c r="D71" i="26"/>
  <c r="D70" i="26"/>
  <c r="D69" i="26"/>
  <c r="D68" i="26"/>
  <c r="D67" i="26"/>
  <c r="D66" i="26"/>
  <c r="D65" i="26"/>
  <c r="D64" i="26"/>
  <c r="D60" i="26"/>
  <c r="G55" i="26"/>
  <c r="G57" i="26" s="1"/>
  <c r="D52" i="26"/>
  <c r="D42" i="26"/>
  <c r="D47" i="26" s="1"/>
  <c r="G40" i="26"/>
  <c r="G33" i="26"/>
  <c r="G48" i="26" s="1"/>
  <c r="D33" i="26"/>
  <c r="G32" i="26"/>
  <c r="D30" i="26"/>
  <c r="D27" i="26"/>
  <c r="G22" i="26"/>
  <c r="G27" i="26" s="1"/>
  <c r="G16" i="26"/>
  <c r="G19" i="26" s="1"/>
  <c r="D9" i="26"/>
  <c r="D8" i="26"/>
  <c r="D20" i="26" s="1"/>
  <c r="D6" i="26"/>
  <c r="G6" i="26" s="1"/>
  <c r="E2" i="26"/>
  <c r="E1" i="26"/>
  <c r="G169" i="26" l="1"/>
  <c r="G140" i="26"/>
  <c r="G106" i="26"/>
  <c r="D29" i="26"/>
  <c r="D21" i="26"/>
  <c r="D27" i="21"/>
  <c r="D27" i="22"/>
  <c r="G181" i="27"/>
  <c r="D153" i="26"/>
  <c r="D91" i="26"/>
  <c r="D77" i="26"/>
  <c r="D35" i="26" l="1"/>
  <c r="D53" i="26" s="1"/>
  <c r="D61" i="26" s="1"/>
  <c r="G109" i="26" s="1"/>
  <c r="D155" i="26" s="1"/>
  <c r="D92" i="26"/>
  <c r="G178" i="25"/>
  <c r="G168" i="25"/>
  <c r="G154" i="25"/>
  <c r="D152" i="25"/>
  <c r="D148" i="25"/>
  <c r="G143" i="25"/>
  <c r="G174" i="25" s="1"/>
  <c r="D143" i="25"/>
  <c r="D142" i="25"/>
  <c r="G139" i="25"/>
  <c r="D138" i="25"/>
  <c r="D126" i="25"/>
  <c r="G123" i="25"/>
  <c r="D122" i="25"/>
  <c r="G111" i="25"/>
  <c r="D111" i="25"/>
  <c r="G105" i="25"/>
  <c r="G102" i="25"/>
  <c r="G101" i="25"/>
  <c r="G95" i="25"/>
  <c r="D90" i="25"/>
  <c r="D89" i="25"/>
  <c r="D88" i="25"/>
  <c r="D87" i="25"/>
  <c r="D86" i="25"/>
  <c r="D85" i="25"/>
  <c r="D83" i="25"/>
  <c r="D82" i="25"/>
  <c r="D81" i="25"/>
  <c r="D80" i="25"/>
  <c r="G79" i="25"/>
  <c r="D76" i="25"/>
  <c r="D75" i="25"/>
  <c r="D74" i="25"/>
  <c r="D73" i="25"/>
  <c r="D72" i="25"/>
  <c r="D71" i="25"/>
  <c r="D70" i="25"/>
  <c r="D69" i="25"/>
  <c r="D68" i="25"/>
  <c r="D67" i="25"/>
  <c r="D66" i="25"/>
  <c r="D65" i="25"/>
  <c r="D64" i="25"/>
  <c r="D60" i="25"/>
  <c r="G57" i="25"/>
  <c r="D52" i="25"/>
  <c r="D47" i="25"/>
  <c r="G40" i="25"/>
  <c r="G33" i="25"/>
  <c r="G48" i="25" s="1"/>
  <c r="G32" i="25"/>
  <c r="D29" i="25"/>
  <c r="G27" i="25"/>
  <c r="D21" i="25"/>
  <c r="D20" i="25"/>
  <c r="G19" i="25"/>
  <c r="D6" i="25"/>
  <c r="G6" i="25" s="1"/>
  <c r="E2" i="25"/>
  <c r="E1" i="25"/>
  <c r="D35" i="25" l="1"/>
  <c r="D53" i="25" s="1"/>
  <c r="D61" i="25" s="1"/>
  <c r="G140" i="25"/>
  <c r="D153" i="25"/>
  <c r="G169" i="25"/>
  <c r="D77" i="25"/>
  <c r="D91" i="25"/>
  <c r="G172" i="26"/>
  <c r="G106" i="25"/>
  <c r="G109" i="25" l="1"/>
  <c r="D155" i="25" s="1"/>
  <c r="G172" i="25" s="1"/>
  <c r="G181" i="25" s="1"/>
  <c r="D92" i="25"/>
  <c r="G181" i="26"/>
  <c r="G178" i="24"/>
  <c r="G168" i="24"/>
  <c r="G154" i="24"/>
  <c r="D152" i="24"/>
  <c r="D147" i="24"/>
  <c r="G143" i="24"/>
  <c r="G174" i="24" s="1"/>
  <c r="D143" i="24"/>
  <c r="D142" i="24"/>
  <c r="G137" i="24"/>
  <c r="G137" i="17" s="1"/>
  <c r="D135" i="24"/>
  <c r="G129" i="24"/>
  <c r="G129" i="17" s="1"/>
  <c r="D126" i="24"/>
  <c r="G124" i="24"/>
  <c r="G123" i="24"/>
  <c r="D121" i="24"/>
  <c r="D121" i="17" s="1"/>
  <c r="D113" i="24"/>
  <c r="D113" i="17" s="1"/>
  <c r="D112" i="24"/>
  <c r="D112" i="17" s="1"/>
  <c r="G111" i="24"/>
  <c r="D111" i="24"/>
  <c r="G105" i="24"/>
  <c r="G102" i="24"/>
  <c r="G101" i="24"/>
  <c r="G94" i="24"/>
  <c r="G94" i="17" s="1"/>
  <c r="D90" i="24"/>
  <c r="G89" i="24"/>
  <c r="D89" i="24"/>
  <c r="D88" i="24"/>
  <c r="D87" i="24"/>
  <c r="D86" i="24"/>
  <c r="D85" i="24"/>
  <c r="D83" i="24"/>
  <c r="D82" i="24"/>
  <c r="D81" i="24"/>
  <c r="D80" i="24"/>
  <c r="G78" i="24"/>
  <c r="G78" i="17" s="1"/>
  <c r="G77" i="24"/>
  <c r="D76" i="24"/>
  <c r="D75" i="24"/>
  <c r="D74" i="24"/>
  <c r="D73" i="24"/>
  <c r="D72" i="24"/>
  <c r="D71" i="24"/>
  <c r="D70" i="24"/>
  <c r="D69" i="24"/>
  <c r="D68" i="24"/>
  <c r="D67" i="24"/>
  <c r="D66" i="24"/>
  <c r="D65" i="24"/>
  <c r="D64" i="24"/>
  <c r="G63" i="24"/>
  <c r="G63" i="17" s="1"/>
  <c r="G61" i="24"/>
  <c r="G61" i="17" s="1"/>
  <c r="G60" i="24"/>
  <c r="G60" i="17" s="1"/>
  <c r="D60" i="24"/>
  <c r="G59" i="24"/>
  <c r="G59" i="17" s="1"/>
  <c r="G58" i="24"/>
  <c r="G50" i="24"/>
  <c r="G50" i="17" s="1"/>
  <c r="D50" i="24"/>
  <c r="D50" i="17" s="1"/>
  <c r="D42" i="24"/>
  <c r="D47" i="24" s="1"/>
  <c r="G40" i="24"/>
  <c r="G39" i="24"/>
  <c r="G33" i="24" s="1"/>
  <c r="G32" i="24"/>
  <c r="D29" i="24"/>
  <c r="G26" i="24"/>
  <c r="G26" i="17" s="1"/>
  <c r="G25" i="24"/>
  <c r="G25" i="17" s="1"/>
  <c r="G23" i="24"/>
  <c r="G21" i="24"/>
  <c r="G21" i="17" s="1"/>
  <c r="D21" i="24"/>
  <c r="D19" i="24"/>
  <c r="D19" i="17" s="1"/>
  <c r="G18" i="24"/>
  <c r="G18" i="17" s="1"/>
  <c r="D18" i="24"/>
  <c r="D18" i="17" s="1"/>
  <c r="G16" i="24"/>
  <c r="G16" i="17" s="1"/>
  <c r="G15" i="24"/>
  <c r="G15" i="17" s="1"/>
  <c r="G14" i="24"/>
  <c r="G14" i="17" s="1"/>
  <c r="G13" i="24"/>
  <c r="G13" i="17" s="1"/>
  <c r="G11" i="24"/>
  <c r="G11" i="17" s="1"/>
  <c r="G10" i="24"/>
  <c r="G10" i="17" s="1"/>
  <c r="G9" i="24"/>
  <c r="D9" i="24"/>
  <c r="D20" i="24" s="1"/>
  <c r="G7" i="24"/>
  <c r="G7" i="17" s="1"/>
  <c r="D6" i="24"/>
  <c r="G6" i="24" s="1"/>
  <c r="E2" i="24"/>
  <c r="E1" i="24"/>
  <c r="G48" i="24" l="1"/>
  <c r="G26" i="22"/>
  <c r="G26" i="21"/>
  <c r="D18" i="22"/>
  <c r="D18" i="21"/>
  <c r="G25" i="22"/>
  <c r="G25" i="21"/>
  <c r="D113" i="22"/>
  <c r="D113" i="21"/>
  <c r="D35" i="24"/>
  <c r="G95" i="24"/>
  <c r="G89" i="17"/>
  <c r="D148" i="24"/>
  <c r="D147" i="17"/>
  <c r="G27" i="24"/>
  <c r="G79" i="24"/>
  <c r="G58" i="17"/>
  <c r="D138" i="24"/>
  <c r="D135" i="17"/>
  <c r="D52" i="24"/>
  <c r="D53" i="24" s="1"/>
  <c r="D61" i="24" s="1"/>
  <c r="G139" i="24"/>
  <c r="G140" i="24" s="1"/>
  <c r="G124" i="17"/>
  <c r="G169" i="24"/>
  <c r="G19" i="24"/>
  <c r="G9" i="17"/>
  <c r="G57" i="24"/>
  <c r="D122" i="24"/>
  <c r="D77" i="24"/>
  <c r="D91" i="24"/>
  <c r="D92" i="24" s="1"/>
  <c r="G9" i="22" l="1"/>
  <c r="G9" i="21"/>
  <c r="G58" i="22"/>
  <c r="G58" i="21"/>
  <c r="D147" i="22"/>
  <c r="D147" i="21"/>
  <c r="G106" i="24"/>
  <c r="G109" i="24" s="1"/>
  <c r="D153" i="24"/>
  <c r="D155" i="24"/>
  <c r="G172" i="24" s="1"/>
  <c r="D6" i="22"/>
  <c r="G6" i="22" s="1"/>
  <c r="D6" i="21"/>
  <c r="G6" i="21" s="1"/>
  <c r="D6" i="17"/>
  <c r="G6" i="17" s="1"/>
  <c r="G178" i="16"/>
  <c r="G167" i="16"/>
  <c r="G166" i="16"/>
  <c r="G154" i="16"/>
  <c r="D152" i="16"/>
  <c r="D148" i="16"/>
  <c r="G143" i="16"/>
  <c r="G174" i="16" s="1"/>
  <c r="D143" i="16"/>
  <c r="D142" i="16"/>
  <c r="G138" i="16"/>
  <c r="G137" i="16"/>
  <c r="D136" i="16"/>
  <c r="D138" i="16" s="1"/>
  <c r="D126" i="16"/>
  <c r="G122" i="16"/>
  <c r="G123" i="16" s="1"/>
  <c r="D122" i="16"/>
  <c r="G111" i="16"/>
  <c r="D111" i="16"/>
  <c r="G105" i="16"/>
  <c r="G102" i="16"/>
  <c r="G99" i="16"/>
  <c r="G97" i="16"/>
  <c r="G96" i="16"/>
  <c r="G94" i="16"/>
  <c r="G91" i="16"/>
  <c r="G90" i="16"/>
  <c r="D90" i="16"/>
  <c r="G89" i="16"/>
  <c r="D89" i="16"/>
  <c r="D88" i="16"/>
  <c r="G87" i="16"/>
  <c r="D87" i="16"/>
  <c r="D86" i="16"/>
  <c r="D85" i="16"/>
  <c r="D83" i="16"/>
  <c r="G82" i="16"/>
  <c r="D82" i="16"/>
  <c r="D81" i="16"/>
  <c r="D80" i="16"/>
  <c r="G76" i="16"/>
  <c r="D76" i="16"/>
  <c r="D75" i="16"/>
  <c r="D74" i="16"/>
  <c r="D73" i="16"/>
  <c r="D72" i="16"/>
  <c r="D71" i="16"/>
  <c r="D70" i="16"/>
  <c r="D69" i="16"/>
  <c r="D68" i="16"/>
  <c r="D67" i="16"/>
  <c r="D66" i="16"/>
  <c r="D65" i="16"/>
  <c r="D64" i="16"/>
  <c r="G63" i="16"/>
  <c r="G79" i="16" s="1"/>
  <c r="D60" i="16"/>
  <c r="G56" i="16"/>
  <c r="G55" i="16"/>
  <c r="G54" i="16"/>
  <c r="G53" i="16"/>
  <c r="D52" i="16"/>
  <c r="G50" i="16"/>
  <c r="G47" i="16"/>
  <c r="D46" i="16"/>
  <c r="D45" i="16"/>
  <c r="D42" i="16"/>
  <c r="D41" i="16"/>
  <c r="G40" i="16"/>
  <c r="G39" i="16"/>
  <c r="G32" i="16"/>
  <c r="D29" i="16"/>
  <c r="G21" i="16"/>
  <c r="G27" i="16" s="1"/>
  <c r="D21" i="16"/>
  <c r="D19" i="16"/>
  <c r="G16" i="16"/>
  <c r="G15" i="16"/>
  <c r="G14" i="16"/>
  <c r="D14" i="16"/>
  <c r="D20" i="16" s="1"/>
  <c r="G10" i="16"/>
  <c r="D6" i="16"/>
  <c r="G6" i="16" s="1"/>
  <c r="E2" i="16"/>
  <c r="E1" i="16"/>
  <c r="G169" i="16" l="1"/>
  <c r="G168" i="16"/>
  <c r="G95" i="16"/>
  <c r="D35" i="16"/>
  <c r="G19" i="16"/>
  <c r="G57" i="16"/>
  <c r="G101" i="16"/>
  <c r="D47" i="16"/>
  <c r="D41" i="21"/>
  <c r="D41" i="22"/>
  <c r="G91" i="21"/>
  <c r="G91" i="22"/>
  <c r="G94" i="21"/>
  <c r="G94" i="22"/>
  <c r="G87" i="21"/>
  <c r="G87" i="22"/>
  <c r="G33" i="16"/>
  <c r="G48" i="16" s="1"/>
  <c r="G56" i="21"/>
  <c r="G56" i="22"/>
  <c r="G139" i="16"/>
  <c r="G140" i="16" s="1"/>
  <c r="G181" i="24"/>
  <c r="D91" i="16"/>
  <c r="D153" i="16"/>
  <c r="D77" i="16"/>
  <c r="D53" i="16"/>
  <c r="D61" i="16" s="1"/>
  <c r="G106" i="16" l="1"/>
  <c r="D92" i="16"/>
  <c r="G109" i="16"/>
  <c r="D155" i="16" s="1"/>
  <c r="G172" i="16" s="1"/>
  <c r="G178" i="15"/>
  <c r="G168" i="15"/>
  <c r="G154" i="15"/>
  <c r="D152" i="15"/>
  <c r="D148" i="15"/>
  <c r="G143" i="15"/>
  <c r="G174" i="15" s="1"/>
  <c r="D143" i="15"/>
  <c r="D142" i="15"/>
  <c r="G139" i="15"/>
  <c r="D138" i="15"/>
  <c r="D126" i="15"/>
  <c r="G123" i="15"/>
  <c r="D122" i="15"/>
  <c r="G111" i="15"/>
  <c r="D111" i="15"/>
  <c r="G105" i="15"/>
  <c r="G102" i="15"/>
  <c r="G101" i="15"/>
  <c r="G95" i="15"/>
  <c r="D90" i="15"/>
  <c r="D89" i="15"/>
  <c r="D88" i="15"/>
  <c r="D87" i="15"/>
  <c r="D86" i="15"/>
  <c r="D85" i="15"/>
  <c r="D83" i="15"/>
  <c r="D82" i="15"/>
  <c r="D81" i="15"/>
  <c r="D80" i="15"/>
  <c r="G79" i="15"/>
  <c r="D76" i="15"/>
  <c r="D75" i="15"/>
  <c r="D74" i="15"/>
  <c r="D73" i="15"/>
  <c r="D72" i="15"/>
  <c r="D71" i="15"/>
  <c r="D70" i="15"/>
  <c r="D69" i="15"/>
  <c r="D68" i="15"/>
  <c r="D67" i="15"/>
  <c r="D66" i="15"/>
  <c r="D65" i="15"/>
  <c r="D64" i="15"/>
  <c r="D60" i="15"/>
  <c r="G57" i="15"/>
  <c r="D52" i="15"/>
  <c r="D47" i="15"/>
  <c r="G40" i="15"/>
  <c r="G33" i="15"/>
  <c r="G32" i="15"/>
  <c r="D29" i="15"/>
  <c r="G27" i="15"/>
  <c r="D21" i="15"/>
  <c r="D35" i="15" s="1"/>
  <c r="D20" i="15"/>
  <c r="G10" i="15"/>
  <c r="G19" i="15" s="1"/>
  <c r="D6" i="15"/>
  <c r="G6" i="15" s="1"/>
  <c r="E2" i="15"/>
  <c r="E1" i="15"/>
  <c r="G48" i="15" l="1"/>
  <c r="G140" i="15"/>
  <c r="D153" i="15"/>
  <c r="G169" i="15"/>
  <c r="D53" i="15"/>
  <c r="D61" i="15" s="1"/>
  <c r="G181" i="16"/>
  <c r="G106" i="15"/>
  <c r="D77" i="15"/>
  <c r="D91" i="15"/>
  <c r="G109" i="15" l="1"/>
  <c r="D155" i="15" s="1"/>
  <c r="G172" i="15" s="1"/>
  <c r="G181" i="15" s="1"/>
  <c r="D92" i="15"/>
  <c r="G178" i="10"/>
  <c r="G156" i="10"/>
  <c r="D152" i="10"/>
  <c r="D148" i="10"/>
  <c r="G145" i="10"/>
  <c r="G143" i="10"/>
  <c r="G174" i="10" s="1"/>
  <c r="D143" i="10"/>
  <c r="D142" i="10"/>
  <c r="G138" i="10"/>
  <c r="G137" i="10"/>
  <c r="D136" i="10"/>
  <c r="D134" i="10"/>
  <c r="D128" i="10"/>
  <c r="D127" i="10"/>
  <c r="D126" i="10"/>
  <c r="D122" i="10"/>
  <c r="G121" i="10"/>
  <c r="G123" i="10" s="1"/>
  <c r="G111" i="10"/>
  <c r="D111" i="10"/>
  <c r="G105" i="10"/>
  <c r="G102" i="10"/>
  <c r="G101" i="10"/>
  <c r="G92" i="10"/>
  <c r="D90" i="10"/>
  <c r="D89" i="10"/>
  <c r="D88" i="10"/>
  <c r="D87" i="10"/>
  <c r="G86" i="10"/>
  <c r="G95" i="10" s="1"/>
  <c r="D86" i="10"/>
  <c r="D85" i="10"/>
  <c r="D83" i="10"/>
  <c r="D82" i="10"/>
  <c r="D81" i="10"/>
  <c r="D80" i="10"/>
  <c r="G79" i="10"/>
  <c r="D76" i="10"/>
  <c r="D75" i="10"/>
  <c r="D74" i="10"/>
  <c r="D73" i="10"/>
  <c r="D72" i="10"/>
  <c r="D71" i="10"/>
  <c r="D70" i="10"/>
  <c r="D69" i="10"/>
  <c r="D68" i="10"/>
  <c r="D67" i="10"/>
  <c r="D66" i="10"/>
  <c r="D65" i="10"/>
  <c r="D64" i="10"/>
  <c r="D60" i="10"/>
  <c r="G55" i="10"/>
  <c r="D52" i="10"/>
  <c r="D42" i="10"/>
  <c r="G40" i="10"/>
  <c r="D40" i="10"/>
  <c r="D36" i="10"/>
  <c r="G33" i="10"/>
  <c r="G32" i="10"/>
  <c r="D29" i="10"/>
  <c r="G27" i="10"/>
  <c r="D21" i="10"/>
  <c r="G19" i="10"/>
  <c r="D14" i="10"/>
  <c r="D20" i="10" s="1"/>
  <c r="D6" i="10"/>
  <c r="G6" i="10" s="1"/>
  <c r="E2" i="10"/>
  <c r="E1" i="10"/>
  <c r="D35" i="10" l="1"/>
  <c r="G48" i="10"/>
  <c r="G139" i="10"/>
  <c r="G57" i="10"/>
  <c r="G106" i="10" s="1"/>
  <c r="G55" i="21"/>
  <c r="G55" i="22"/>
  <c r="D47" i="10"/>
  <c r="D53" i="10" s="1"/>
  <c r="D61" i="10" s="1"/>
  <c r="D40" i="21"/>
  <c r="D40" i="22"/>
  <c r="G145" i="21"/>
  <c r="G145" i="22"/>
  <c r="D14" i="21"/>
  <c r="D14" i="22"/>
  <c r="D138" i="10"/>
  <c r="D127" i="21"/>
  <c r="D127" i="22"/>
  <c r="G168" i="10"/>
  <c r="G169" i="10" s="1"/>
  <c r="G92" i="21"/>
  <c r="G92" i="22"/>
  <c r="G140" i="10"/>
  <c r="G154" i="10"/>
  <c r="D77" i="10"/>
  <c r="D91" i="10"/>
  <c r="D153" i="10"/>
  <c r="D92" i="10" l="1"/>
  <c r="G109" i="10"/>
  <c r="D155" i="10" s="1"/>
  <c r="G172" i="10" s="1"/>
  <c r="G181" i="10" l="1"/>
  <c r="G178" i="13"/>
  <c r="G168" i="13"/>
  <c r="G154" i="13"/>
  <c r="D152" i="13"/>
  <c r="D148" i="13"/>
  <c r="G143" i="13"/>
  <c r="G174" i="13" s="1"/>
  <c r="D143" i="13"/>
  <c r="D142" i="13"/>
  <c r="G138" i="13"/>
  <c r="G137" i="13"/>
  <c r="G139" i="13" s="1"/>
  <c r="D136" i="13"/>
  <c r="D135" i="13"/>
  <c r="D124" i="13"/>
  <c r="D126" i="13" s="1"/>
  <c r="G123" i="13"/>
  <c r="D122" i="13"/>
  <c r="G111" i="13"/>
  <c r="D111" i="13"/>
  <c r="G105" i="13"/>
  <c r="G102" i="13"/>
  <c r="G99" i="13"/>
  <c r="G97" i="13"/>
  <c r="G96" i="13"/>
  <c r="G93" i="13"/>
  <c r="D90" i="13"/>
  <c r="D89" i="13"/>
  <c r="D88" i="13"/>
  <c r="D87" i="13"/>
  <c r="D86" i="13"/>
  <c r="D85" i="13"/>
  <c r="D83" i="13"/>
  <c r="D82" i="13"/>
  <c r="D81" i="13"/>
  <c r="D80" i="13"/>
  <c r="G77" i="13"/>
  <c r="G76" i="13"/>
  <c r="D76" i="13"/>
  <c r="D75" i="13"/>
  <c r="D74" i="13"/>
  <c r="D73" i="13"/>
  <c r="D72" i="13"/>
  <c r="D71" i="13"/>
  <c r="D70" i="13"/>
  <c r="D69" i="13"/>
  <c r="D68" i="13"/>
  <c r="D67" i="13"/>
  <c r="D66" i="13"/>
  <c r="D65" i="13"/>
  <c r="D64" i="13"/>
  <c r="D60" i="13"/>
  <c r="G57" i="13"/>
  <c r="D52" i="13"/>
  <c r="D47" i="13"/>
  <c r="G40" i="13"/>
  <c r="G33" i="13"/>
  <c r="G32" i="13"/>
  <c r="D29" i="13"/>
  <c r="G27" i="13"/>
  <c r="D21" i="13"/>
  <c r="D20" i="13"/>
  <c r="G16" i="13"/>
  <c r="G19" i="13" s="1"/>
  <c r="D6" i="13"/>
  <c r="G6" i="13" s="1"/>
  <c r="E2" i="13"/>
  <c r="E1" i="13"/>
  <c r="D35" i="13" l="1"/>
  <c r="G48" i="13"/>
  <c r="D53" i="13"/>
  <c r="D61" i="13" s="1"/>
  <c r="G140" i="13"/>
  <c r="G79" i="13"/>
  <c r="G76" i="21"/>
  <c r="G76" i="22"/>
  <c r="G95" i="13"/>
  <c r="G93" i="21"/>
  <c r="G93" i="22"/>
  <c r="G101" i="13"/>
  <c r="D138" i="13"/>
  <c r="D153" i="13" s="1"/>
  <c r="G169" i="13"/>
  <c r="D91" i="13"/>
  <c r="D77" i="13"/>
  <c r="G106" i="13" l="1"/>
  <c r="G109" i="13" s="1"/>
  <c r="D155" i="13" s="1"/>
  <c r="G172" i="13" s="1"/>
  <c r="G181" i="13" s="1"/>
  <c r="D92" i="13"/>
  <c r="G178" i="12"/>
  <c r="G166" i="12"/>
  <c r="G157" i="12"/>
  <c r="D152" i="12"/>
  <c r="D148" i="12"/>
  <c r="G144" i="12"/>
  <c r="G154" i="12" s="1"/>
  <c r="G143" i="12"/>
  <c r="G174" i="12" s="1"/>
  <c r="D143" i="12"/>
  <c r="D142" i="12"/>
  <c r="G139" i="12"/>
  <c r="D137" i="12"/>
  <c r="D138" i="12" s="1"/>
  <c r="D126" i="12"/>
  <c r="G123" i="12"/>
  <c r="D116" i="12"/>
  <c r="D122" i="12" s="1"/>
  <c r="G111" i="12"/>
  <c r="D111" i="12"/>
  <c r="G105" i="12"/>
  <c r="G102" i="12"/>
  <c r="G99" i="12"/>
  <c r="G101" i="12" s="1"/>
  <c r="G95" i="12"/>
  <c r="D90" i="12"/>
  <c r="D89" i="12"/>
  <c r="D88" i="12"/>
  <c r="D87" i="12"/>
  <c r="D86" i="12"/>
  <c r="D85" i="12"/>
  <c r="D83" i="12"/>
  <c r="D82" i="12"/>
  <c r="D81" i="12"/>
  <c r="D80" i="12"/>
  <c r="G79" i="12"/>
  <c r="D76" i="12"/>
  <c r="D75" i="12"/>
  <c r="D74" i="12"/>
  <c r="D73" i="12"/>
  <c r="D72" i="12"/>
  <c r="D71" i="12"/>
  <c r="D70" i="12"/>
  <c r="D69" i="12"/>
  <c r="D68" i="12"/>
  <c r="D67" i="12"/>
  <c r="D66" i="12"/>
  <c r="D65" i="12"/>
  <c r="D64" i="12"/>
  <c r="D60" i="12"/>
  <c r="G57" i="12"/>
  <c r="D52" i="12"/>
  <c r="G40" i="12"/>
  <c r="D37" i="12"/>
  <c r="D47" i="12" s="1"/>
  <c r="G33" i="12"/>
  <c r="G32" i="12"/>
  <c r="D29" i="12"/>
  <c r="G27" i="12"/>
  <c r="D21" i="12"/>
  <c r="G19" i="12"/>
  <c r="D19" i="12"/>
  <c r="D7" i="12"/>
  <c r="D6" i="12"/>
  <c r="G6" i="12" s="1"/>
  <c r="E2" i="12"/>
  <c r="E1" i="12"/>
  <c r="G140" i="12" l="1"/>
  <c r="D35" i="12"/>
  <c r="G48" i="12"/>
  <c r="G157" i="21"/>
  <c r="G157" i="22"/>
  <c r="D153" i="12"/>
  <c r="G168" i="12"/>
  <c r="G169" i="12" s="1"/>
  <c r="D20" i="12"/>
  <c r="D53" i="12" s="1"/>
  <c r="D61" i="12" s="1"/>
  <c r="D91" i="12"/>
  <c r="D77" i="12"/>
  <c r="G106" i="12"/>
  <c r="D92" i="12" l="1"/>
  <c r="G109" i="12"/>
  <c r="D155" i="12" s="1"/>
  <c r="G172" i="12" s="1"/>
  <c r="G181" i="12" l="1"/>
  <c r="G178" i="14"/>
  <c r="G168" i="14"/>
  <c r="G154" i="14"/>
  <c r="D152" i="14"/>
  <c r="D148" i="14"/>
  <c r="G143" i="14"/>
  <c r="G174" i="14" s="1"/>
  <c r="D143" i="14"/>
  <c r="D142" i="14"/>
  <c r="G139" i="14"/>
  <c r="D138" i="14"/>
  <c r="D126" i="14"/>
  <c r="G123" i="14"/>
  <c r="G140" i="14" s="1"/>
  <c r="D122" i="14"/>
  <c r="G111" i="14"/>
  <c r="D111" i="14"/>
  <c r="G105" i="14"/>
  <c r="G102" i="14"/>
  <c r="G101" i="14"/>
  <c r="G95" i="14"/>
  <c r="D90" i="14"/>
  <c r="D89" i="14"/>
  <c r="D88" i="14"/>
  <c r="D87" i="14"/>
  <c r="D86" i="14"/>
  <c r="D85" i="14"/>
  <c r="D83" i="14"/>
  <c r="D82" i="14"/>
  <c r="D81" i="14"/>
  <c r="D80" i="14"/>
  <c r="G78" i="14"/>
  <c r="G77" i="14"/>
  <c r="D76" i="14"/>
  <c r="D75" i="14"/>
  <c r="D74" i="14"/>
  <c r="D73" i="14"/>
  <c r="D72" i="14"/>
  <c r="D71" i="14"/>
  <c r="D70" i="14"/>
  <c r="D69" i="14"/>
  <c r="D68" i="14"/>
  <c r="D67" i="14"/>
  <c r="D66" i="14"/>
  <c r="D65" i="14"/>
  <c r="D64" i="14"/>
  <c r="G63" i="14"/>
  <c r="D60" i="14"/>
  <c r="G57" i="14"/>
  <c r="D52" i="14"/>
  <c r="D47" i="14"/>
  <c r="G40" i="14"/>
  <c r="G33" i="14"/>
  <c r="G32" i="14"/>
  <c r="D29" i="14"/>
  <c r="G27" i="14"/>
  <c r="D21" i="14"/>
  <c r="D35" i="14" s="1"/>
  <c r="D20" i="14"/>
  <c r="G19" i="14"/>
  <c r="D6" i="14"/>
  <c r="G6" i="14" s="1"/>
  <c r="E2" i="14"/>
  <c r="E1" i="14"/>
  <c r="G48" i="14" l="1"/>
  <c r="G169" i="14"/>
  <c r="G79" i="14"/>
  <c r="D153" i="14"/>
  <c r="D53" i="14"/>
  <c r="D61" i="14" s="1"/>
  <c r="D91" i="14"/>
  <c r="G106" i="14"/>
  <c r="D77" i="14"/>
  <c r="G109" i="14" l="1"/>
  <c r="D155" i="14" s="1"/>
  <c r="G172" i="14" s="1"/>
  <c r="G181" i="14" s="1"/>
  <c r="D92" i="14"/>
  <c r="G178" i="11"/>
  <c r="G168" i="11"/>
  <c r="D152" i="11"/>
  <c r="D148" i="11"/>
  <c r="G144" i="11"/>
  <c r="G154" i="11" s="1"/>
  <c r="G169" i="11" s="1"/>
  <c r="G143" i="11"/>
  <c r="G174" i="11" s="1"/>
  <c r="D143" i="11"/>
  <c r="D142" i="11"/>
  <c r="G137" i="11"/>
  <c r="D136" i="11"/>
  <c r="D134" i="11"/>
  <c r="G133" i="11"/>
  <c r="D126" i="11"/>
  <c r="D122" i="11"/>
  <c r="G121" i="11"/>
  <c r="G111" i="11"/>
  <c r="D111" i="11"/>
  <c r="G105" i="11"/>
  <c r="G102" i="11"/>
  <c r="G99" i="11"/>
  <c r="G97" i="11"/>
  <c r="G101" i="11" s="1"/>
  <c r="D90" i="11"/>
  <c r="D89" i="11"/>
  <c r="D88" i="11"/>
  <c r="D87" i="11"/>
  <c r="G86" i="11"/>
  <c r="G95" i="11" s="1"/>
  <c r="D86" i="11"/>
  <c r="D85" i="11"/>
  <c r="D83" i="11"/>
  <c r="D82" i="11"/>
  <c r="D81" i="11"/>
  <c r="D80" i="11"/>
  <c r="G77" i="11"/>
  <c r="G79" i="11" s="1"/>
  <c r="D76" i="11"/>
  <c r="D75" i="11"/>
  <c r="D74" i="11"/>
  <c r="D73" i="11"/>
  <c r="D72" i="11"/>
  <c r="D71" i="11"/>
  <c r="D70" i="11"/>
  <c r="D69" i="11"/>
  <c r="D68" i="11"/>
  <c r="D67" i="11"/>
  <c r="D66" i="11"/>
  <c r="D65" i="11"/>
  <c r="D64" i="11"/>
  <c r="D60" i="11"/>
  <c r="G57" i="11"/>
  <c r="D52" i="11"/>
  <c r="G47" i="11"/>
  <c r="D45" i="11"/>
  <c r="G41" i="11"/>
  <c r="G40" i="11" s="1"/>
  <c r="G33" i="11"/>
  <c r="G31" i="11"/>
  <c r="G32" i="11" s="1"/>
  <c r="D29" i="11"/>
  <c r="G27" i="11"/>
  <c r="D21" i="11"/>
  <c r="G11" i="11"/>
  <c r="G19" i="11" s="1"/>
  <c r="D7" i="11"/>
  <c r="D20" i="11" s="1"/>
  <c r="D6" i="11"/>
  <c r="G6" i="11" s="1"/>
  <c r="E2" i="11"/>
  <c r="E1" i="11"/>
  <c r="G123" i="11" l="1"/>
  <c r="G48" i="11"/>
  <c r="D138" i="11"/>
  <c r="D153" i="11" s="1"/>
  <c r="G86" i="21"/>
  <c r="G86" i="22"/>
  <c r="G41" i="21"/>
  <c r="G41" i="22"/>
  <c r="D35" i="11"/>
  <c r="D47" i="11"/>
  <c r="G139" i="11"/>
  <c r="D91" i="11"/>
  <c r="D77" i="11"/>
  <c r="D53" i="11"/>
  <c r="D61" i="11" s="1"/>
  <c r="G106" i="11"/>
  <c r="G140" i="11" l="1"/>
  <c r="D92" i="11"/>
  <c r="G109" i="11"/>
  <c r="D155" i="11" s="1"/>
  <c r="G172" i="11" s="1"/>
  <c r="G181" i="11" l="1"/>
  <c r="G178" i="9"/>
  <c r="G168" i="9"/>
  <c r="G154" i="9"/>
  <c r="D152" i="9"/>
  <c r="D148" i="9"/>
  <c r="G143" i="9"/>
  <c r="G174" i="9" s="1"/>
  <c r="D143" i="9"/>
  <c r="D142" i="9"/>
  <c r="G139" i="9"/>
  <c r="D138" i="9"/>
  <c r="D126" i="9"/>
  <c r="G123" i="9"/>
  <c r="G140" i="9" s="1"/>
  <c r="D122" i="9"/>
  <c r="G111" i="9"/>
  <c r="D111" i="9"/>
  <c r="G105" i="9"/>
  <c r="G102" i="9"/>
  <c r="G101" i="9"/>
  <c r="G95" i="9"/>
  <c r="D90" i="9"/>
  <c r="D89" i="9"/>
  <c r="D88" i="9"/>
  <c r="D87" i="9"/>
  <c r="D86" i="9"/>
  <c r="D85" i="9"/>
  <c r="D83" i="9"/>
  <c r="D82" i="9"/>
  <c r="D81" i="9"/>
  <c r="D80" i="9"/>
  <c r="G79" i="9"/>
  <c r="D76" i="9"/>
  <c r="D75" i="9"/>
  <c r="D74" i="9"/>
  <c r="D73" i="9"/>
  <c r="D72" i="9"/>
  <c r="D71" i="9"/>
  <c r="D70" i="9"/>
  <c r="D69" i="9"/>
  <c r="D68" i="9"/>
  <c r="D67" i="9"/>
  <c r="D66" i="9"/>
  <c r="D65" i="9"/>
  <c r="D64" i="9"/>
  <c r="D60" i="9"/>
  <c r="G57" i="9"/>
  <c r="D52" i="9"/>
  <c r="D47" i="9"/>
  <c r="G40" i="9"/>
  <c r="G33" i="9"/>
  <c r="G32" i="9"/>
  <c r="D29" i="9"/>
  <c r="G27" i="9"/>
  <c r="D21" i="9"/>
  <c r="D20" i="9"/>
  <c r="G19" i="9"/>
  <c r="D6" i="9"/>
  <c r="G6" i="9" s="1"/>
  <c r="E2" i="9"/>
  <c r="E1" i="9"/>
  <c r="D35" i="9" l="1"/>
  <c r="D53" i="9" s="1"/>
  <c r="D61" i="9" s="1"/>
  <c r="G169" i="9"/>
  <c r="G48" i="9"/>
  <c r="G106" i="9" s="1"/>
  <c r="D153" i="9"/>
  <c r="D77" i="9"/>
  <c r="D91" i="9"/>
  <c r="G109" i="9" l="1"/>
  <c r="D155" i="9" s="1"/>
  <c r="G172" i="9" s="1"/>
  <c r="G181" i="9" s="1"/>
  <c r="D92" i="9"/>
  <c r="G178" i="8"/>
  <c r="G168" i="8"/>
  <c r="G154" i="8"/>
  <c r="D152" i="8"/>
  <c r="D148" i="8"/>
  <c r="G143" i="8"/>
  <c r="G174" i="8" s="1"/>
  <c r="D143" i="8"/>
  <c r="D142" i="8"/>
  <c r="G139" i="8"/>
  <c r="D138" i="8"/>
  <c r="D126" i="8"/>
  <c r="G123" i="8"/>
  <c r="D122" i="8"/>
  <c r="G111" i="8"/>
  <c r="D111" i="8"/>
  <c r="G105" i="8"/>
  <c r="G102" i="8"/>
  <c r="G101" i="8"/>
  <c r="G95" i="8"/>
  <c r="D90" i="8"/>
  <c r="D89" i="8"/>
  <c r="D88" i="8"/>
  <c r="D87" i="8"/>
  <c r="D86" i="8"/>
  <c r="D85" i="8"/>
  <c r="D83" i="8"/>
  <c r="D82" i="8"/>
  <c r="D81" i="8"/>
  <c r="D80" i="8"/>
  <c r="G79" i="8"/>
  <c r="D76" i="8"/>
  <c r="D75" i="8"/>
  <c r="D74" i="8"/>
  <c r="D73" i="8"/>
  <c r="D72" i="8"/>
  <c r="D71" i="8"/>
  <c r="D70" i="8"/>
  <c r="D69" i="8"/>
  <c r="D68" i="8"/>
  <c r="D67" i="8"/>
  <c r="D66" i="8"/>
  <c r="D65" i="8"/>
  <c r="D64" i="8"/>
  <c r="D60" i="8"/>
  <c r="G57" i="8"/>
  <c r="D52" i="8"/>
  <c r="D47" i="8"/>
  <c r="G40" i="8"/>
  <c r="G33" i="8"/>
  <c r="G32" i="8"/>
  <c r="D29" i="8"/>
  <c r="G27" i="8"/>
  <c r="D21" i="8"/>
  <c r="D20" i="8"/>
  <c r="G19" i="8"/>
  <c r="D6" i="8"/>
  <c r="G6" i="8" s="1"/>
  <c r="E2" i="8"/>
  <c r="E1" i="8"/>
  <c r="D35" i="8" l="1"/>
  <c r="D53" i="8" s="1"/>
  <c r="D61" i="8" s="1"/>
  <c r="G140" i="8"/>
  <c r="G48" i="8"/>
  <c r="G106" i="8" s="1"/>
  <c r="D153" i="8"/>
  <c r="G169" i="8"/>
  <c r="D77" i="8"/>
  <c r="D91" i="8"/>
  <c r="G109" i="8" l="1"/>
  <c r="D155" i="8" s="1"/>
  <c r="G172" i="8" s="1"/>
  <c r="G181" i="8" s="1"/>
  <c r="D92" i="8"/>
  <c r="G178" i="7"/>
  <c r="D152" i="7"/>
  <c r="D148" i="7"/>
  <c r="G143" i="7"/>
  <c r="G174" i="7" s="1"/>
  <c r="G111" i="7"/>
  <c r="D111" i="7"/>
  <c r="G105" i="7"/>
  <c r="D89" i="7"/>
  <c r="D87" i="7"/>
  <c r="D86" i="7"/>
  <c r="D85" i="7"/>
  <c r="D81" i="7"/>
  <c r="D76" i="7"/>
  <c r="D75" i="7"/>
  <c r="D74" i="7"/>
  <c r="D73" i="7"/>
  <c r="D72" i="7"/>
  <c r="D70" i="7"/>
  <c r="D68" i="7"/>
  <c r="D67" i="7"/>
  <c r="D65" i="7"/>
  <c r="G40" i="7"/>
  <c r="G33" i="7"/>
  <c r="D6" i="7"/>
  <c r="G6" i="7" s="1"/>
  <c r="E2" i="7"/>
  <c r="E1" i="7"/>
  <c r="G48" i="7" l="1"/>
  <c r="D137" i="21"/>
  <c r="D137" i="22"/>
  <c r="G50" i="21"/>
  <c r="G50" i="22"/>
  <c r="G166" i="21"/>
  <c r="G166" i="22"/>
  <c r="G7" i="21"/>
  <c r="G7" i="22"/>
  <c r="D10" i="21"/>
  <c r="D10" i="22"/>
  <c r="D12" i="21"/>
  <c r="D12" i="22"/>
  <c r="D13" i="21"/>
  <c r="D13" i="22"/>
  <c r="D22" i="21"/>
  <c r="D22" i="22"/>
  <c r="D24" i="21"/>
  <c r="D24" i="22"/>
  <c r="G31" i="21"/>
  <c r="G31" i="22"/>
  <c r="D7" i="21"/>
  <c r="D7" i="22"/>
  <c r="D8" i="21"/>
  <c r="D8" i="22"/>
  <c r="G10" i="21"/>
  <c r="G10" i="22"/>
  <c r="G11" i="21"/>
  <c r="G11" i="22"/>
  <c r="G12" i="21"/>
  <c r="G12" i="22"/>
  <c r="G13" i="21"/>
  <c r="G13" i="22"/>
  <c r="G21" i="21"/>
  <c r="G21" i="22"/>
  <c r="D26" i="21"/>
  <c r="D26" i="22"/>
  <c r="D28" i="21"/>
  <c r="D28" i="22"/>
  <c r="D31" i="21"/>
  <c r="D31" i="22"/>
  <c r="D32" i="21"/>
  <c r="D32" i="22"/>
  <c r="D37" i="21"/>
  <c r="D37" i="22"/>
  <c r="D56" i="21"/>
  <c r="D56" i="22"/>
  <c r="G59" i="21"/>
  <c r="G59" i="22"/>
  <c r="G61" i="21"/>
  <c r="G61" i="22"/>
  <c r="G66" i="21"/>
  <c r="G66" i="22"/>
  <c r="G70" i="21"/>
  <c r="G70" i="22"/>
  <c r="G96" i="21"/>
  <c r="G96" i="22"/>
  <c r="G98" i="21"/>
  <c r="G98" i="22"/>
  <c r="G100" i="21"/>
  <c r="G100" i="22"/>
  <c r="G122" i="21"/>
  <c r="G122" i="22"/>
  <c r="D131" i="21"/>
  <c r="D131" i="22"/>
  <c r="D134" i="21"/>
  <c r="D134" i="22"/>
  <c r="G136" i="21"/>
  <c r="G136" i="22"/>
  <c r="G137" i="21"/>
  <c r="G137" i="22"/>
  <c r="G153" i="21"/>
  <c r="G153" i="22"/>
  <c r="G160" i="21"/>
  <c r="G160" i="22"/>
  <c r="G16" i="21"/>
  <c r="G16" i="22"/>
  <c r="G18" i="21"/>
  <c r="G18" i="22"/>
  <c r="G20" i="21"/>
  <c r="G20" i="22"/>
  <c r="D25" i="21"/>
  <c r="D25" i="22"/>
  <c r="D30" i="21"/>
  <c r="D30" i="22"/>
  <c r="D34" i="21"/>
  <c r="D34" i="22"/>
  <c r="G54" i="21"/>
  <c r="G54" i="22"/>
  <c r="G65" i="21"/>
  <c r="G65" i="22"/>
  <c r="G69" i="21"/>
  <c r="G69" i="22"/>
  <c r="G72" i="21"/>
  <c r="G72" i="22"/>
  <c r="G83" i="21"/>
  <c r="G83" i="22"/>
  <c r="G114" i="21"/>
  <c r="G114" i="22"/>
  <c r="G115" i="21"/>
  <c r="G115" i="22"/>
  <c r="G116" i="21"/>
  <c r="G116" i="22"/>
  <c r="G117" i="21"/>
  <c r="G117" i="22"/>
  <c r="D121" i="21"/>
  <c r="D121" i="22"/>
  <c r="G124" i="21"/>
  <c r="G124" i="22"/>
  <c r="G125" i="21"/>
  <c r="G125" i="22"/>
  <c r="D129" i="21"/>
  <c r="D129" i="22"/>
  <c r="D130" i="21"/>
  <c r="D130" i="22"/>
  <c r="D140" i="21"/>
  <c r="D140" i="22"/>
  <c r="G167" i="21"/>
  <c r="G167" i="22"/>
  <c r="D11" i="21"/>
  <c r="D11" i="22"/>
  <c r="G15" i="21"/>
  <c r="G15" i="22"/>
  <c r="D23" i="21"/>
  <c r="D23" i="22"/>
  <c r="D33" i="21"/>
  <c r="D33" i="22"/>
  <c r="D43" i="21"/>
  <c r="D43" i="22"/>
  <c r="D59" i="21"/>
  <c r="D59" i="22"/>
  <c r="G60" i="21"/>
  <c r="G60" i="22"/>
  <c r="G64" i="21"/>
  <c r="G64" i="22"/>
  <c r="G68" i="21"/>
  <c r="G68" i="22"/>
  <c r="G74" i="21"/>
  <c r="G74" i="22"/>
  <c r="G78" i="21"/>
  <c r="G78" i="22"/>
  <c r="G82" i="21"/>
  <c r="G82" i="22"/>
  <c r="G85" i="21"/>
  <c r="G85" i="22"/>
  <c r="G90" i="21"/>
  <c r="G90" i="22"/>
  <c r="G99" i="21"/>
  <c r="G99" i="22"/>
  <c r="D112" i="21"/>
  <c r="D112" i="22"/>
  <c r="D128" i="21"/>
  <c r="D128" i="22"/>
  <c r="D136" i="21"/>
  <c r="D136" i="22"/>
  <c r="G138" i="21"/>
  <c r="G138" i="22"/>
  <c r="G144" i="21"/>
  <c r="G144" i="22"/>
  <c r="G155" i="21"/>
  <c r="G155" i="22"/>
  <c r="G161" i="21"/>
  <c r="G161" i="22"/>
  <c r="G14" i="21"/>
  <c r="G14" i="22"/>
  <c r="D19" i="21"/>
  <c r="D19" i="22"/>
  <c r="G29" i="21"/>
  <c r="G29" i="22"/>
  <c r="D52" i="7"/>
  <c r="D50" i="21"/>
  <c r="D50" i="22"/>
  <c r="D51" i="21"/>
  <c r="D51" i="22"/>
  <c r="G53" i="21"/>
  <c r="G53" i="22"/>
  <c r="G63" i="21"/>
  <c r="G63" i="22"/>
  <c r="G67" i="21"/>
  <c r="G67" i="22"/>
  <c r="G81" i="21"/>
  <c r="G81" i="22"/>
  <c r="G84" i="21"/>
  <c r="G84" i="22"/>
  <c r="G89" i="21"/>
  <c r="G89" i="22"/>
  <c r="D114" i="21"/>
  <c r="D114" i="22"/>
  <c r="D115" i="21"/>
  <c r="D115" i="22"/>
  <c r="D117" i="21"/>
  <c r="D117" i="22"/>
  <c r="D124" i="21"/>
  <c r="D124" i="22"/>
  <c r="D125" i="21"/>
  <c r="D125" i="22"/>
  <c r="G129" i="21"/>
  <c r="G129" i="22"/>
  <c r="D132" i="21"/>
  <c r="D132" i="22"/>
  <c r="D135" i="21"/>
  <c r="D135" i="22"/>
  <c r="D141" i="21"/>
  <c r="D141" i="22"/>
  <c r="G32" i="7"/>
  <c r="G95" i="7"/>
  <c r="D20" i="7"/>
  <c r="G19" i="7"/>
  <c r="D126" i="7"/>
  <c r="G154" i="7"/>
  <c r="G123" i="7"/>
  <c r="G139" i="7"/>
  <c r="D142" i="7"/>
  <c r="G168" i="7"/>
  <c r="D122" i="7"/>
  <c r="D138" i="7"/>
  <c r="D29" i="7"/>
  <c r="G27" i="7"/>
  <c r="D21" i="7"/>
  <c r="D47" i="7"/>
  <c r="G57" i="7"/>
  <c r="D60" i="7"/>
  <c r="G79" i="7"/>
  <c r="G101" i="7"/>
  <c r="G140" i="7" l="1"/>
  <c r="G169" i="7"/>
  <c r="D35" i="7"/>
  <c r="D53" i="7" l="1"/>
  <c r="G178" i="6"/>
  <c r="G168" i="6"/>
  <c r="G154" i="6"/>
  <c r="D152" i="6"/>
  <c r="D148" i="6"/>
  <c r="G143" i="6"/>
  <c r="G174" i="6" s="1"/>
  <c r="D143" i="6"/>
  <c r="D142" i="6"/>
  <c r="G139" i="6"/>
  <c r="D138" i="6"/>
  <c r="D126" i="6"/>
  <c r="G123" i="6"/>
  <c r="D122" i="6"/>
  <c r="G111" i="6"/>
  <c r="D111" i="6"/>
  <c r="G105" i="6"/>
  <c r="G102" i="6"/>
  <c r="G101" i="6"/>
  <c r="G95" i="6"/>
  <c r="D90" i="6"/>
  <c r="D89" i="6"/>
  <c r="D88" i="6"/>
  <c r="D87" i="6"/>
  <c r="D86" i="6"/>
  <c r="D85" i="6"/>
  <c r="D83" i="6"/>
  <c r="D82" i="6"/>
  <c r="D81" i="6"/>
  <c r="D80" i="6"/>
  <c r="G79" i="6"/>
  <c r="D76" i="6"/>
  <c r="D75" i="6"/>
  <c r="D74" i="6"/>
  <c r="D73" i="6"/>
  <c r="D72" i="6"/>
  <c r="D71" i="6"/>
  <c r="D70" i="6"/>
  <c r="D69" i="6"/>
  <c r="D68" i="6"/>
  <c r="D67" i="6"/>
  <c r="D66" i="6"/>
  <c r="D65" i="6"/>
  <c r="D64" i="6"/>
  <c r="D60" i="6"/>
  <c r="G57" i="6"/>
  <c r="D52" i="6"/>
  <c r="D47" i="6"/>
  <c r="G40" i="6"/>
  <c r="G33" i="6"/>
  <c r="G32" i="6"/>
  <c r="D29" i="6"/>
  <c r="G27" i="6"/>
  <c r="D21" i="6"/>
  <c r="D20" i="6"/>
  <c r="G19" i="6"/>
  <c r="D6" i="6"/>
  <c r="G6" i="6" s="1"/>
  <c r="E2" i="6"/>
  <c r="E1" i="6"/>
  <c r="G178" i="5"/>
  <c r="G168" i="5"/>
  <c r="G154" i="5"/>
  <c r="D152" i="5"/>
  <c r="D148" i="5"/>
  <c r="G143" i="5"/>
  <c r="G174" i="5" s="1"/>
  <c r="D143" i="5"/>
  <c r="D142" i="5"/>
  <c r="G139" i="5"/>
  <c r="D138" i="5"/>
  <c r="D126" i="5"/>
  <c r="G123" i="5"/>
  <c r="D122" i="5"/>
  <c r="G111" i="5"/>
  <c r="D111" i="5"/>
  <c r="G105" i="5"/>
  <c r="G102" i="5"/>
  <c r="G101" i="5"/>
  <c r="G95" i="5"/>
  <c r="D90" i="5"/>
  <c r="D89" i="5"/>
  <c r="D88" i="5"/>
  <c r="D87" i="5"/>
  <c r="D86" i="5"/>
  <c r="D85" i="5"/>
  <c r="D83" i="5"/>
  <c r="D82" i="5"/>
  <c r="D81" i="5"/>
  <c r="D80" i="5"/>
  <c r="G79" i="5"/>
  <c r="D76" i="5"/>
  <c r="D75" i="5"/>
  <c r="D74" i="5"/>
  <c r="D73" i="5"/>
  <c r="D72" i="5"/>
  <c r="D71" i="5"/>
  <c r="D70" i="5"/>
  <c r="D69" i="5"/>
  <c r="D68" i="5"/>
  <c r="D67" i="5"/>
  <c r="D66" i="5"/>
  <c r="D65" i="5"/>
  <c r="D64" i="5"/>
  <c r="D60" i="5"/>
  <c r="G57" i="5"/>
  <c r="D52" i="5"/>
  <c r="D47" i="5"/>
  <c r="G40" i="5"/>
  <c r="G33" i="5"/>
  <c r="G32" i="5"/>
  <c r="D29" i="5"/>
  <c r="G27" i="5"/>
  <c r="D21" i="5"/>
  <c r="D20" i="5"/>
  <c r="G19" i="5"/>
  <c r="D6" i="5"/>
  <c r="G6" i="5" s="1"/>
  <c r="E2" i="5"/>
  <c r="E1" i="5"/>
  <c r="D35" i="5" l="1"/>
  <c r="D53" i="5" s="1"/>
  <c r="D61" i="5" s="1"/>
  <c r="G48" i="5"/>
  <c r="G169" i="5"/>
  <c r="G140" i="5"/>
  <c r="D35" i="6"/>
  <c r="G169" i="6"/>
  <c r="G48" i="6"/>
  <c r="G140" i="6"/>
  <c r="D153" i="6"/>
  <c r="D153" i="5"/>
  <c r="D61" i="7"/>
  <c r="D91" i="5"/>
  <c r="D91" i="6"/>
  <c r="D77" i="5"/>
  <c r="D77" i="6"/>
  <c r="G106" i="5"/>
  <c r="G109" i="5" l="1"/>
  <c r="D155" i="5" s="1"/>
  <c r="G172" i="5" s="1"/>
  <c r="G181" i="5" s="1"/>
  <c r="D53" i="6"/>
  <c r="G106" i="6"/>
  <c r="D92" i="6"/>
  <c r="D92" i="5"/>
  <c r="G178" i="4"/>
  <c r="G168" i="4"/>
  <c r="G154" i="4"/>
  <c r="D152" i="4"/>
  <c r="D148" i="4"/>
  <c r="G143" i="4"/>
  <c r="G174" i="4" s="1"/>
  <c r="D143" i="4"/>
  <c r="D142" i="4"/>
  <c r="G139" i="4"/>
  <c r="D138" i="4"/>
  <c r="D126" i="4"/>
  <c r="G123" i="4"/>
  <c r="D122" i="4"/>
  <c r="G111" i="4"/>
  <c r="D111" i="4"/>
  <c r="G105" i="4"/>
  <c r="G102" i="4"/>
  <c r="G101" i="4"/>
  <c r="G95" i="4"/>
  <c r="D90" i="4"/>
  <c r="D89" i="4"/>
  <c r="D88" i="4"/>
  <c r="D87" i="4"/>
  <c r="D86" i="4"/>
  <c r="D85" i="4"/>
  <c r="D83" i="4"/>
  <c r="D82" i="4"/>
  <c r="D81" i="4"/>
  <c r="D80" i="4"/>
  <c r="G79" i="4"/>
  <c r="D76" i="4"/>
  <c r="D75" i="4"/>
  <c r="D74" i="4"/>
  <c r="D73" i="4"/>
  <c r="D72" i="4"/>
  <c r="D71" i="4"/>
  <c r="D70" i="4"/>
  <c r="D69" i="4"/>
  <c r="D68" i="4"/>
  <c r="D67" i="4"/>
  <c r="D66" i="4"/>
  <c r="D65" i="4"/>
  <c r="D64" i="4"/>
  <c r="D60" i="4"/>
  <c r="G57" i="4"/>
  <c r="D52" i="4"/>
  <c r="D47" i="4"/>
  <c r="G40" i="4"/>
  <c r="G33" i="4"/>
  <c r="G32" i="4"/>
  <c r="D29" i="4"/>
  <c r="G27" i="4"/>
  <c r="D21" i="4"/>
  <c r="G19" i="4"/>
  <c r="D9" i="4"/>
  <c r="D20" i="4" s="1"/>
  <c r="D6" i="4"/>
  <c r="G6" i="4" s="1"/>
  <c r="E2" i="4"/>
  <c r="E1" i="4"/>
  <c r="G140" i="4" l="1"/>
  <c r="D35" i="4"/>
  <c r="D61" i="6"/>
  <c r="D53" i="4"/>
  <c r="D61" i="4" s="1"/>
  <c r="D153" i="4"/>
  <c r="G48" i="4"/>
  <c r="G169" i="4"/>
  <c r="D91" i="4"/>
  <c r="D77" i="4"/>
  <c r="G106" i="4"/>
  <c r="G109" i="6" l="1"/>
  <c r="D155" i="6" s="1"/>
  <c r="G172" i="6" s="1"/>
  <c r="G181" i="6" s="1"/>
  <c r="G109" i="4"/>
  <c r="D155" i="4" s="1"/>
  <c r="G172" i="4" s="1"/>
  <c r="G181" i="4" s="1"/>
  <c r="D92" i="4"/>
  <c r="G178" i="3"/>
  <c r="G168" i="3"/>
  <c r="D152" i="3"/>
  <c r="G151" i="3"/>
  <c r="D148" i="3"/>
  <c r="G143" i="3"/>
  <c r="G174" i="3" s="1"/>
  <c r="D143" i="3"/>
  <c r="D142" i="3"/>
  <c r="G139" i="3"/>
  <c r="D138" i="3"/>
  <c r="D126" i="3"/>
  <c r="G123" i="3"/>
  <c r="D122" i="3"/>
  <c r="G111" i="3"/>
  <c r="D111" i="3"/>
  <c r="G105" i="3"/>
  <c r="G102" i="3"/>
  <c r="G101" i="3"/>
  <c r="G95" i="3"/>
  <c r="D90" i="3"/>
  <c r="D89" i="3"/>
  <c r="D88" i="3"/>
  <c r="D87" i="3"/>
  <c r="D86" i="3"/>
  <c r="D85" i="3"/>
  <c r="D83" i="3"/>
  <c r="D82" i="3"/>
  <c r="D81" i="3"/>
  <c r="D80" i="3"/>
  <c r="G79" i="3"/>
  <c r="D76" i="3"/>
  <c r="D75" i="3"/>
  <c r="D74" i="3"/>
  <c r="D73" i="3"/>
  <c r="D72" i="3"/>
  <c r="D71" i="3"/>
  <c r="D70" i="3"/>
  <c r="D69" i="3"/>
  <c r="D68" i="3"/>
  <c r="D67" i="3"/>
  <c r="D66" i="3"/>
  <c r="D65" i="3"/>
  <c r="D64" i="3"/>
  <c r="D60" i="3"/>
  <c r="G57" i="3"/>
  <c r="D52" i="3"/>
  <c r="D47" i="3"/>
  <c r="G46" i="3"/>
  <c r="G40" i="3" s="1"/>
  <c r="G33" i="3"/>
  <c r="G32" i="3"/>
  <c r="D29" i="3"/>
  <c r="G27" i="3"/>
  <c r="D21" i="3"/>
  <c r="D35" i="3" s="1"/>
  <c r="D20" i="3"/>
  <c r="G19" i="3"/>
  <c r="D6" i="3"/>
  <c r="G6" i="3" s="1"/>
  <c r="E2" i="3"/>
  <c r="E1" i="3"/>
  <c r="D53" i="3" l="1"/>
  <c r="D61" i="3" s="1"/>
  <c r="G140" i="3"/>
  <c r="G48" i="3"/>
  <c r="G154" i="3"/>
  <c r="G169" i="3" s="1"/>
  <c r="G151" i="17"/>
  <c r="D153" i="3"/>
  <c r="G106" i="3"/>
  <c r="G109" i="3" s="1"/>
  <c r="D77" i="3"/>
  <c r="D91" i="3"/>
  <c r="G151" i="22" l="1"/>
  <c r="G151" i="21"/>
  <c r="D155" i="3"/>
  <c r="G172" i="3" s="1"/>
  <c r="G181" i="3" s="1"/>
  <c r="D92" i="3"/>
  <c r="G178" i="2"/>
  <c r="G156" i="2"/>
  <c r="G154" i="2"/>
  <c r="D152" i="2"/>
  <c r="D148" i="2"/>
  <c r="G143" i="2"/>
  <c r="G174" i="2" s="1"/>
  <c r="D143" i="2"/>
  <c r="D142" i="2"/>
  <c r="G139" i="2"/>
  <c r="D138" i="2"/>
  <c r="G133" i="2"/>
  <c r="G133" i="17" s="1"/>
  <c r="D126" i="2"/>
  <c r="G121" i="2"/>
  <c r="G123" i="2" s="1"/>
  <c r="G140" i="2" s="1"/>
  <c r="D116" i="2"/>
  <c r="G111" i="2"/>
  <c r="D111" i="2"/>
  <c r="G105" i="2"/>
  <c r="G102" i="2"/>
  <c r="G97" i="2"/>
  <c r="G95" i="2"/>
  <c r="D90" i="2"/>
  <c r="D89" i="2"/>
  <c r="D88" i="2"/>
  <c r="D87" i="2"/>
  <c r="D86" i="2"/>
  <c r="D85" i="2"/>
  <c r="D83" i="2"/>
  <c r="D82" i="2"/>
  <c r="D81" i="2"/>
  <c r="D80" i="2"/>
  <c r="G77" i="2"/>
  <c r="D76" i="2"/>
  <c r="D75" i="2"/>
  <c r="D74" i="2"/>
  <c r="D73" i="2"/>
  <c r="D72" i="2"/>
  <c r="D71" i="2"/>
  <c r="D70" i="2"/>
  <c r="D69" i="2"/>
  <c r="D68" i="2"/>
  <c r="D67" i="2"/>
  <c r="D66" i="2"/>
  <c r="D65" i="2"/>
  <c r="D64" i="2"/>
  <c r="D60" i="2"/>
  <c r="G57" i="2"/>
  <c r="D52" i="2"/>
  <c r="G46" i="2"/>
  <c r="G40" i="2" s="1"/>
  <c r="D46" i="2"/>
  <c r="D45" i="2"/>
  <c r="D45" i="17" s="1"/>
  <c r="D42" i="2"/>
  <c r="G39" i="2"/>
  <c r="G39" i="17" s="1"/>
  <c r="D36" i="2"/>
  <c r="G32" i="2"/>
  <c r="D29" i="2"/>
  <c r="G23" i="2"/>
  <c r="G22" i="2"/>
  <c r="D21" i="2"/>
  <c r="G19" i="2"/>
  <c r="D9" i="2"/>
  <c r="D20" i="2" s="1"/>
  <c r="D6" i="2"/>
  <c r="G6" i="2" s="1"/>
  <c r="E2" i="2"/>
  <c r="E1" i="2"/>
  <c r="D35" i="2" l="1"/>
  <c r="D45" i="22"/>
  <c r="D45" i="21"/>
  <c r="G39" i="22"/>
  <c r="G39" i="21"/>
  <c r="G133" i="22"/>
  <c r="G133" i="21"/>
  <c r="D122" i="2"/>
  <c r="D116" i="17"/>
  <c r="D116" i="21" s="1"/>
  <c r="G27" i="2"/>
  <c r="G22" i="17"/>
  <c r="G22" i="21" s="1"/>
  <c r="G22" i="22"/>
  <c r="D47" i="2"/>
  <c r="D53" i="2" s="1"/>
  <c r="D61" i="2" s="1"/>
  <c r="D36" i="17"/>
  <c r="G79" i="2"/>
  <c r="G77" i="17"/>
  <c r="G23" i="17"/>
  <c r="D46" i="17"/>
  <c r="G33" i="2"/>
  <c r="G48" i="2" s="1"/>
  <c r="G101" i="2"/>
  <c r="G97" i="17"/>
  <c r="D9" i="17"/>
  <c r="D9" i="21" s="1"/>
  <c r="D9" i="22"/>
  <c r="D42" i="17"/>
  <c r="G168" i="2"/>
  <c r="G169" i="2" s="1"/>
  <c r="G156" i="17"/>
  <c r="D91" i="2"/>
  <c r="D153" i="2"/>
  <c r="D77" i="2"/>
  <c r="G77" i="22" l="1"/>
  <c r="G77" i="21"/>
  <c r="D46" i="22"/>
  <c r="D46" i="21"/>
  <c r="D36" i="22"/>
  <c r="D36" i="21"/>
  <c r="D42" i="22"/>
  <c r="D42" i="21"/>
  <c r="G156" i="22"/>
  <c r="G156" i="21"/>
  <c r="G97" i="22"/>
  <c r="G97" i="21"/>
  <c r="G23" i="22"/>
  <c r="G23" i="21"/>
  <c r="D116" i="22"/>
  <c r="G106" i="2"/>
  <c r="D92" i="2"/>
  <c r="G109" i="2"/>
  <c r="D155" i="2" s="1"/>
  <c r="G172" i="2" s="1"/>
  <c r="G181" i="2" l="1"/>
  <c r="G178" i="1"/>
  <c r="G178" i="17" s="1"/>
  <c r="G168" i="1"/>
  <c r="G154" i="1"/>
  <c r="D150" i="1"/>
  <c r="D150" i="17" s="1"/>
  <c r="D148" i="1"/>
  <c r="D148" i="17" s="1"/>
  <c r="G143" i="1"/>
  <c r="G174" i="1" s="1"/>
  <c r="D143" i="1"/>
  <c r="D143" i="17" s="1"/>
  <c r="D142" i="1"/>
  <c r="G139" i="1"/>
  <c r="D138" i="1"/>
  <c r="D126" i="1"/>
  <c r="D122" i="1"/>
  <c r="G121" i="1"/>
  <c r="G121" i="17" s="1"/>
  <c r="G111" i="1"/>
  <c r="D111" i="1"/>
  <c r="G105" i="1"/>
  <c r="G105" i="17" s="1"/>
  <c r="G102" i="1"/>
  <c r="G102" i="17" s="1"/>
  <c r="G101" i="1"/>
  <c r="G95" i="1"/>
  <c r="D90" i="1"/>
  <c r="D90" i="17" s="1"/>
  <c r="D89" i="1"/>
  <c r="D89" i="17" s="1"/>
  <c r="D88" i="1"/>
  <c r="D88" i="17" s="1"/>
  <c r="D87" i="1"/>
  <c r="D87" i="17" s="1"/>
  <c r="D86" i="1"/>
  <c r="D86" i="17" s="1"/>
  <c r="D85" i="1"/>
  <c r="D85" i="17" s="1"/>
  <c r="D83" i="1"/>
  <c r="D83" i="17" s="1"/>
  <c r="D82" i="1"/>
  <c r="D82" i="17" s="1"/>
  <c r="D81" i="1"/>
  <c r="D81" i="17" s="1"/>
  <c r="D80" i="1"/>
  <c r="D80" i="17" s="1"/>
  <c r="G79" i="1"/>
  <c r="D76" i="1"/>
  <c r="D76" i="17" s="1"/>
  <c r="D75" i="1"/>
  <c r="D75" i="17" s="1"/>
  <c r="D74" i="1"/>
  <c r="D74" i="17" s="1"/>
  <c r="D73" i="1"/>
  <c r="D73" i="17" s="1"/>
  <c r="D72" i="1"/>
  <c r="D72" i="17" s="1"/>
  <c r="D71" i="1"/>
  <c r="D71" i="17" s="1"/>
  <c r="D70" i="1"/>
  <c r="D70" i="17" s="1"/>
  <c r="D69" i="1"/>
  <c r="D69" i="17" s="1"/>
  <c r="D68" i="1"/>
  <c r="D68" i="17" s="1"/>
  <c r="D67" i="1"/>
  <c r="D67" i="17" s="1"/>
  <c r="D66" i="1"/>
  <c r="D66" i="17" s="1"/>
  <c r="D65" i="1"/>
  <c r="D65" i="17" s="1"/>
  <c r="D64" i="1"/>
  <c r="D64" i="17" s="1"/>
  <c r="D60" i="1"/>
  <c r="G57" i="1"/>
  <c r="D52" i="1"/>
  <c r="G47" i="1"/>
  <c r="G47" i="17" s="1"/>
  <c r="D47" i="1"/>
  <c r="G46" i="1"/>
  <c r="G46" i="17" s="1"/>
  <c r="G33" i="1"/>
  <c r="G32" i="1"/>
  <c r="D29" i="1"/>
  <c r="G27" i="1"/>
  <c r="D21" i="1"/>
  <c r="D20" i="1"/>
  <c r="G19" i="1"/>
  <c r="D6" i="1"/>
  <c r="G6" i="1" s="1"/>
  <c r="E2" i="1"/>
  <c r="E1" i="1"/>
  <c r="D72" i="22" l="1"/>
  <c r="D72" i="21"/>
  <c r="D65" i="22"/>
  <c r="D65" i="21"/>
  <c r="D73" i="22"/>
  <c r="D73" i="21"/>
  <c r="D74" i="22"/>
  <c r="D74" i="21"/>
  <c r="D85" i="22"/>
  <c r="D85" i="21"/>
  <c r="D89" i="22"/>
  <c r="D89" i="21"/>
  <c r="G121" i="22"/>
  <c r="G121" i="21"/>
  <c r="D148" i="22"/>
  <c r="D148" i="21"/>
  <c r="G178" i="22"/>
  <c r="G178" i="21"/>
  <c r="G47" i="22"/>
  <c r="G47" i="21"/>
  <c r="D68" i="22"/>
  <c r="D68" i="21"/>
  <c r="D76" i="22"/>
  <c r="D76" i="21"/>
  <c r="D87" i="22"/>
  <c r="D87" i="21"/>
  <c r="G46" i="22"/>
  <c r="G46" i="21"/>
  <c r="D70" i="22"/>
  <c r="D70" i="21"/>
  <c r="D67" i="22"/>
  <c r="D67" i="21"/>
  <c r="D75" i="22"/>
  <c r="D75" i="21"/>
  <c r="D81" i="22"/>
  <c r="D81" i="21"/>
  <c r="D86" i="22"/>
  <c r="D86" i="21"/>
  <c r="G105" i="22"/>
  <c r="G105" i="21"/>
  <c r="D150" i="22"/>
  <c r="D150" i="21"/>
  <c r="D52" i="17"/>
  <c r="D126" i="17"/>
  <c r="D126" i="21" s="1"/>
  <c r="D126" i="22"/>
  <c r="D142" i="17"/>
  <c r="D29" i="17"/>
  <c r="D29" i="21" s="1"/>
  <c r="D47" i="17"/>
  <c r="G95" i="17"/>
  <c r="D122" i="17"/>
  <c r="D122" i="21" s="1"/>
  <c r="D138" i="17"/>
  <c r="G168" i="17"/>
  <c r="G168" i="21" s="1"/>
  <c r="G19" i="17"/>
  <c r="D35" i="1"/>
  <c r="D53" i="1" s="1"/>
  <c r="D21" i="17"/>
  <c r="D21" i="21" s="1"/>
  <c r="G32" i="17"/>
  <c r="G40" i="1"/>
  <c r="G40" i="17" s="1"/>
  <c r="G123" i="1"/>
  <c r="G139" i="17"/>
  <c r="G139" i="21" s="1"/>
  <c r="D152" i="1"/>
  <c r="D152" i="17" s="1"/>
  <c r="D20" i="17"/>
  <c r="G33" i="17"/>
  <c r="G57" i="17"/>
  <c r="G79" i="17"/>
  <c r="G79" i="21" s="1"/>
  <c r="G79" i="22"/>
  <c r="G27" i="17"/>
  <c r="D60" i="17"/>
  <c r="G101" i="17"/>
  <c r="G101" i="21" s="1"/>
  <c r="G101" i="22"/>
  <c r="G169" i="1"/>
  <c r="G154" i="17"/>
  <c r="G154" i="21" s="1"/>
  <c r="D77" i="1"/>
  <c r="D77" i="17" s="1"/>
  <c r="D91" i="1"/>
  <c r="D91" i="17" s="1"/>
  <c r="G154" i="22" l="1"/>
  <c r="D142" i="22"/>
  <c r="D142" i="21"/>
  <c r="G40" i="22"/>
  <c r="G40" i="21"/>
  <c r="D47" i="22"/>
  <c r="D47" i="21"/>
  <c r="D60" i="22"/>
  <c r="D60" i="21"/>
  <c r="G57" i="22"/>
  <c r="G57" i="21"/>
  <c r="G139" i="22"/>
  <c r="G32" i="22"/>
  <c r="G32" i="21"/>
  <c r="G19" i="22"/>
  <c r="G19" i="21"/>
  <c r="D122" i="22"/>
  <c r="D29" i="22"/>
  <c r="D20" i="22"/>
  <c r="D20" i="21"/>
  <c r="G95" i="22"/>
  <c r="G95" i="21"/>
  <c r="D152" i="22"/>
  <c r="D152" i="21"/>
  <c r="D138" i="22"/>
  <c r="D138" i="21"/>
  <c r="G27" i="22"/>
  <c r="G27" i="21"/>
  <c r="G33" i="22"/>
  <c r="G33" i="21"/>
  <c r="D21" i="22"/>
  <c r="G168" i="22"/>
  <c r="D52" i="22"/>
  <c r="D52" i="21"/>
  <c r="D61" i="1"/>
  <c r="D53" i="17"/>
  <c r="D53" i="21" s="1"/>
  <c r="G169" i="17"/>
  <c r="G48" i="1"/>
  <c r="G140" i="1"/>
  <c r="G123" i="17"/>
  <c r="D35" i="17"/>
  <c r="D35" i="21" s="1"/>
  <c r="D153" i="1"/>
  <c r="D153" i="17" s="1"/>
  <c r="D92" i="1"/>
  <c r="D92" i="17" s="1"/>
  <c r="D53" i="22" l="1"/>
  <c r="G123" i="22"/>
  <c r="G123" i="21"/>
  <c r="D35" i="22"/>
  <c r="G169" i="22"/>
  <c r="G169" i="21"/>
  <c r="D61" i="17"/>
  <c r="G140" i="17"/>
  <c r="G140" i="21" s="1"/>
  <c r="G48" i="17"/>
  <c r="G106" i="1"/>
  <c r="G106" i="17" s="1"/>
  <c r="G140" i="22" l="1"/>
  <c r="D61" i="22"/>
  <c r="D61" i="21"/>
  <c r="G48" i="22"/>
  <c r="G48" i="21"/>
  <c r="G109" i="1"/>
  <c r="G109" i="17" l="1"/>
  <c r="D155" i="1"/>
  <c r="D155" i="17" l="1"/>
  <c r="G172" i="1"/>
  <c r="D82" i="7"/>
  <c r="D88" i="7"/>
  <c r="D83" i="7"/>
  <c r="D71" i="7"/>
  <c r="D69" i="7"/>
  <c r="D66" i="7"/>
  <c r="G181" i="1" l="1"/>
  <c r="G181" i="17" s="1"/>
  <c r="G172" i="17"/>
  <c r="D80" i="7"/>
  <c r="D64" i="7"/>
  <c r="D82" i="21"/>
  <c r="D82" i="22"/>
  <c r="D69" i="21"/>
  <c r="D69" i="22"/>
  <c r="D88" i="21"/>
  <c r="D88" i="22"/>
  <c r="D71" i="21"/>
  <c r="D71" i="22"/>
  <c r="D90" i="7"/>
  <c r="D66" i="21"/>
  <c r="D66" i="22"/>
  <c r="D83" i="21"/>
  <c r="D83" i="22"/>
  <c r="D90" i="21" l="1"/>
  <c r="D90" i="22"/>
  <c r="D77" i="7"/>
  <c r="D64" i="21"/>
  <c r="D64" i="22"/>
  <c r="G102" i="7"/>
  <c r="D91" i="7"/>
  <c r="D80" i="21"/>
  <c r="D80" i="22"/>
  <c r="D143" i="7"/>
  <c r="D153" i="7" l="1"/>
  <c r="D143" i="21"/>
  <c r="D143" i="22"/>
  <c r="D92" i="7"/>
  <c r="D77" i="21"/>
  <c r="D77" i="22"/>
  <c r="D91" i="21"/>
  <c r="D91" i="22"/>
  <c r="G106" i="7"/>
  <c r="G102" i="21"/>
  <c r="G102" i="22"/>
  <c r="D153" i="21" l="1"/>
  <c r="D153" i="22"/>
  <c r="D92" i="21"/>
  <c r="D92" i="22"/>
  <c r="G106" i="21"/>
  <c r="G109" i="7"/>
  <c r="G106" i="22"/>
  <c r="D155" i="7" l="1"/>
  <c r="G109" i="21"/>
  <c r="G109" i="22"/>
  <c r="G172" i="7" l="1"/>
  <c r="D155" i="21"/>
  <c r="D155" i="22"/>
  <c r="G181" i="7" l="1"/>
  <c r="G172" i="21"/>
  <c r="G172" i="22"/>
  <c r="G181" i="21" l="1"/>
  <c r="G181" i="22"/>
</calcChain>
</file>

<file path=xl/comments1.xml><?xml version="1.0" encoding="utf-8"?>
<comments xmlns="http://schemas.openxmlformats.org/spreadsheetml/2006/main">
  <authors>
    <author>Informatica</author>
  </authors>
  <commentList>
    <comment ref="G102" authorId="0" shapeId="0">
      <text>
        <r>
          <rPr>
            <b/>
            <sz val="8"/>
            <color indexed="81"/>
            <rFont val="Tahoma"/>
            <family val="2"/>
          </rPr>
          <t>Ingresar Detalle en la Hoja de Amortizaciones</t>
        </r>
        <r>
          <rPr>
            <sz val="8"/>
            <color indexed="81"/>
            <rFont val="Tahoma"/>
            <family val="2"/>
          </rPr>
          <t xml:space="preserve">
</t>
        </r>
      </text>
    </comment>
    <comment ref="D143" authorId="0" shapeId="0">
      <text>
        <r>
          <rPr>
            <b/>
            <sz val="8"/>
            <color indexed="81"/>
            <rFont val="Tahoma"/>
            <family val="2"/>
          </rPr>
          <t>Ingresar Detalle en la hoja de Amortizaciones</t>
        </r>
      </text>
    </comment>
  </commentList>
</comments>
</file>

<file path=xl/comments10.xml><?xml version="1.0" encoding="utf-8"?>
<comments xmlns="http://schemas.openxmlformats.org/spreadsheetml/2006/main">
  <authors>
    <author>Informatica</author>
  </authors>
  <commentList>
    <comment ref="G102" authorId="0" shapeId="0">
      <text>
        <r>
          <rPr>
            <b/>
            <sz val="8"/>
            <color indexed="81"/>
            <rFont val="Tahoma"/>
            <family val="2"/>
          </rPr>
          <t>Ingresar Detalle en la Hoja de Amortizaciones</t>
        </r>
        <r>
          <rPr>
            <sz val="8"/>
            <color indexed="81"/>
            <rFont val="Tahoma"/>
            <family val="2"/>
          </rPr>
          <t xml:space="preserve">
</t>
        </r>
      </text>
    </comment>
    <comment ref="D143" authorId="0" shapeId="0">
      <text>
        <r>
          <rPr>
            <b/>
            <sz val="8"/>
            <color indexed="81"/>
            <rFont val="Tahoma"/>
            <family val="2"/>
          </rPr>
          <t>Ingresar Detalle en la hoja de Amortizaciones</t>
        </r>
      </text>
    </comment>
  </commentList>
</comments>
</file>

<file path=xl/comments11.xml><?xml version="1.0" encoding="utf-8"?>
<comments xmlns="http://schemas.openxmlformats.org/spreadsheetml/2006/main">
  <authors>
    <author>Informatica</author>
  </authors>
  <commentList>
    <comment ref="G102" authorId="0" shapeId="0">
      <text>
        <r>
          <rPr>
            <b/>
            <sz val="8"/>
            <color indexed="81"/>
            <rFont val="Tahoma"/>
            <family val="2"/>
          </rPr>
          <t>Ingresar Detalle en la Hoja de Amortizaciones</t>
        </r>
        <r>
          <rPr>
            <sz val="8"/>
            <color indexed="81"/>
            <rFont val="Tahoma"/>
            <family val="2"/>
          </rPr>
          <t xml:space="preserve">
</t>
        </r>
      </text>
    </comment>
    <comment ref="D143" authorId="0" shapeId="0">
      <text>
        <r>
          <rPr>
            <b/>
            <sz val="8"/>
            <color indexed="81"/>
            <rFont val="Tahoma"/>
            <family val="2"/>
          </rPr>
          <t>Ingresar Detalle en la hoja de Amortizaciones</t>
        </r>
      </text>
    </comment>
  </commentList>
</comments>
</file>

<file path=xl/comments12.xml><?xml version="1.0" encoding="utf-8"?>
<comments xmlns="http://schemas.openxmlformats.org/spreadsheetml/2006/main">
  <authors>
    <author>Informatica</author>
  </authors>
  <commentList>
    <comment ref="G102" authorId="0" shapeId="0">
      <text>
        <r>
          <rPr>
            <b/>
            <sz val="8"/>
            <color indexed="81"/>
            <rFont val="Tahoma"/>
            <family val="2"/>
          </rPr>
          <t>Ingresar Detalle en la Hoja de Amortizaciones</t>
        </r>
        <r>
          <rPr>
            <sz val="8"/>
            <color indexed="81"/>
            <rFont val="Tahoma"/>
            <family val="2"/>
          </rPr>
          <t xml:space="preserve">
</t>
        </r>
      </text>
    </comment>
    <comment ref="D143" authorId="0" shapeId="0">
      <text>
        <r>
          <rPr>
            <b/>
            <sz val="8"/>
            <color indexed="81"/>
            <rFont val="Tahoma"/>
            <family val="2"/>
          </rPr>
          <t>Ingresar Detalle en la hoja de Amortizaciones</t>
        </r>
      </text>
    </comment>
  </commentList>
</comments>
</file>

<file path=xl/comments13.xml><?xml version="1.0" encoding="utf-8"?>
<comments xmlns="http://schemas.openxmlformats.org/spreadsheetml/2006/main">
  <authors>
    <author>Informatica</author>
  </authors>
  <commentList>
    <comment ref="G102" authorId="0" shapeId="0">
      <text>
        <r>
          <rPr>
            <b/>
            <sz val="8"/>
            <color indexed="81"/>
            <rFont val="Tahoma"/>
            <family val="2"/>
          </rPr>
          <t>Ingresar Detalle en la Hoja de Amortizaciones</t>
        </r>
        <r>
          <rPr>
            <sz val="8"/>
            <color indexed="81"/>
            <rFont val="Tahoma"/>
            <family val="2"/>
          </rPr>
          <t xml:space="preserve">
</t>
        </r>
      </text>
    </comment>
    <comment ref="D143" authorId="0" shapeId="0">
      <text>
        <r>
          <rPr>
            <b/>
            <sz val="8"/>
            <color indexed="81"/>
            <rFont val="Tahoma"/>
            <family val="2"/>
          </rPr>
          <t>Ingresar Detalle en la hoja de Amortizaciones</t>
        </r>
      </text>
    </comment>
  </commentList>
</comments>
</file>

<file path=xl/comments14.xml><?xml version="1.0" encoding="utf-8"?>
<comments xmlns="http://schemas.openxmlformats.org/spreadsheetml/2006/main">
  <authors>
    <author>Informatica</author>
  </authors>
  <commentList>
    <comment ref="G102" authorId="0" shapeId="0">
      <text>
        <r>
          <rPr>
            <b/>
            <sz val="8"/>
            <color indexed="81"/>
            <rFont val="Tahoma"/>
            <family val="2"/>
          </rPr>
          <t>Ingresar Detalle en la Hoja de Amortizaciones</t>
        </r>
        <r>
          <rPr>
            <sz val="8"/>
            <color indexed="81"/>
            <rFont val="Tahoma"/>
            <family val="2"/>
          </rPr>
          <t xml:space="preserve">
</t>
        </r>
      </text>
    </comment>
    <comment ref="D143" authorId="0" shapeId="0">
      <text>
        <r>
          <rPr>
            <b/>
            <sz val="8"/>
            <color indexed="81"/>
            <rFont val="Tahoma"/>
            <family val="2"/>
          </rPr>
          <t>Ingresar Detalle en la hoja de Amortizaciones</t>
        </r>
      </text>
    </comment>
  </commentList>
</comments>
</file>

<file path=xl/comments15.xml><?xml version="1.0" encoding="utf-8"?>
<comments xmlns="http://schemas.openxmlformats.org/spreadsheetml/2006/main">
  <authors>
    <author>Informatica</author>
  </authors>
  <commentList>
    <comment ref="G102" authorId="0" shapeId="0">
      <text>
        <r>
          <rPr>
            <b/>
            <sz val="8"/>
            <color indexed="81"/>
            <rFont val="Tahoma"/>
            <family val="2"/>
          </rPr>
          <t>Ingresar Detalle en la Hoja de Amortizaciones</t>
        </r>
        <r>
          <rPr>
            <sz val="8"/>
            <color indexed="81"/>
            <rFont val="Tahoma"/>
            <family val="2"/>
          </rPr>
          <t xml:space="preserve">
</t>
        </r>
      </text>
    </comment>
    <comment ref="D143" authorId="0" shapeId="0">
      <text>
        <r>
          <rPr>
            <b/>
            <sz val="8"/>
            <color indexed="81"/>
            <rFont val="Tahoma"/>
            <family val="2"/>
          </rPr>
          <t>Ingresar Detalle en la hoja de Amortizaciones</t>
        </r>
      </text>
    </comment>
  </commentList>
</comments>
</file>

<file path=xl/comments16.xml><?xml version="1.0" encoding="utf-8"?>
<comments xmlns="http://schemas.openxmlformats.org/spreadsheetml/2006/main">
  <authors>
    <author>Informatica</author>
  </authors>
  <commentList>
    <comment ref="G102" authorId="0" shapeId="0">
      <text>
        <r>
          <rPr>
            <b/>
            <sz val="8"/>
            <color indexed="81"/>
            <rFont val="Tahoma"/>
            <family val="2"/>
          </rPr>
          <t>Ingresar Detalle en la Hoja de Amortizaciones</t>
        </r>
        <r>
          <rPr>
            <sz val="8"/>
            <color indexed="81"/>
            <rFont val="Tahoma"/>
            <family val="2"/>
          </rPr>
          <t xml:space="preserve">
</t>
        </r>
      </text>
    </comment>
    <comment ref="D143" authorId="0" shapeId="0">
      <text>
        <r>
          <rPr>
            <b/>
            <sz val="8"/>
            <color indexed="81"/>
            <rFont val="Tahoma"/>
            <family val="2"/>
          </rPr>
          <t>Ingresar Detalle en la hoja de Amortizaciones</t>
        </r>
      </text>
    </comment>
  </commentList>
</comments>
</file>

<file path=xl/comments17.xml><?xml version="1.0" encoding="utf-8"?>
<comments xmlns="http://schemas.openxmlformats.org/spreadsheetml/2006/main">
  <authors>
    <author>Informatica</author>
  </authors>
  <commentList>
    <comment ref="G102" authorId="0" shapeId="0">
      <text>
        <r>
          <rPr>
            <b/>
            <sz val="8"/>
            <color indexed="81"/>
            <rFont val="Tahoma"/>
            <family val="2"/>
          </rPr>
          <t>Ingresar Detalle en la Hoja de Amortizaciones</t>
        </r>
        <r>
          <rPr>
            <sz val="8"/>
            <color indexed="81"/>
            <rFont val="Tahoma"/>
            <family val="2"/>
          </rPr>
          <t xml:space="preserve">
</t>
        </r>
      </text>
    </comment>
    <comment ref="D143" authorId="0" shapeId="0">
      <text>
        <r>
          <rPr>
            <b/>
            <sz val="8"/>
            <color indexed="81"/>
            <rFont val="Tahoma"/>
            <family val="2"/>
          </rPr>
          <t>Ingresar Detalle en la hoja de Amortizaciones</t>
        </r>
      </text>
    </comment>
  </commentList>
</comments>
</file>

<file path=xl/comments18.xml><?xml version="1.0" encoding="utf-8"?>
<comments xmlns="http://schemas.openxmlformats.org/spreadsheetml/2006/main">
  <authors>
    <author>Informatica</author>
  </authors>
  <commentList>
    <comment ref="G102" authorId="0" shapeId="0">
      <text>
        <r>
          <rPr>
            <b/>
            <sz val="8"/>
            <color indexed="81"/>
            <rFont val="Tahoma"/>
            <family val="2"/>
          </rPr>
          <t>Ingresar Detalle en la Hoja de Amortizaciones</t>
        </r>
        <r>
          <rPr>
            <sz val="8"/>
            <color indexed="81"/>
            <rFont val="Tahoma"/>
            <family val="2"/>
          </rPr>
          <t xml:space="preserve">
</t>
        </r>
      </text>
    </comment>
    <comment ref="D143" authorId="0" shapeId="0">
      <text>
        <r>
          <rPr>
            <b/>
            <sz val="8"/>
            <color indexed="81"/>
            <rFont val="Tahoma"/>
            <family val="2"/>
          </rPr>
          <t>Ingresar Detalle en la hoja de Amortizaciones</t>
        </r>
      </text>
    </comment>
  </commentList>
</comments>
</file>

<file path=xl/comments19.xml><?xml version="1.0" encoding="utf-8"?>
<comments xmlns="http://schemas.openxmlformats.org/spreadsheetml/2006/main">
  <authors>
    <author>Informatica</author>
  </authors>
  <commentList>
    <comment ref="G102" authorId="0" shapeId="0">
      <text>
        <r>
          <rPr>
            <b/>
            <sz val="8"/>
            <color indexed="81"/>
            <rFont val="Tahoma"/>
            <family val="2"/>
          </rPr>
          <t>Ingresar Detalle en la Hoja de Amortizaciones</t>
        </r>
        <r>
          <rPr>
            <sz val="8"/>
            <color indexed="81"/>
            <rFont val="Tahoma"/>
            <family val="2"/>
          </rPr>
          <t xml:space="preserve">
</t>
        </r>
      </text>
    </comment>
    <comment ref="D143" authorId="0" shapeId="0">
      <text>
        <r>
          <rPr>
            <b/>
            <sz val="8"/>
            <color indexed="81"/>
            <rFont val="Tahoma"/>
            <family val="2"/>
          </rPr>
          <t>Ingresar Detalle en la hoja de Amortizaciones</t>
        </r>
      </text>
    </comment>
  </commentList>
</comments>
</file>

<file path=xl/comments2.xml><?xml version="1.0" encoding="utf-8"?>
<comments xmlns="http://schemas.openxmlformats.org/spreadsheetml/2006/main">
  <authors>
    <author>Informatica</author>
  </authors>
  <commentList>
    <comment ref="G102" authorId="0" shapeId="0">
      <text>
        <r>
          <rPr>
            <b/>
            <sz val="8"/>
            <color indexed="81"/>
            <rFont val="Tahoma"/>
            <family val="2"/>
          </rPr>
          <t>Ingresar Detalle en la Hoja de Amortizaciones</t>
        </r>
        <r>
          <rPr>
            <sz val="8"/>
            <color indexed="81"/>
            <rFont val="Tahoma"/>
            <family val="2"/>
          </rPr>
          <t xml:space="preserve">
</t>
        </r>
      </text>
    </comment>
    <comment ref="D143" authorId="0" shapeId="0">
      <text>
        <r>
          <rPr>
            <b/>
            <sz val="8"/>
            <color indexed="81"/>
            <rFont val="Tahoma"/>
            <family val="2"/>
          </rPr>
          <t>Ingresar Detalle en la hoja de Amortizaciones</t>
        </r>
      </text>
    </comment>
  </commentList>
</comments>
</file>

<file path=xl/comments20.xml><?xml version="1.0" encoding="utf-8"?>
<comments xmlns="http://schemas.openxmlformats.org/spreadsheetml/2006/main">
  <authors>
    <author>Informatica</author>
  </authors>
  <commentList>
    <comment ref="G102" authorId="0" shapeId="0">
      <text>
        <r>
          <rPr>
            <b/>
            <sz val="8"/>
            <color indexed="81"/>
            <rFont val="Tahoma"/>
            <family val="2"/>
          </rPr>
          <t>Ingresar Detalle en la Hoja de Amortizaciones</t>
        </r>
        <r>
          <rPr>
            <sz val="8"/>
            <color indexed="81"/>
            <rFont val="Tahoma"/>
            <family val="2"/>
          </rPr>
          <t xml:space="preserve">
</t>
        </r>
      </text>
    </comment>
    <comment ref="D143" authorId="0" shapeId="0">
      <text>
        <r>
          <rPr>
            <b/>
            <sz val="8"/>
            <color indexed="81"/>
            <rFont val="Tahoma"/>
            <family val="2"/>
          </rPr>
          <t>Ingresar Detalle en la hoja de Amortizaciones</t>
        </r>
      </text>
    </comment>
  </commentList>
</comments>
</file>

<file path=xl/comments21.xml><?xml version="1.0" encoding="utf-8"?>
<comments xmlns="http://schemas.openxmlformats.org/spreadsheetml/2006/main">
  <authors>
    <author>Informatica</author>
  </authors>
  <commentList>
    <comment ref="G102" authorId="0" shapeId="0">
      <text>
        <r>
          <rPr>
            <b/>
            <sz val="8"/>
            <color indexed="81"/>
            <rFont val="Tahoma"/>
            <family val="2"/>
          </rPr>
          <t>Ingresar Detalle en la Hoja de Amortizaciones</t>
        </r>
        <r>
          <rPr>
            <sz val="8"/>
            <color indexed="81"/>
            <rFont val="Tahoma"/>
            <family val="2"/>
          </rPr>
          <t xml:space="preserve">
</t>
        </r>
      </text>
    </comment>
    <comment ref="D143" authorId="0" shapeId="0">
      <text>
        <r>
          <rPr>
            <b/>
            <sz val="8"/>
            <color indexed="81"/>
            <rFont val="Tahoma"/>
            <family val="2"/>
          </rPr>
          <t>Ingresar Detalle en la hoja de Amortizaciones</t>
        </r>
      </text>
    </comment>
  </commentList>
</comments>
</file>

<file path=xl/comments22.xml><?xml version="1.0" encoding="utf-8"?>
<comments xmlns="http://schemas.openxmlformats.org/spreadsheetml/2006/main">
  <authors>
    <author>Informatica</author>
  </authors>
  <commentList>
    <comment ref="G102" authorId="0" shapeId="0">
      <text>
        <r>
          <rPr>
            <b/>
            <sz val="8"/>
            <color indexed="81"/>
            <rFont val="Tahoma"/>
            <family val="2"/>
          </rPr>
          <t>Ingresar Detalle en la Hoja de Amortizaciones</t>
        </r>
        <r>
          <rPr>
            <sz val="8"/>
            <color indexed="81"/>
            <rFont val="Tahoma"/>
            <family val="2"/>
          </rPr>
          <t xml:space="preserve">
</t>
        </r>
      </text>
    </comment>
    <comment ref="D143" authorId="0" shapeId="0">
      <text>
        <r>
          <rPr>
            <b/>
            <sz val="8"/>
            <color indexed="81"/>
            <rFont val="Tahoma"/>
            <family val="2"/>
          </rPr>
          <t>Ingresar Detalle en la hoja de Amortizaciones</t>
        </r>
      </text>
    </comment>
  </commentList>
</comments>
</file>

<file path=xl/comments23.xml><?xml version="1.0" encoding="utf-8"?>
<comments xmlns="http://schemas.openxmlformats.org/spreadsheetml/2006/main">
  <authors>
    <author>Informatica</author>
  </authors>
  <commentList>
    <comment ref="G102" authorId="0" shapeId="0">
      <text>
        <r>
          <rPr>
            <b/>
            <sz val="8"/>
            <color indexed="81"/>
            <rFont val="Tahoma"/>
            <family val="2"/>
          </rPr>
          <t>Ingresar Detalle en la Hoja de Amortizaciones</t>
        </r>
        <r>
          <rPr>
            <sz val="8"/>
            <color indexed="81"/>
            <rFont val="Tahoma"/>
            <family val="2"/>
          </rPr>
          <t xml:space="preserve">
</t>
        </r>
      </text>
    </comment>
    <comment ref="D143" authorId="0" shapeId="0">
      <text>
        <r>
          <rPr>
            <b/>
            <sz val="8"/>
            <color indexed="81"/>
            <rFont val="Tahoma"/>
            <family val="2"/>
          </rPr>
          <t>Ingresar Detalle en la hoja de Amortizaciones</t>
        </r>
      </text>
    </comment>
  </commentList>
</comments>
</file>

<file path=xl/comments24.xml><?xml version="1.0" encoding="utf-8"?>
<comments xmlns="http://schemas.openxmlformats.org/spreadsheetml/2006/main">
  <authors>
    <author>Informatica</author>
  </authors>
  <commentList>
    <comment ref="G102" authorId="0" shapeId="0">
      <text>
        <r>
          <rPr>
            <b/>
            <sz val="8"/>
            <color indexed="81"/>
            <rFont val="Tahoma"/>
            <family val="2"/>
          </rPr>
          <t>Ingresar Detalle en la Hoja de Amortizaciones</t>
        </r>
        <r>
          <rPr>
            <sz val="8"/>
            <color indexed="81"/>
            <rFont val="Tahoma"/>
            <family val="2"/>
          </rPr>
          <t xml:space="preserve">
</t>
        </r>
      </text>
    </comment>
    <comment ref="D143" authorId="0" shapeId="0">
      <text>
        <r>
          <rPr>
            <b/>
            <sz val="8"/>
            <color indexed="81"/>
            <rFont val="Tahoma"/>
            <family val="2"/>
          </rPr>
          <t>Ingresar Detalle en la hoja de Amortizaciones</t>
        </r>
      </text>
    </comment>
  </commentList>
</comments>
</file>

<file path=xl/comments25.xml><?xml version="1.0" encoding="utf-8"?>
<comments xmlns="http://schemas.openxmlformats.org/spreadsheetml/2006/main">
  <authors>
    <author>Informatica</author>
  </authors>
  <commentList>
    <comment ref="G102" authorId="0" shapeId="0">
      <text>
        <r>
          <rPr>
            <b/>
            <sz val="8"/>
            <color indexed="81"/>
            <rFont val="Tahoma"/>
            <family val="2"/>
          </rPr>
          <t>Ingresar Detalle en la Hoja de Amortizaciones</t>
        </r>
        <r>
          <rPr>
            <sz val="8"/>
            <color indexed="81"/>
            <rFont val="Tahoma"/>
            <family val="2"/>
          </rPr>
          <t xml:space="preserve">
</t>
        </r>
      </text>
    </comment>
    <comment ref="D143" authorId="0" shapeId="0">
      <text>
        <r>
          <rPr>
            <b/>
            <sz val="8"/>
            <color indexed="81"/>
            <rFont val="Tahoma"/>
            <family val="2"/>
          </rPr>
          <t>Ingresar Detalle en la hoja de Amortizaciones</t>
        </r>
      </text>
    </comment>
  </commentList>
</comments>
</file>

<file path=xl/comments26.xml><?xml version="1.0" encoding="utf-8"?>
<comments xmlns="http://schemas.openxmlformats.org/spreadsheetml/2006/main">
  <authors>
    <author>Informatica</author>
  </authors>
  <commentList>
    <comment ref="G102" authorId="0" shapeId="0">
      <text>
        <r>
          <rPr>
            <b/>
            <sz val="8"/>
            <color indexed="81"/>
            <rFont val="Tahoma"/>
            <family val="2"/>
          </rPr>
          <t>Ingresar Detalle en la Hoja de Amortizaciones</t>
        </r>
        <r>
          <rPr>
            <sz val="8"/>
            <color indexed="81"/>
            <rFont val="Tahoma"/>
            <family val="2"/>
          </rPr>
          <t xml:space="preserve">
</t>
        </r>
      </text>
    </comment>
    <comment ref="D143" authorId="0" shapeId="0">
      <text>
        <r>
          <rPr>
            <b/>
            <sz val="8"/>
            <color indexed="81"/>
            <rFont val="Tahoma"/>
            <family val="2"/>
          </rPr>
          <t>Ingresar Detalle en la hoja de Amortizaciones</t>
        </r>
      </text>
    </comment>
  </commentList>
</comments>
</file>

<file path=xl/comments27.xml><?xml version="1.0" encoding="utf-8"?>
<comments xmlns="http://schemas.openxmlformats.org/spreadsheetml/2006/main">
  <authors>
    <author>Informatica</author>
  </authors>
  <commentList>
    <comment ref="G102" authorId="0" shapeId="0">
      <text>
        <r>
          <rPr>
            <b/>
            <sz val="8"/>
            <color indexed="81"/>
            <rFont val="Tahoma"/>
            <family val="2"/>
          </rPr>
          <t>Ingresar Detalle en la Hoja de Amortizaciones</t>
        </r>
        <r>
          <rPr>
            <sz val="8"/>
            <color indexed="81"/>
            <rFont val="Tahoma"/>
            <family val="2"/>
          </rPr>
          <t xml:space="preserve">
</t>
        </r>
      </text>
    </comment>
    <comment ref="D143" authorId="0" shapeId="0">
      <text>
        <r>
          <rPr>
            <b/>
            <sz val="8"/>
            <color indexed="81"/>
            <rFont val="Tahoma"/>
            <family val="2"/>
          </rPr>
          <t>Ingresar Detalle en la hoja de Amortizaciones</t>
        </r>
      </text>
    </comment>
  </commentList>
</comments>
</file>

<file path=xl/comments28.xml><?xml version="1.0" encoding="utf-8"?>
<comments xmlns="http://schemas.openxmlformats.org/spreadsheetml/2006/main">
  <authors>
    <author>Informatica</author>
  </authors>
  <commentList>
    <comment ref="G102" authorId="0" shapeId="0">
      <text>
        <r>
          <rPr>
            <b/>
            <sz val="8"/>
            <color indexed="81"/>
            <rFont val="Tahoma"/>
            <family val="2"/>
          </rPr>
          <t>Ingresar Detalle en la Hoja de Amortizaciones</t>
        </r>
        <r>
          <rPr>
            <sz val="8"/>
            <color indexed="81"/>
            <rFont val="Tahoma"/>
            <family val="2"/>
          </rPr>
          <t xml:space="preserve">
</t>
        </r>
      </text>
    </comment>
    <comment ref="D143" authorId="0" shapeId="0">
      <text>
        <r>
          <rPr>
            <b/>
            <sz val="8"/>
            <color indexed="81"/>
            <rFont val="Tahoma"/>
            <family val="2"/>
          </rPr>
          <t>Ingresar Detalle en la hoja de Amortizaciones</t>
        </r>
      </text>
    </comment>
  </commentList>
</comments>
</file>

<file path=xl/comments29.xml><?xml version="1.0" encoding="utf-8"?>
<comments xmlns="http://schemas.openxmlformats.org/spreadsheetml/2006/main">
  <authors>
    <author>Informatica</author>
  </authors>
  <commentList>
    <comment ref="G102" authorId="0" shapeId="0">
      <text>
        <r>
          <rPr>
            <b/>
            <sz val="8"/>
            <color indexed="81"/>
            <rFont val="Tahoma"/>
            <family val="2"/>
          </rPr>
          <t>Ingresar Detalle en la Hoja de Amortizaciones</t>
        </r>
        <r>
          <rPr>
            <sz val="8"/>
            <color indexed="81"/>
            <rFont val="Tahoma"/>
            <family val="2"/>
          </rPr>
          <t xml:space="preserve">
</t>
        </r>
      </text>
    </comment>
    <comment ref="D143" authorId="0" shapeId="0">
      <text>
        <r>
          <rPr>
            <b/>
            <sz val="8"/>
            <color indexed="81"/>
            <rFont val="Tahoma"/>
            <family val="2"/>
          </rPr>
          <t>Ingresar Detalle en la hoja de Amortizaciones</t>
        </r>
      </text>
    </comment>
  </commentList>
</comments>
</file>

<file path=xl/comments3.xml><?xml version="1.0" encoding="utf-8"?>
<comments xmlns="http://schemas.openxmlformats.org/spreadsheetml/2006/main">
  <authors>
    <author>Informatica</author>
  </authors>
  <commentList>
    <comment ref="G102" authorId="0" shapeId="0">
      <text>
        <r>
          <rPr>
            <b/>
            <sz val="8"/>
            <color indexed="81"/>
            <rFont val="Tahoma"/>
            <family val="2"/>
          </rPr>
          <t>Ingresar Detalle en la Hoja de Amortizaciones</t>
        </r>
        <r>
          <rPr>
            <sz val="8"/>
            <color indexed="81"/>
            <rFont val="Tahoma"/>
            <family val="2"/>
          </rPr>
          <t xml:space="preserve">
</t>
        </r>
      </text>
    </comment>
    <comment ref="D143" authorId="0" shapeId="0">
      <text>
        <r>
          <rPr>
            <b/>
            <sz val="8"/>
            <color indexed="81"/>
            <rFont val="Tahoma"/>
            <family val="2"/>
          </rPr>
          <t>Ingresar Detalle en la hoja de Amortizaciones</t>
        </r>
      </text>
    </comment>
  </commentList>
</comments>
</file>

<file path=xl/comments30.xml><?xml version="1.0" encoding="utf-8"?>
<comments xmlns="http://schemas.openxmlformats.org/spreadsheetml/2006/main">
  <authors>
    <author>Informatica</author>
  </authors>
  <commentList>
    <comment ref="G102" authorId="0" shapeId="0">
      <text>
        <r>
          <rPr>
            <b/>
            <sz val="8"/>
            <color indexed="81"/>
            <rFont val="Tahoma"/>
            <family val="2"/>
          </rPr>
          <t>Ingresar Detalle en la Hoja de Amortizaciones</t>
        </r>
        <r>
          <rPr>
            <sz val="8"/>
            <color indexed="81"/>
            <rFont val="Tahoma"/>
            <family val="2"/>
          </rPr>
          <t xml:space="preserve">
</t>
        </r>
      </text>
    </comment>
    <comment ref="D143" authorId="0" shapeId="0">
      <text>
        <r>
          <rPr>
            <b/>
            <sz val="8"/>
            <color indexed="81"/>
            <rFont val="Tahoma"/>
            <family val="2"/>
          </rPr>
          <t>Ingresar Detalle en la hoja de Amortizaciones</t>
        </r>
      </text>
    </comment>
  </commentList>
</comments>
</file>

<file path=xl/comments31.xml><?xml version="1.0" encoding="utf-8"?>
<comments xmlns="http://schemas.openxmlformats.org/spreadsheetml/2006/main">
  <authors>
    <author>Informatica</author>
  </authors>
  <commentList>
    <comment ref="G102" authorId="0" shapeId="0">
      <text>
        <r>
          <rPr>
            <b/>
            <sz val="8"/>
            <color indexed="81"/>
            <rFont val="Tahoma"/>
            <family val="2"/>
          </rPr>
          <t>Ingresar Detalle en la Hoja de Amortizaciones</t>
        </r>
        <r>
          <rPr>
            <sz val="8"/>
            <color indexed="81"/>
            <rFont val="Tahoma"/>
            <family val="2"/>
          </rPr>
          <t xml:space="preserve">
</t>
        </r>
      </text>
    </comment>
    <comment ref="D143" authorId="0" shapeId="0">
      <text>
        <r>
          <rPr>
            <b/>
            <sz val="8"/>
            <color indexed="81"/>
            <rFont val="Tahoma"/>
            <family val="2"/>
          </rPr>
          <t>Ingresar Detalle en la hoja de Amortizaciones</t>
        </r>
      </text>
    </comment>
  </commentList>
</comments>
</file>

<file path=xl/comments32.xml><?xml version="1.0" encoding="utf-8"?>
<comments xmlns="http://schemas.openxmlformats.org/spreadsheetml/2006/main">
  <authors>
    <author>Informatica</author>
  </authors>
  <commentList>
    <comment ref="G102" authorId="0" shapeId="0">
      <text>
        <r>
          <rPr>
            <b/>
            <sz val="8"/>
            <color indexed="81"/>
            <rFont val="Tahoma"/>
            <family val="2"/>
          </rPr>
          <t>Ingresar Detalle en la Hoja de Amortizaciones</t>
        </r>
        <r>
          <rPr>
            <sz val="8"/>
            <color indexed="81"/>
            <rFont val="Tahoma"/>
            <family val="2"/>
          </rPr>
          <t xml:space="preserve">
</t>
        </r>
      </text>
    </comment>
    <comment ref="D143" authorId="0" shapeId="0">
      <text>
        <r>
          <rPr>
            <b/>
            <sz val="8"/>
            <color indexed="81"/>
            <rFont val="Tahoma"/>
            <family val="2"/>
          </rPr>
          <t>Ingresar Detalle en la hoja de Amortizaciones</t>
        </r>
      </text>
    </comment>
  </commentList>
</comments>
</file>

<file path=xl/comments33.xml><?xml version="1.0" encoding="utf-8"?>
<comments xmlns="http://schemas.openxmlformats.org/spreadsheetml/2006/main">
  <authors>
    <author>Informatica</author>
  </authors>
  <commentList>
    <comment ref="G102" authorId="0" shapeId="0">
      <text>
        <r>
          <rPr>
            <b/>
            <sz val="8"/>
            <color indexed="81"/>
            <rFont val="Tahoma"/>
            <family val="2"/>
          </rPr>
          <t>Ingresar Detalle en la Hoja de Amortizaciones</t>
        </r>
        <r>
          <rPr>
            <sz val="8"/>
            <color indexed="81"/>
            <rFont val="Tahoma"/>
            <family val="2"/>
          </rPr>
          <t xml:space="preserve">
</t>
        </r>
      </text>
    </comment>
    <comment ref="D143" authorId="0" shapeId="0">
      <text>
        <r>
          <rPr>
            <b/>
            <sz val="8"/>
            <color indexed="81"/>
            <rFont val="Tahoma"/>
            <family val="2"/>
          </rPr>
          <t>Ingresar Detalle en la hoja de Amortizaciones</t>
        </r>
      </text>
    </comment>
  </commentList>
</comments>
</file>

<file path=xl/comments34.xml><?xml version="1.0" encoding="utf-8"?>
<comments xmlns="http://schemas.openxmlformats.org/spreadsheetml/2006/main">
  <authors>
    <author>Informatica</author>
  </authors>
  <commentList>
    <comment ref="G102" authorId="0" shapeId="0">
      <text>
        <r>
          <rPr>
            <b/>
            <sz val="8"/>
            <color indexed="81"/>
            <rFont val="Tahoma"/>
            <family val="2"/>
          </rPr>
          <t>Ingresar Detalle en la Hoja de Amortizaciones</t>
        </r>
        <r>
          <rPr>
            <sz val="8"/>
            <color indexed="81"/>
            <rFont val="Tahoma"/>
            <family val="2"/>
          </rPr>
          <t xml:space="preserve">
</t>
        </r>
      </text>
    </comment>
    <comment ref="D143" authorId="0" shapeId="0">
      <text>
        <r>
          <rPr>
            <b/>
            <sz val="8"/>
            <color indexed="81"/>
            <rFont val="Tahoma"/>
            <family val="2"/>
          </rPr>
          <t>Ingresar Detalle en la hoja de Amortizaciones</t>
        </r>
      </text>
    </comment>
  </commentList>
</comments>
</file>

<file path=xl/comments35.xml><?xml version="1.0" encoding="utf-8"?>
<comments xmlns="http://schemas.openxmlformats.org/spreadsheetml/2006/main">
  <authors>
    <author>Informatica</author>
  </authors>
  <commentList>
    <comment ref="G102" authorId="0" shapeId="0">
      <text>
        <r>
          <rPr>
            <b/>
            <sz val="8"/>
            <color indexed="81"/>
            <rFont val="Tahoma"/>
            <family val="2"/>
          </rPr>
          <t>Ingresar Detalle en la Hoja de Amortizaciones</t>
        </r>
        <r>
          <rPr>
            <sz val="8"/>
            <color indexed="81"/>
            <rFont val="Tahoma"/>
            <family val="2"/>
          </rPr>
          <t xml:space="preserve">
</t>
        </r>
      </text>
    </comment>
    <comment ref="D143" authorId="0" shapeId="0">
      <text>
        <r>
          <rPr>
            <b/>
            <sz val="8"/>
            <color indexed="81"/>
            <rFont val="Tahoma"/>
            <family val="2"/>
          </rPr>
          <t>Ingresar Detalle en la hoja de Amortizaciones</t>
        </r>
      </text>
    </comment>
  </commentList>
</comments>
</file>

<file path=xl/comments36.xml><?xml version="1.0" encoding="utf-8"?>
<comments xmlns="http://schemas.openxmlformats.org/spreadsheetml/2006/main">
  <authors>
    <author>Informatica</author>
  </authors>
  <commentList>
    <comment ref="G102" authorId="0" shapeId="0">
      <text>
        <r>
          <rPr>
            <b/>
            <sz val="8"/>
            <color indexed="81"/>
            <rFont val="Tahoma"/>
            <family val="2"/>
          </rPr>
          <t>Ingresar Detalle en la Hoja de Amortizaciones</t>
        </r>
        <r>
          <rPr>
            <sz val="8"/>
            <color indexed="81"/>
            <rFont val="Tahoma"/>
            <family val="2"/>
          </rPr>
          <t xml:space="preserve">
</t>
        </r>
      </text>
    </comment>
    <comment ref="D143" authorId="0" shapeId="0">
      <text>
        <r>
          <rPr>
            <b/>
            <sz val="8"/>
            <color indexed="81"/>
            <rFont val="Tahoma"/>
            <family val="2"/>
          </rPr>
          <t>Ingresar Detalle en la hoja de Amortizaciones</t>
        </r>
      </text>
    </comment>
  </commentList>
</comments>
</file>

<file path=xl/comments4.xml><?xml version="1.0" encoding="utf-8"?>
<comments xmlns="http://schemas.openxmlformats.org/spreadsheetml/2006/main">
  <authors>
    <author>Informatica</author>
  </authors>
  <commentList>
    <comment ref="G102" authorId="0" shapeId="0">
      <text>
        <r>
          <rPr>
            <b/>
            <sz val="8"/>
            <color indexed="81"/>
            <rFont val="Tahoma"/>
            <family val="2"/>
          </rPr>
          <t>Ingresar Detalle en la Hoja de Amortizaciones</t>
        </r>
        <r>
          <rPr>
            <sz val="8"/>
            <color indexed="81"/>
            <rFont val="Tahoma"/>
            <family val="2"/>
          </rPr>
          <t xml:space="preserve">
</t>
        </r>
      </text>
    </comment>
    <comment ref="D143" authorId="0" shapeId="0">
      <text>
        <r>
          <rPr>
            <b/>
            <sz val="8"/>
            <color indexed="81"/>
            <rFont val="Tahoma"/>
            <family val="2"/>
          </rPr>
          <t>Ingresar Detalle en la hoja de Amortizaciones</t>
        </r>
      </text>
    </comment>
  </commentList>
</comments>
</file>

<file path=xl/comments5.xml><?xml version="1.0" encoding="utf-8"?>
<comments xmlns="http://schemas.openxmlformats.org/spreadsheetml/2006/main">
  <authors>
    <author>Informatica</author>
  </authors>
  <commentList>
    <comment ref="G102" authorId="0" shapeId="0">
      <text>
        <r>
          <rPr>
            <b/>
            <sz val="8"/>
            <color indexed="81"/>
            <rFont val="Tahoma"/>
            <family val="2"/>
          </rPr>
          <t>Ingresar Detalle en la Hoja de Amortizaciones</t>
        </r>
        <r>
          <rPr>
            <sz val="8"/>
            <color indexed="81"/>
            <rFont val="Tahoma"/>
            <family val="2"/>
          </rPr>
          <t xml:space="preserve">
</t>
        </r>
      </text>
    </comment>
    <comment ref="D143" authorId="0" shapeId="0">
      <text>
        <r>
          <rPr>
            <b/>
            <sz val="8"/>
            <color indexed="81"/>
            <rFont val="Tahoma"/>
            <family val="2"/>
          </rPr>
          <t>Ingresar Detalle en la hoja de Amortizaciones</t>
        </r>
      </text>
    </comment>
  </commentList>
</comments>
</file>

<file path=xl/comments6.xml><?xml version="1.0" encoding="utf-8"?>
<comments xmlns="http://schemas.openxmlformats.org/spreadsheetml/2006/main">
  <authors>
    <author>Informatica</author>
  </authors>
  <commentList>
    <comment ref="G102" authorId="0" shapeId="0">
      <text>
        <r>
          <rPr>
            <b/>
            <sz val="8"/>
            <color indexed="81"/>
            <rFont val="Tahoma"/>
            <family val="2"/>
          </rPr>
          <t>Ingresar Detalle en la Hoja de Amortizaciones</t>
        </r>
        <r>
          <rPr>
            <sz val="8"/>
            <color indexed="81"/>
            <rFont val="Tahoma"/>
            <family val="2"/>
          </rPr>
          <t xml:space="preserve">
</t>
        </r>
      </text>
    </comment>
    <comment ref="D143" authorId="0" shapeId="0">
      <text>
        <r>
          <rPr>
            <b/>
            <sz val="8"/>
            <color indexed="81"/>
            <rFont val="Tahoma"/>
            <family val="2"/>
          </rPr>
          <t>Ingresar Detalle en la hoja de Amortizaciones</t>
        </r>
      </text>
    </comment>
  </commentList>
</comments>
</file>

<file path=xl/comments7.xml><?xml version="1.0" encoding="utf-8"?>
<comments xmlns="http://schemas.openxmlformats.org/spreadsheetml/2006/main">
  <authors>
    <author>Informatica</author>
  </authors>
  <commentList>
    <comment ref="G102" authorId="0" shapeId="0">
      <text>
        <r>
          <rPr>
            <b/>
            <sz val="8"/>
            <color indexed="81"/>
            <rFont val="Tahoma"/>
            <family val="2"/>
          </rPr>
          <t>Ingresar Detalle en la Hoja de Amortizaciones</t>
        </r>
        <r>
          <rPr>
            <sz val="8"/>
            <color indexed="81"/>
            <rFont val="Tahoma"/>
            <family val="2"/>
          </rPr>
          <t xml:space="preserve">
</t>
        </r>
      </text>
    </comment>
    <comment ref="D143" authorId="0" shapeId="0">
      <text>
        <r>
          <rPr>
            <b/>
            <sz val="8"/>
            <color indexed="81"/>
            <rFont val="Tahoma"/>
            <family val="2"/>
          </rPr>
          <t>Ingresar Detalle en la hoja de Amortizaciones</t>
        </r>
      </text>
    </comment>
  </commentList>
</comments>
</file>

<file path=xl/comments8.xml><?xml version="1.0" encoding="utf-8"?>
<comments xmlns="http://schemas.openxmlformats.org/spreadsheetml/2006/main">
  <authors>
    <author>Informatica</author>
  </authors>
  <commentList>
    <comment ref="G102" authorId="0" shapeId="0">
      <text>
        <r>
          <rPr>
            <b/>
            <sz val="8"/>
            <color indexed="81"/>
            <rFont val="Tahoma"/>
            <family val="2"/>
          </rPr>
          <t>Ingresar Detalle en la Hoja de Amortizaciones</t>
        </r>
        <r>
          <rPr>
            <sz val="8"/>
            <color indexed="81"/>
            <rFont val="Tahoma"/>
            <family val="2"/>
          </rPr>
          <t xml:space="preserve">
</t>
        </r>
      </text>
    </comment>
    <comment ref="D143" authorId="0" shapeId="0">
      <text>
        <r>
          <rPr>
            <b/>
            <sz val="8"/>
            <color indexed="81"/>
            <rFont val="Tahoma"/>
            <family val="2"/>
          </rPr>
          <t>Ingresar Detalle en la hoja de Amortizaciones</t>
        </r>
      </text>
    </comment>
  </commentList>
</comments>
</file>

<file path=xl/comments9.xml><?xml version="1.0" encoding="utf-8"?>
<comments xmlns="http://schemas.openxmlformats.org/spreadsheetml/2006/main">
  <authors>
    <author>Informatica</author>
  </authors>
  <commentList>
    <comment ref="G102" authorId="0" shapeId="0">
      <text>
        <r>
          <rPr>
            <b/>
            <sz val="8"/>
            <color indexed="81"/>
            <rFont val="Tahoma"/>
            <family val="2"/>
          </rPr>
          <t>Ingresar Detalle en la Hoja de Amortizaciones</t>
        </r>
        <r>
          <rPr>
            <sz val="8"/>
            <color indexed="81"/>
            <rFont val="Tahoma"/>
            <family val="2"/>
          </rPr>
          <t xml:space="preserve">
</t>
        </r>
      </text>
    </comment>
    <comment ref="D143" authorId="0" shapeId="0">
      <text>
        <r>
          <rPr>
            <b/>
            <sz val="8"/>
            <color indexed="81"/>
            <rFont val="Tahoma"/>
            <family val="2"/>
          </rPr>
          <t>Ingresar Detalle en la hoja de Amortizaciones</t>
        </r>
      </text>
    </comment>
  </commentList>
</comments>
</file>

<file path=xl/sharedStrings.xml><?xml version="1.0" encoding="utf-8"?>
<sst xmlns="http://schemas.openxmlformats.org/spreadsheetml/2006/main" count="20463" uniqueCount="520">
  <si>
    <t>INSTITUCION:</t>
  </si>
  <si>
    <t>DEPARTAMENTO:</t>
  </si>
  <si>
    <t xml:space="preserve"> ESTADO DE RESULTADOS Y OTROS RESULTADOS INTEGRALES período:</t>
  </si>
  <si>
    <t>01-10-19 al 30-09-20</t>
  </si>
  <si>
    <t xml:space="preserve">INGRESOS   </t>
  </si>
  <si>
    <t>En Pesos Uruguayos</t>
  </si>
  <si>
    <t>EGRESOS</t>
  </si>
  <si>
    <t>INGRESOS OPERATIVOS</t>
  </si>
  <si>
    <t>COSTO DE LOS SERVICIOS PRESTADOS</t>
  </si>
  <si>
    <t>510.101</t>
  </si>
  <si>
    <t>Cuotas Afiliados Individuales</t>
  </si>
  <si>
    <t>610.101</t>
  </si>
  <si>
    <t>Dirección y Gerencias Técnicas</t>
  </si>
  <si>
    <t>510.102</t>
  </si>
  <si>
    <t>Cuotas Afiliados Colectivos</t>
  </si>
  <si>
    <t>610.102</t>
  </si>
  <si>
    <t>Rem. Fijas Anestésico Quirúrgicos</t>
  </si>
  <si>
    <t>510.108</t>
  </si>
  <si>
    <t>Cápitas FO.NA.SA.</t>
  </si>
  <si>
    <t>610.103</t>
  </si>
  <si>
    <t>Rem. Variables Anestésico Quirúrgicos</t>
  </si>
  <si>
    <t>510.109</t>
  </si>
  <si>
    <t>Ingresos por Metas Asistenciales FO.NA.SA.</t>
  </si>
  <si>
    <t>610.104</t>
  </si>
  <si>
    <t>Rem. Fijas No Anestésico Quirúrgicos</t>
  </si>
  <si>
    <t>510.110</t>
  </si>
  <si>
    <t>Sustitutivo de Tasas Moderadoras</t>
  </si>
  <si>
    <t>610.105</t>
  </si>
  <si>
    <t>Rem. Variables No Anestésico Quirúrgicos</t>
  </si>
  <si>
    <t>510.111</t>
  </si>
  <si>
    <t>Crédito Fiscal Ley Nº 18.464</t>
  </si>
  <si>
    <t>610.106</t>
  </si>
  <si>
    <t>Rem. Fijas Técnicos No Médicos</t>
  </si>
  <si>
    <t>510.104</t>
  </si>
  <si>
    <t>Cuotas Afiliados Cobertura Parcial</t>
  </si>
  <si>
    <t>610.107</t>
  </si>
  <si>
    <t>Rem. Variables Técnicos No Médicos</t>
  </si>
  <si>
    <t>510.105</t>
  </si>
  <si>
    <t>Cuotas por Emergencia Móvil</t>
  </si>
  <si>
    <t>610.108</t>
  </si>
  <si>
    <t>Personal de Enfermería</t>
  </si>
  <si>
    <t>510.106</t>
  </si>
  <si>
    <t>Ing. Convenios Asistenciales con otras Empresas</t>
  </si>
  <si>
    <t>610.109</t>
  </si>
  <si>
    <t>Personal Administrativo</t>
  </si>
  <si>
    <t>510.107</t>
  </si>
  <si>
    <t>Plan de Asistencia Primera Infancia (P.A.P.I.)</t>
  </si>
  <si>
    <t>610.110</t>
  </si>
  <si>
    <t>Personal de Servicios y Oficios</t>
  </si>
  <si>
    <t>510.113</t>
  </si>
  <si>
    <t>Sobrecuota de Inversión Ley N° 18.922</t>
  </si>
  <si>
    <t>610.111</t>
  </si>
  <si>
    <t>Retiros de Personal Incentivados</t>
  </si>
  <si>
    <t>510.299</t>
  </si>
  <si>
    <t>Otros Ingresos de Prepago</t>
  </si>
  <si>
    <t>610.112</t>
  </si>
  <si>
    <t>Reexpresión Ajuste por Inflación - Retribuciones al Personal</t>
  </si>
  <si>
    <t>510.112</t>
  </si>
  <si>
    <t>Reexpresión Ajuste por Inflación - Ingr. De Prepago</t>
  </si>
  <si>
    <t>Total de Retribuciones al Personal</t>
  </si>
  <si>
    <t>Total de Ingresos de Prepago</t>
  </si>
  <si>
    <t>610.201</t>
  </si>
  <si>
    <t>Cargas Sociales Dirección y Gerencias Técnicas</t>
  </si>
  <si>
    <t xml:space="preserve">Total Ordenes </t>
  </si>
  <si>
    <t>610.202</t>
  </si>
  <si>
    <t>Cargas Sociales Personal Médico</t>
  </si>
  <si>
    <t>510.301</t>
  </si>
  <si>
    <t>Ordenes a Consultorio</t>
  </si>
  <si>
    <t>610.203</t>
  </si>
  <si>
    <t>Cargas Sociales Personal Técnico No Médico</t>
  </si>
  <si>
    <t>510.302</t>
  </si>
  <si>
    <t>Ordenes a Domicilio</t>
  </si>
  <si>
    <t>610.204</t>
  </si>
  <si>
    <t>Cargas Sociales Otro Personal Asistencial</t>
  </si>
  <si>
    <t>510.303</t>
  </si>
  <si>
    <t>Ordenes de Emergencia</t>
  </si>
  <si>
    <t>610.205</t>
  </si>
  <si>
    <t>Aporte Patronal  Fdos de Retiro (Pers. Asistencial)</t>
  </si>
  <si>
    <t>510.304</t>
  </si>
  <si>
    <t>Ordenes de Urgencia a Domicilio</t>
  </si>
  <si>
    <t>610.206</t>
  </si>
  <si>
    <t>Seguro por Accidentes Laborales (B.S.E.)</t>
  </si>
  <si>
    <t>510.305</t>
  </si>
  <si>
    <t>Ordenes Odontológicas</t>
  </si>
  <si>
    <t>610.207</t>
  </si>
  <si>
    <t>Reexpresión Ajuste por Inflación - Cargas Sociales</t>
  </si>
  <si>
    <t>510.399</t>
  </si>
  <si>
    <t>Otras Ordenes</t>
  </si>
  <si>
    <t>Total de Cargas Sociales</t>
  </si>
  <si>
    <t>510.306</t>
  </si>
  <si>
    <t>Reexpresión Ajuste por Inflación - Órdenes</t>
  </si>
  <si>
    <t>610.301</t>
  </si>
  <si>
    <t>Honorarios Médicos y Odontológicos</t>
  </si>
  <si>
    <t>Total Tiques</t>
  </si>
  <si>
    <t>610.302</t>
  </si>
  <si>
    <t>Honorarios Anestésicos Quirúrgicos</t>
  </si>
  <si>
    <t>510.401</t>
  </si>
  <si>
    <t>Tiques de Medicamentos</t>
  </si>
  <si>
    <t>610.303</t>
  </si>
  <si>
    <t>Hon. Prof. No Médicos, por Diag. y/o Tratamientos</t>
  </si>
  <si>
    <t>510.402</t>
  </si>
  <si>
    <t>Tiques de Análisis de Laboratorio</t>
  </si>
  <si>
    <t>610.304</t>
  </si>
  <si>
    <t xml:space="preserve">Reexpresión Ajuste por Inflación - Honorarios Profesionales </t>
  </si>
  <si>
    <t>510.403</t>
  </si>
  <si>
    <t>Tiques Otras Técnicas de Diagnóstico</t>
  </si>
  <si>
    <t>Total de Honorarios Profesionales</t>
  </si>
  <si>
    <t>510.499</t>
  </si>
  <si>
    <t>Otros Tiques</t>
  </si>
  <si>
    <t>Medicamentos Ambulatorios</t>
  </si>
  <si>
    <t>510.404</t>
  </si>
  <si>
    <t>Reexpresión Ajuste por Inflación - Tiques</t>
  </si>
  <si>
    <t>610.401</t>
  </si>
  <si>
    <t>Medic. Oncológicos y Hemato-oncológicos Ambulat.</t>
  </si>
  <si>
    <t>Total de Ordenes y Tiques</t>
  </si>
  <si>
    <t>610.402</t>
  </si>
  <si>
    <t>Medicamentos Contra el SIDA Ambulat.</t>
  </si>
  <si>
    <t>510.501,510.601</t>
  </si>
  <si>
    <t>Venta Serv. Internación Simple</t>
  </si>
  <si>
    <t>610.403</t>
  </si>
  <si>
    <t>Antibióticos Ambulat..</t>
  </si>
  <si>
    <t>510.502,510.602</t>
  </si>
  <si>
    <t>Venta Serv. Internación CTI Adultos</t>
  </si>
  <si>
    <t>610.404</t>
  </si>
  <si>
    <t>Psicofármacos Ambulat.</t>
  </si>
  <si>
    <t>510.503,510.603</t>
  </si>
  <si>
    <t>Venta Serv. Internación CTI Pediátrico</t>
  </si>
  <si>
    <t>610.405</t>
  </si>
  <si>
    <t>Medicamentos Cardiovasculares Ambulat.</t>
  </si>
  <si>
    <t>510.504,510.604</t>
  </si>
  <si>
    <t>Venta Serv. Internación CTI Neonatal</t>
  </si>
  <si>
    <t>610.449</t>
  </si>
  <si>
    <t>Otros Medicamentos Ambulat.</t>
  </si>
  <si>
    <t>510.505,510.605</t>
  </si>
  <si>
    <t>Venta Serv. de Block Quirúrgico</t>
  </si>
  <si>
    <t>Medicamentos Internación</t>
  </si>
  <si>
    <t>510.506,510.606</t>
  </si>
  <si>
    <t>Venta Medicina Altamente Especializada</t>
  </si>
  <si>
    <t>610.451</t>
  </si>
  <si>
    <t>Medicam. Oncológicos  Hemato-oncológicos Inter.</t>
  </si>
  <si>
    <t>510.507,510.508,510.509,510.510,510.607,510.608,510.609,510.610</t>
  </si>
  <si>
    <t>Venta Serv. Ambulatorios</t>
  </si>
  <si>
    <t>610.452</t>
  </si>
  <si>
    <t>Medicamentos Contra el SIDA Inter.</t>
  </si>
  <si>
    <t>510.511,510.611</t>
  </si>
  <si>
    <t>Venta Serv. Odontológicos</t>
  </si>
  <si>
    <t>610.453</t>
  </si>
  <si>
    <t>Antibióticos Inter.</t>
  </si>
  <si>
    <t>510.512,510.612</t>
  </si>
  <si>
    <t>Examen Médico Previo</t>
  </si>
  <si>
    <t>610.454</t>
  </si>
  <si>
    <t>Psicofármacos Inter.</t>
  </si>
  <si>
    <t>510.599,510.699</t>
  </si>
  <si>
    <t>Otras Prestaciones Asistenciales</t>
  </si>
  <si>
    <t>610.455</t>
  </si>
  <si>
    <t>Medicamentos Cardiovasculares Inter.</t>
  </si>
  <si>
    <t>510.513,510.613</t>
  </si>
  <si>
    <t>Reexpresión Ajuste por Inflación - Venta Ss.</t>
  </si>
  <si>
    <t>610.499</t>
  </si>
  <si>
    <t>Otros Medicamentos Inter.</t>
  </si>
  <si>
    <t>Total de Venta de Servicios</t>
  </si>
  <si>
    <t>610.456</t>
  </si>
  <si>
    <t>Reexpresión Ajuste por Inflación - Consumo de Medicamentos</t>
  </si>
  <si>
    <t>Otros Ingresos Operativos</t>
  </si>
  <si>
    <t>Total de Consumos de Medicamentos</t>
  </si>
  <si>
    <t>510.701</t>
  </si>
  <si>
    <t>Reintegro de Gasto Fondo Nacional de Recursos</t>
  </si>
  <si>
    <t>610.501</t>
  </si>
  <si>
    <t>Reactivos y Otros Insumos de Serv. de Apoyo</t>
  </si>
  <si>
    <t>510.799</t>
  </si>
  <si>
    <t>610.502</t>
  </si>
  <si>
    <t>Materiales de Uso Médico</t>
  </si>
  <si>
    <t>510.702</t>
  </si>
  <si>
    <t>Reexpresión Ajuste por Inflación - Otros Ingr. Operativos</t>
  </si>
  <si>
    <t>610.503</t>
  </si>
  <si>
    <t>Oxígeno Líquido</t>
  </si>
  <si>
    <t>Total de Otros Ingresos de Operativos</t>
  </si>
  <si>
    <t>610.504</t>
  </si>
  <si>
    <t>Oxígeno Balones</t>
  </si>
  <si>
    <t>Total de Ingresos Operativos</t>
  </si>
  <si>
    <t>610.505</t>
  </si>
  <si>
    <t>Alimentación</t>
  </si>
  <si>
    <t>610.506</t>
  </si>
  <si>
    <t>Vestimenta</t>
  </si>
  <si>
    <t xml:space="preserve">Descuentos y Bonificaciones </t>
  </si>
  <si>
    <t>610.599</t>
  </si>
  <si>
    <t>Otros Bienes de Consumo</t>
  </si>
  <si>
    <t>510.901</t>
  </si>
  <si>
    <t>Descuentos y Bonificaciones sobre serv. prestados</t>
  </si>
  <si>
    <t>610.507</t>
  </si>
  <si>
    <t>Reexpresión Ajuste por Inflación - Consumo Mat. y Suministros</t>
  </si>
  <si>
    <t>510.902</t>
  </si>
  <si>
    <t>Devolución de Emisión por Afiliados Individuales</t>
  </si>
  <si>
    <t>Total de Consumo de Materiales y Suministros</t>
  </si>
  <si>
    <t>510.903</t>
  </si>
  <si>
    <t>Devolución de Emisión por Afiliados Colectivos</t>
  </si>
  <si>
    <t>610.601</t>
  </si>
  <si>
    <t>Convenios Asistenciales con Otras Empresas</t>
  </si>
  <si>
    <t>510.904</t>
  </si>
  <si>
    <t>Reexpresión Ajuste por Inflación - Dtos. y Bonificaciones</t>
  </si>
  <si>
    <t>610.602</t>
  </si>
  <si>
    <t>Internación en Sanatorios y Hospitales</t>
  </si>
  <si>
    <t>Total Descuentos, Bonificaciones</t>
  </si>
  <si>
    <t>610.603</t>
  </si>
  <si>
    <t>Internación en CTI Adultos</t>
  </si>
  <si>
    <t>Total de Ingresos Operativos Netos</t>
  </si>
  <si>
    <t>610.604</t>
  </si>
  <si>
    <t>Internación en CTI Pediátrico</t>
  </si>
  <si>
    <t>610.605</t>
  </si>
  <si>
    <t>Internación en CTI Neonatal</t>
  </si>
  <si>
    <t>610.606</t>
  </si>
  <si>
    <t xml:space="preserve">Laboratorios de Análisis Clínicos </t>
  </si>
  <si>
    <t>610.901</t>
  </si>
  <si>
    <t>Amortizaciones de Inmuebles-Mejoras</t>
  </si>
  <si>
    <t>610.607</t>
  </si>
  <si>
    <t>Laboratorios de Anatomía Patológica</t>
  </si>
  <si>
    <t>610.902</t>
  </si>
  <si>
    <t>Amortizaciones de Panteones</t>
  </si>
  <si>
    <t>610.608</t>
  </si>
  <si>
    <t>Radiología</t>
  </si>
  <si>
    <t>610.903</t>
  </si>
  <si>
    <t>Amortiz. de Equipos e Instalaciones  Médico-Quirúrgicos</t>
  </si>
  <si>
    <t>610.609</t>
  </si>
  <si>
    <t>Resonancia Magnética</t>
  </si>
  <si>
    <t>610.904</t>
  </si>
  <si>
    <t>Amortizaciones de Equipamiento Centro de IMAE</t>
  </si>
  <si>
    <t>610.610</t>
  </si>
  <si>
    <t>Tomografía Computada</t>
  </si>
  <si>
    <t>610.905</t>
  </si>
  <si>
    <t>Amortizaciones de Maquinarias y Herramientas</t>
  </si>
  <si>
    <t>610.611</t>
  </si>
  <si>
    <t>Angiografía Digital</t>
  </si>
  <si>
    <t>610.906</t>
  </si>
  <si>
    <t>Amortiz. de  Instrumental Médico-Quirúrgico</t>
  </si>
  <si>
    <t>610.612</t>
  </si>
  <si>
    <t>Estudios Oftalmológicos</t>
  </si>
  <si>
    <t>610.907</t>
  </si>
  <si>
    <t>Amortizaciones de Equipamiento Informático</t>
  </si>
  <si>
    <t>610.613</t>
  </si>
  <si>
    <t>Estudios Cardiológicos</t>
  </si>
  <si>
    <t>610.908</t>
  </si>
  <si>
    <t>Amortizaciones de Vehículos</t>
  </si>
  <si>
    <t>610.614</t>
  </si>
  <si>
    <t>Tratamientos Odontológicos</t>
  </si>
  <si>
    <t>610.909</t>
  </si>
  <si>
    <t>Amortizaciones de Muebles y Utiles</t>
  </si>
  <si>
    <t>610.615</t>
  </si>
  <si>
    <t>Servicio de Hemoterapia</t>
  </si>
  <si>
    <t>610.910</t>
  </si>
  <si>
    <t>Amortizaciones de Otros Bienes Durables</t>
  </si>
  <si>
    <t>610.616</t>
  </si>
  <si>
    <t>Servicio de Fisioterapia</t>
  </si>
  <si>
    <t>610.911</t>
  </si>
  <si>
    <t>Amortiz. de Programas de Computacón - Software</t>
  </si>
  <si>
    <t>610.617</t>
  </si>
  <si>
    <t>Servicio de Oxigenoterapia</t>
  </si>
  <si>
    <t>610.912</t>
  </si>
  <si>
    <t>Amortizaciones de Uso de Parcelas Fúnebres</t>
  </si>
  <si>
    <t>610.618</t>
  </si>
  <si>
    <t>Radioterapia</t>
  </si>
  <si>
    <t>610.913</t>
  </si>
  <si>
    <t>Amortiz.  Gtos. de Reorganización - Prog. Fortalec.</t>
  </si>
  <si>
    <t>610.619</t>
  </si>
  <si>
    <t>Locomoción Contratada Asistencial</t>
  </si>
  <si>
    <t>610.900</t>
  </si>
  <si>
    <t>Total de Gastos de Amortizaciones - Cto Serv Prest</t>
  </si>
  <si>
    <t>610.699</t>
  </si>
  <si>
    <t>Otros Servicios Contratados</t>
  </si>
  <si>
    <t>610.620</t>
  </si>
  <si>
    <t>Reexpresión Ajuste por Inflación - Ss de Salud Contratados</t>
  </si>
  <si>
    <t>GASTOS DE ADMINISTRACION Y VENTAS</t>
  </si>
  <si>
    <t>Total de Servicios de Salud Contratados</t>
  </si>
  <si>
    <t>620.501</t>
  </si>
  <si>
    <t>610.701</t>
  </si>
  <si>
    <t>Honorarios Profesionales No Médicos</t>
  </si>
  <si>
    <t>620.502</t>
  </si>
  <si>
    <t>610.702</t>
  </si>
  <si>
    <t>Higiene y Limpieza</t>
  </si>
  <si>
    <t>620.503</t>
  </si>
  <si>
    <t>610.703</t>
  </si>
  <si>
    <t>Combustibles</t>
  </si>
  <si>
    <t>620.504</t>
  </si>
  <si>
    <t>610.704</t>
  </si>
  <si>
    <t>Agua</t>
  </si>
  <si>
    <t>620.505</t>
  </si>
  <si>
    <t>Amortiz. de Gtos. de Constitución</t>
  </si>
  <si>
    <t>610.705</t>
  </si>
  <si>
    <t>Energía Eléctrica</t>
  </si>
  <si>
    <t>620.506</t>
  </si>
  <si>
    <t>Amortiz. de Gtos.  de  Desarrollo</t>
  </si>
  <si>
    <t>610.706</t>
  </si>
  <si>
    <t>Servicios Telefónicos</t>
  </si>
  <si>
    <t>620.507</t>
  </si>
  <si>
    <t>Amortizaciones de Valor Llave Pagada</t>
  </si>
  <si>
    <t>610.707</t>
  </si>
  <si>
    <t>Seguros</t>
  </si>
  <si>
    <t>620.508</t>
  </si>
  <si>
    <t>Amortizaciones de Patentes, Marcas y Licencias</t>
  </si>
  <si>
    <t>610.708</t>
  </si>
  <si>
    <t>Locomoción Contratada No Asistencial</t>
  </si>
  <si>
    <t>620.509</t>
  </si>
  <si>
    <t>Amortiz. de Programas de Computación - Software</t>
  </si>
  <si>
    <t>610.709</t>
  </si>
  <si>
    <t>Fletes</t>
  </si>
  <si>
    <t>620.510</t>
  </si>
  <si>
    <t>610.710</t>
  </si>
  <si>
    <t>Servicios Contratados No Asistenciales</t>
  </si>
  <si>
    <t>620.511</t>
  </si>
  <si>
    <t>610.750</t>
  </si>
  <si>
    <t>Arrendamientos de Inmuebles</t>
  </si>
  <si>
    <t>620.500</t>
  </si>
  <si>
    <t>Total  de Amortizaciones - Adm y Vtas</t>
  </si>
  <si>
    <t>610.751</t>
  </si>
  <si>
    <t>Arrendamientos de Bienes Muebles</t>
  </si>
  <si>
    <t>TOTAL DE AMORTIZACIONES</t>
  </si>
  <si>
    <t>610.752</t>
  </si>
  <si>
    <t>Arrendamientos de Termos de Oxígeno</t>
  </si>
  <si>
    <t>610.799</t>
  </si>
  <si>
    <t>Otros Gastos de Funcionamiento</t>
  </si>
  <si>
    <t>610.753</t>
  </si>
  <si>
    <t>Reexpresión Ajuste por Inflación - Gastos de Funcionamiento</t>
  </si>
  <si>
    <t>Total de Gastos de Funcionamiento</t>
  </si>
  <si>
    <t>610.801</t>
  </si>
  <si>
    <t>Mantenimiento de Inmuebles</t>
  </si>
  <si>
    <t>610.802</t>
  </si>
  <si>
    <t>Mantenimiento de Equipos Médicos</t>
  </si>
  <si>
    <t>610.803</t>
  </si>
  <si>
    <t>Reparaciones y Mantenimiento de Vehículos</t>
  </si>
  <si>
    <t>610.899</t>
  </si>
  <si>
    <t>Mantenimiento de Otros Bienes Durables</t>
  </si>
  <si>
    <t>610.804</t>
  </si>
  <si>
    <t>Reexpresión Ajuste por Inflación - Gastos de Mantenimiento</t>
  </si>
  <si>
    <t>Total de Gastos de Mantenimiento</t>
  </si>
  <si>
    <t>Total de Amortizaciones</t>
  </si>
  <si>
    <t>610.010</t>
  </si>
  <si>
    <t xml:space="preserve">Litigios No Laborales </t>
  </si>
  <si>
    <t>610.011</t>
  </si>
  <si>
    <t xml:space="preserve">Reexpresión Ajuste por Inflación - Otros Costos Ss. Prestados </t>
  </si>
  <si>
    <t>Total Otros Costos de los Servicios Prestados</t>
  </si>
  <si>
    <t xml:space="preserve">Total Costo de los Servicios Prestados </t>
  </si>
  <si>
    <t>RESULTADO BRUTO</t>
  </si>
  <si>
    <t>RESULTADOS DIVERSOS</t>
  </si>
  <si>
    <t>620.101</t>
  </si>
  <si>
    <t>Gerencias Areas No Asistenciales</t>
  </si>
  <si>
    <t>520.001</t>
  </si>
  <si>
    <t>620.102</t>
  </si>
  <si>
    <t>Personal Técnico y Administrativo</t>
  </si>
  <si>
    <t>520.002</t>
  </si>
  <si>
    <t>Arrendamientos de Equipos Médicos</t>
  </si>
  <si>
    <t>620.103</t>
  </si>
  <si>
    <t>520.003</t>
  </si>
  <si>
    <t>Ingreso por Servicio Fúnebre y/o Panteón</t>
  </si>
  <si>
    <t>620.104</t>
  </si>
  <si>
    <t>Cargas Soc. Gerencias Areas No Asistenciales</t>
  </si>
  <si>
    <t>520.004</t>
  </si>
  <si>
    <t>Ingreso por Comisiones de Cobranzas</t>
  </si>
  <si>
    <t>620.105</t>
  </si>
  <si>
    <t>Cargas Sociales Administrativos</t>
  </si>
  <si>
    <t>520.006</t>
  </si>
  <si>
    <t>Ingresos por Inver. en  Empresas Vinculadas</t>
  </si>
  <si>
    <t>620.106</t>
  </si>
  <si>
    <t>Cargas Sociales Personal de Servicios y Oficios</t>
  </si>
  <si>
    <t>520.008</t>
  </si>
  <si>
    <t xml:space="preserve">Ganancia por Venta de Bienes de Uso </t>
  </si>
  <si>
    <t>620.107</t>
  </si>
  <si>
    <t>Ap. Pat. Fdos Retiro (Pers. del Area No Asistencial)</t>
  </si>
  <si>
    <t>520.009</t>
  </si>
  <si>
    <t xml:space="preserve">Donaciones Recibidas </t>
  </si>
  <si>
    <t>620.108</t>
  </si>
  <si>
    <t>Seg. Accidentes Laborales (Bco. de Seg. del Estado)</t>
  </si>
  <si>
    <t>520.010</t>
  </si>
  <si>
    <t>Indemnización por Siniestros</t>
  </si>
  <si>
    <t>620.109</t>
  </si>
  <si>
    <t>Retiros de Personal No Asistencial Incentivados</t>
  </si>
  <si>
    <t>520.011</t>
  </si>
  <si>
    <t>Ingresos por Quita Obtenida - Junta de Acreedores</t>
  </si>
  <si>
    <t>620.110</t>
  </si>
  <si>
    <t>Reexpresión Ajuste por Inflación - Remuneraciones y Cs Ss.</t>
  </si>
  <si>
    <t>520.099</t>
  </si>
  <si>
    <t xml:space="preserve">Otros Ingresos </t>
  </si>
  <si>
    <t>Total de Remuneraciones y Cargas Sociales</t>
  </si>
  <si>
    <t>520.012</t>
  </si>
  <si>
    <t>Reexpresión Ajuste por Inflación - Ingresos Diversos</t>
  </si>
  <si>
    <t>620.201</t>
  </si>
  <si>
    <t>Total de Ingresos Diversos</t>
  </si>
  <si>
    <t>620.202</t>
  </si>
  <si>
    <t>630.002</t>
  </si>
  <si>
    <t>Indemnizaciones por Despido</t>
  </si>
  <si>
    <t>620.203</t>
  </si>
  <si>
    <t>Reexpresión Ajuste por Inflación - Arrendamientos</t>
  </si>
  <si>
    <t>630.003</t>
  </si>
  <si>
    <t>Capacitación del Personal</t>
  </si>
  <si>
    <t>Total de Arrendamientos</t>
  </si>
  <si>
    <t>630.004</t>
  </si>
  <si>
    <t>Gastos del Servicio Fúnebre</t>
  </si>
  <si>
    <t>620.301</t>
  </si>
  <si>
    <t>630.005</t>
  </si>
  <si>
    <t>Gastos de Panteón</t>
  </si>
  <si>
    <t>620.302</t>
  </si>
  <si>
    <t>Papelería y Artículos de Oficina</t>
  </si>
  <si>
    <t>630.006</t>
  </si>
  <si>
    <t xml:space="preserve">Egresos por Inver. en  Empresas Vinculadas </t>
  </si>
  <si>
    <t>620.303</t>
  </si>
  <si>
    <t>630.007</t>
  </si>
  <si>
    <t>Egresos por Comisiones</t>
  </si>
  <si>
    <t>620.304</t>
  </si>
  <si>
    <t>630.009</t>
  </si>
  <si>
    <t>Honorarios y Gastos de Administración del Fiduciario</t>
  </si>
  <si>
    <t>620.305</t>
  </si>
  <si>
    <t>630.010</t>
  </si>
  <si>
    <t>Pérdida por Venta de Bienes de Uso</t>
  </si>
  <si>
    <t>620.306</t>
  </si>
  <si>
    <t>630.011</t>
  </si>
  <si>
    <t>Deudores Incobrables</t>
  </si>
  <si>
    <t>620.307</t>
  </si>
  <si>
    <t>630.012</t>
  </si>
  <si>
    <t>Pérdida por Litigios Laborales</t>
  </si>
  <si>
    <t>620.308</t>
  </si>
  <si>
    <t>Publicidad e Impresos</t>
  </si>
  <si>
    <t>630.013</t>
  </si>
  <si>
    <t>Pérdida por Otros Litigios</t>
  </si>
  <si>
    <t>620.309</t>
  </si>
  <si>
    <t>Servicios Contratados</t>
  </si>
  <si>
    <t>630.015</t>
  </si>
  <si>
    <t>Pérdida por Desvalorizaciones</t>
  </si>
  <si>
    <t>620.399</t>
  </si>
  <si>
    <t>630.016</t>
  </si>
  <si>
    <t>Donaciones Entregadas</t>
  </si>
  <si>
    <t>620.310</t>
  </si>
  <si>
    <t>630.099</t>
  </si>
  <si>
    <t>Otros Egresos Diversos</t>
  </si>
  <si>
    <t>630.014</t>
  </si>
  <si>
    <t>Reexpresión Ajuste por Inflación - Egresos Diversos</t>
  </si>
  <si>
    <t>620.401</t>
  </si>
  <si>
    <t>Total de Egresos Diversos</t>
  </si>
  <si>
    <t>620.499</t>
  </si>
  <si>
    <t>Total de Resultados Diversos</t>
  </si>
  <si>
    <t>620.402</t>
  </si>
  <si>
    <t>Total  de Amortizaciones</t>
  </si>
  <si>
    <t>RESULTADOS FINANCIEROS</t>
  </si>
  <si>
    <t>620.601</t>
  </si>
  <si>
    <t>Impuestos sobre Inmuebles</t>
  </si>
  <si>
    <t>530.001</t>
  </si>
  <si>
    <t>Intereses Ganados</t>
  </si>
  <si>
    <t>620.602</t>
  </si>
  <si>
    <t>Impuestos y Tasas sobre Bienes Muebles</t>
  </si>
  <si>
    <t>530.002</t>
  </si>
  <si>
    <t>Diferencias de Cambio Ganadas</t>
  </si>
  <si>
    <t>620.603</t>
  </si>
  <si>
    <t>I.V.A. Porcentual  No Deducible</t>
  </si>
  <si>
    <t>530.003</t>
  </si>
  <si>
    <t>Descuentos Obtenidos</t>
  </si>
  <si>
    <t>620.604</t>
  </si>
  <si>
    <t>Reexpresión Ajuste por Inflación - Imp., Tasas y Contribuciones</t>
  </si>
  <si>
    <t>530.004</t>
  </si>
  <si>
    <t>Ganancia por tenencia de Títulos Valores</t>
  </si>
  <si>
    <t>Total  Impuestos, Tasas y Contribuciones</t>
  </si>
  <si>
    <t>530.005</t>
  </si>
  <si>
    <t>Intereses Ganados - Fideicomiso</t>
  </si>
  <si>
    <t>620.901</t>
  </si>
  <si>
    <t>Deudores incobrables</t>
  </si>
  <si>
    <t>530.006</t>
  </si>
  <si>
    <t>Ganancia por Ajuste Deuda Concursal</t>
  </si>
  <si>
    <t>620.999</t>
  </si>
  <si>
    <t>Otros Gastos de Administración y Ventas</t>
  </si>
  <si>
    <t>530.007</t>
  </si>
  <si>
    <t>Diferencias de Cambio Ganadas - Capital Social Variable</t>
  </si>
  <si>
    <t>620.902</t>
  </si>
  <si>
    <t>Reexpresión Ajuste por Inflación - Otros GAV</t>
  </si>
  <si>
    <t>530.098</t>
  </si>
  <si>
    <t xml:space="preserve">Resultados Desvalorización Monetaria  </t>
  </si>
  <si>
    <t>Total  Otros Gastos de Administración y Ventas</t>
  </si>
  <si>
    <t>530.099</t>
  </si>
  <si>
    <t>Otros Ingresos Financieros</t>
  </si>
  <si>
    <t>Total de Gastos de Administración y Ventas</t>
  </si>
  <si>
    <t>530.008</t>
  </si>
  <si>
    <t>Reexpresión Ajuste por Inflación - Ingresos Financieros</t>
  </si>
  <si>
    <t>Total de Ingresos Financieros</t>
  </si>
  <si>
    <t>RESULTADO OPERATIVO</t>
  </si>
  <si>
    <t>640.001</t>
  </si>
  <si>
    <t>Intereses  Bancarios Perdidos</t>
  </si>
  <si>
    <t>640.002</t>
  </si>
  <si>
    <t>Diferencias de Cambio Perdidas</t>
  </si>
  <si>
    <t>640.003</t>
  </si>
  <si>
    <t>Descuentos Concedidos</t>
  </si>
  <si>
    <t>640.004</t>
  </si>
  <si>
    <t>Pérdida por tenencia de Títulos Valores</t>
  </si>
  <si>
    <t>640.005</t>
  </si>
  <si>
    <t>Recargos Financieros</t>
  </si>
  <si>
    <t>640.006</t>
  </si>
  <si>
    <t>Multas y Recargos Fiscales</t>
  </si>
  <si>
    <t>640.007</t>
  </si>
  <si>
    <t>Intereses Perdidos</t>
  </si>
  <si>
    <t>640.010</t>
  </si>
  <si>
    <t>Pérdida por Ajuste Deudas Laborales Fondo Fideicomiso</t>
  </si>
  <si>
    <t>640.011</t>
  </si>
  <si>
    <t>Pérdida por Ajuste Deuda Concursal</t>
  </si>
  <si>
    <t>640.012</t>
  </si>
  <si>
    <t>Diferencias de Cambio Perdidas - Capital Social Variable</t>
  </si>
  <si>
    <t>640.098</t>
  </si>
  <si>
    <t>Resultados Desvalorización Monetaria</t>
  </si>
  <si>
    <t>640.099</t>
  </si>
  <si>
    <t>Otros Egresos Financieros</t>
  </si>
  <si>
    <t>640.013</t>
  </si>
  <si>
    <t>Reexpresión Ajuste por Inflación - Egresos Financieros</t>
  </si>
  <si>
    <t>Total de Egresos Financieros</t>
  </si>
  <si>
    <t>Total de Resultados Financieros</t>
  </si>
  <si>
    <t>RESULTADOS DEL EJERCICIO</t>
  </si>
  <si>
    <t>OTROS RESULTADOS INTEGRALES</t>
  </si>
  <si>
    <t>Cambios en el Valor Razonable de Instrumentos Financieros</t>
  </si>
  <si>
    <t>Resultado por Conversión</t>
  </si>
  <si>
    <t>Revaluación Propiedad, Planta y Equipo</t>
  </si>
  <si>
    <t xml:space="preserve">Total Otros Resultados Integrales </t>
  </si>
  <si>
    <t>RESULTADO INTEGRAL TOTAL  DEL EJERCICIO</t>
  </si>
  <si>
    <t>Montevideo</t>
  </si>
  <si>
    <t>Interior</t>
  </si>
  <si>
    <t>CASMU IAMPP</t>
  </si>
  <si>
    <t>Total Montevideo</t>
  </si>
  <si>
    <t>Total Interior</t>
  </si>
  <si>
    <t>Total País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</si>
</sst>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quot;   &quot;;[Red]\-#,##0&quot;   &quot;"/>
    <numFmt numFmtId="165" formatCode="#,##0&quot;   &quot;;\-#,##0&quot;   &quot;"/>
  </numFmts>
  <fonts count="32" x14ac:knownFonts="1">
    <font>
      <sz val="11"/>
      <color theme="1"/>
      <name val="Calibri"/>
      <family val="2"/>
      <scheme val="minor"/>
    </font>
    <font>
      <sz val="10"/>
      <color rgb="FFFF0000"/>
      <name val="Arial"/>
      <family val="2"/>
    </font>
    <font>
      <b/>
      <sz val="8"/>
      <name val="Arial"/>
      <family val="2"/>
    </font>
    <font>
      <b/>
      <sz val="12"/>
      <color theme="0"/>
      <name val="Arial"/>
      <family val="2"/>
    </font>
    <font>
      <sz val="12"/>
      <color theme="0"/>
      <name val="Arial"/>
      <family val="2"/>
    </font>
    <font>
      <b/>
      <sz val="12"/>
      <name val="Arial"/>
      <family val="2"/>
    </font>
    <font>
      <sz val="8"/>
      <name val="Arial"/>
      <family val="2"/>
    </font>
    <font>
      <sz val="10"/>
      <name val="Arial"/>
      <family val="2"/>
    </font>
    <font>
      <b/>
      <sz val="10"/>
      <name val="Arial"/>
      <family val="2"/>
    </font>
    <font>
      <b/>
      <sz val="10"/>
      <color theme="0"/>
      <name val="Arial"/>
      <family val="2"/>
    </font>
    <font>
      <sz val="12"/>
      <name val="Arial"/>
      <family val="2"/>
    </font>
    <font>
      <b/>
      <sz val="12"/>
      <color indexed="9"/>
      <name val="Arial"/>
      <family val="2"/>
    </font>
    <font>
      <sz val="8"/>
      <color theme="0"/>
      <name val="Arial"/>
      <family val="2"/>
    </font>
    <font>
      <b/>
      <sz val="10"/>
      <color indexed="9"/>
      <name val="Arial"/>
      <family val="2"/>
    </font>
    <font>
      <b/>
      <i/>
      <sz val="10"/>
      <name val="Arial"/>
      <family val="2"/>
    </font>
    <font>
      <sz val="10"/>
      <color indexed="9"/>
      <name val="Arial"/>
      <family val="2"/>
    </font>
    <font>
      <sz val="10"/>
      <color theme="0"/>
      <name val="Arial"/>
      <family val="2"/>
    </font>
    <font>
      <sz val="12"/>
      <color theme="1"/>
      <name val="Arial"/>
      <family val="2"/>
    </font>
    <font>
      <sz val="10"/>
      <color theme="1"/>
      <name val="Arial"/>
      <family val="2"/>
    </font>
    <font>
      <b/>
      <sz val="8"/>
      <color indexed="81"/>
      <name val="Tahoma"/>
      <family val="2"/>
    </font>
    <font>
      <sz val="8"/>
      <color indexed="81"/>
      <name val="Tahoma"/>
      <family val="2"/>
    </font>
    <font>
      <b/>
      <sz val="12"/>
      <color rgb="FFFFFFFF"/>
      <name val="Arial"/>
      <family val="2"/>
    </font>
    <font>
      <b/>
      <sz val="10"/>
      <color rgb="FFFFFFFF"/>
      <name val="Arial"/>
      <family val="2"/>
    </font>
    <font>
      <sz val="12"/>
      <color rgb="FFFFFFFF"/>
      <name val="Arial"/>
      <family val="2"/>
    </font>
    <font>
      <sz val="8"/>
      <color rgb="FFFFFFFF"/>
      <name val="Arial"/>
      <family val="2"/>
    </font>
    <font>
      <sz val="10"/>
      <color rgb="FFFFFFFF"/>
      <name val="Arial"/>
      <family val="2"/>
    </font>
    <font>
      <sz val="12"/>
      <color rgb="FF000000"/>
      <name val="Arial"/>
      <family val="2"/>
    </font>
    <font>
      <sz val="10"/>
      <color indexed="10"/>
      <name val="Arial"/>
      <family val="2"/>
    </font>
    <font>
      <sz val="12"/>
      <color indexed="9"/>
      <name val="Arial"/>
      <family val="2"/>
    </font>
    <font>
      <sz val="8"/>
      <color indexed="9"/>
      <name val="Arial"/>
      <family val="2"/>
    </font>
    <font>
      <sz val="12"/>
      <color indexed="63"/>
      <name val="Arial"/>
      <family val="2"/>
    </font>
    <font>
      <sz val="10"/>
      <color indexed="63"/>
      <name val="Arial"/>
      <family val="2"/>
    </font>
  </fonts>
  <fills count="15">
    <fill>
      <patternFill patternType="none"/>
    </fill>
    <fill>
      <patternFill patternType="gray125"/>
    </fill>
    <fill>
      <patternFill patternType="solid">
        <fgColor theme="3" tint="0.39997558519241921"/>
        <bgColor indexed="64"/>
      </patternFill>
    </fill>
    <fill>
      <patternFill patternType="solid">
        <fgColor theme="4" tint="0.59999389629810485"/>
        <bgColor indexed="64"/>
      </patternFill>
    </fill>
    <fill>
      <patternFill patternType="solid">
        <fgColor indexed="9"/>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rgb="FF558ED5"/>
        <bgColor rgb="FF3366FF"/>
      </patternFill>
    </fill>
    <fill>
      <patternFill patternType="solid">
        <fgColor rgb="FFB9CDE5"/>
        <bgColor rgb="FFC0C0C0"/>
      </patternFill>
    </fill>
    <fill>
      <patternFill patternType="solid">
        <fgColor rgb="FFFFFFFF"/>
        <bgColor rgb="FFFFFFCC"/>
      </patternFill>
    </fill>
    <fill>
      <patternFill patternType="solid">
        <fgColor rgb="FF376092"/>
        <bgColor rgb="FF1F497D"/>
      </patternFill>
    </fill>
    <fill>
      <patternFill patternType="solid">
        <fgColor rgb="FFD9D9D9"/>
        <bgColor rgb="FFB9CDE5"/>
      </patternFill>
    </fill>
    <fill>
      <patternFill patternType="solid">
        <fgColor indexed="49"/>
        <bgColor indexed="64"/>
      </patternFill>
    </fill>
    <fill>
      <patternFill patternType="solid">
        <fgColor indexed="22"/>
        <bgColor indexed="64"/>
      </patternFill>
    </fill>
    <fill>
      <patternFill patternType="solid">
        <fgColor indexed="62"/>
        <bgColor indexed="64"/>
      </patternFill>
    </fill>
  </fills>
  <borders count="5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dotted">
        <color indexed="64"/>
      </left>
      <right style="medium">
        <color indexed="64"/>
      </right>
      <top/>
      <bottom style="dotted">
        <color indexed="64"/>
      </bottom>
      <diagonal/>
    </border>
    <border>
      <left style="medium">
        <color indexed="64"/>
      </left>
      <right style="hair">
        <color indexed="22"/>
      </right>
      <top style="hair">
        <color indexed="22"/>
      </top>
      <bottom style="hair">
        <color indexed="22"/>
      </bottom>
      <diagonal/>
    </border>
    <border>
      <left/>
      <right style="medium">
        <color indexed="64"/>
      </right>
      <top style="dotted">
        <color indexed="64"/>
      </top>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dotted">
        <color indexed="64"/>
      </right>
      <top/>
      <bottom/>
      <diagonal/>
    </border>
    <border>
      <left style="dotted">
        <color indexed="64"/>
      </left>
      <right style="medium">
        <color indexed="64"/>
      </right>
      <top/>
      <bottom/>
      <diagonal/>
    </border>
    <border>
      <left/>
      <right style="medium">
        <color indexed="64"/>
      </right>
      <top/>
      <bottom style="medium">
        <color indexed="64"/>
      </bottom>
      <diagonal/>
    </border>
    <border>
      <left style="medium">
        <color indexed="64"/>
      </left>
      <right style="hair">
        <color indexed="22"/>
      </right>
      <top style="dotted">
        <color indexed="64"/>
      </top>
      <bottom style="dotted">
        <color indexed="64"/>
      </bottom>
      <diagonal/>
    </border>
    <border>
      <left style="medium">
        <color indexed="64"/>
      </left>
      <right/>
      <top style="dotted">
        <color indexed="64"/>
      </top>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ck">
        <color auto="1"/>
      </left>
      <right/>
      <top/>
      <bottom style="thick">
        <color auto="1"/>
      </bottom>
      <diagonal/>
    </border>
    <border>
      <left style="thick">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top style="thin">
        <color auto="1"/>
      </top>
      <bottom style="thick">
        <color auto="1"/>
      </bottom>
      <diagonal/>
    </border>
    <border>
      <left/>
      <right style="thick">
        <color auto="1"/>
      </right>
      <top style="thin">
        <color auto="1"/>
      </top>
      <bottom style="thick">
        <color auto="1"/>
      </bottom>
      <diagonal/>
    </border>
    <border>
      <left style="thick">
        <color auto="1"/>
      </left>
      <right/>
      <top style="thick">
        <color auto="1"/>
      </top>
      <bottom/>
      <diagonal/>
    </border>
    <border>
      <left/>
      <right style="thick">
        <color auto="1"/>
      </right>
      <top/>
      <bottom/>
      <diagonal/>
    </border>
    <border>
      <left style="thick">
        <color auto="1"/>
      </left>
      <right/>
      <top/>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thick">
        <color auto="1"/>
      </left>
      <right/>
      <top style="thick">
        <color auto="1"/>
      </top>
      <bottom style="thin">
        <color auto="1"/>
      </bottom>
      <diagonal/>
    </border>
    <border>
      <left/>
      <right style="thick">
        <color auto="1"/>
      </right>
      <top style="thick">
        <color auto="1"/>
      </top>
      <bottom style="thin">
        <color auto="1"/>
      </bottom>
      <diagonal/>
    </border>
    <border>
      <left/>
      <right style="thick">
        <color auto="1"/>
      </right>
      <top/>
      <bottom style="thick">
        <color auto="1"/>
      </bottom>
      <diagonal/>
    </border>
    <border>
      <left style="thick">
        <color auto="1"/>
      </left>
      <right style="hair">
        <color auto="1"/>
      </right>
      <top style="thick">
        <color auto="1"/>
      </top>
      <bottom style="hair">
        <color auto="1"/>
      </bottom>
      <diagonal/>
    </border>
    <border>
      <left style="hair">
        <color auto="1"/>
      </left>
      <right style="thick">
        <color auto="1"/>
      </right>
      <top style="thick">
        <color auto="1"/>
      </top>
      <bottom style="hair">
        <color auto="1"/>
      </bottom>
      <diagonal/>
    </border>
    <border>
      <left style="thick">
        <color auto="1"/>
      </left>
      <right style="hair">
        <color auto="1"/>
      </right>
      <top style="hair">
        <color auto="1"/>
      </top>
      <bottom style="hair">
        <color auto="1"/>
      </bottom>
      <diagonal/>
    </border>
    <border>
      <left style="hair">
        <color auto="1"/>
      </left>
      <right style="thick">
        <color auto="1"/>
      </right>
      <top style="hair">
        <color auto="1"/>
      </top>
      <bottom style="hair">
        <color auto="1"/>
      </bottom>
      <diagonal/>
    </border>
    <border>
      <left style="thick">
        <color auto="1"/>
      </left>
      <right style="hair">
        <color auto="1"/>
      </right>
      <top style="hair">
        <color auto="1"/>
      </top>
      <bottom style="thin">
        <color auto="1"/>
      </bottom>
      <diagonal/>
    </border>
    <border>
      <left style="hair">
        <color auto="1"/>
      </left>
      <right style="thick">
        <color auto="1"/>
      </right>
      <top style="hair">
        <color auto="1"/>
      </top>
      <bottom style="thin">
        <color auto="1"/>
      </bottom>
      <diagonal/>
    </border>
    <border>
      <left style="thick">
        <color auto="1"/>
      </left>
      <right style="hair">
        <color auto="1"/>
      </right>
      <top style="thin">
        <color auto="1"/>
      </top>
      <bottom style="hair">
        <color auto="1"/>
      </bottom>
      <diagonal/>
    </border>
    <border>
      <left style="hair">
        <color auto="1"/>
      </left>
      <right style="thick">
        <color auto="1"/>
      </right>
      <top style="thin">
        <color auto="1"/>
      </top>
      <bottom style="hair">
        <color auto="1"/>
      </bottom>
      <diagonal/>
    </border>
    <border>
      <left style="thick">
        <color auto="1"/>
      </left>
      <right style="hair">
        <color auto="1"/>
      </right>
      <top style="hair">
        <color auto="1"/>
      </top>
      <bottom style="thick">
        <color auto="1"/>
      </bottom>
      <diagonal/>
    </border>
    <border>
      <left style="hair">
        <color auto="1"/>
      </left>
      <right style="thick">
        <color auto="1"/>
      </right>
      <top style="hair">
        <color auto="1"/>
      </top>
      <bottom style="thick">
        <color auto="1"/>
      </bottom>
      <diagonal/>
    </border>
    <border>
      <left style="dotted">
        <color indexed="64"/>
      </left>
      <right style="medium">
        <color indexed="64"/>
      </right>
      <top style="medium">
        <color indexed="64"/>
      </top>
      <bottom style="hair">
        <color indexed="64"/>
      </bottom>
      <diagonal/>
    </border>
  </borders>
  <cellStyleXfs count="2">
    <xf numFmtId="0" fontId="0" fillId="0" borderId="0"/>
    <xf numFmtId="0" fontId="7" fillId="0" borderId="0"/>
  </cellStyleXfs>
  <cellXfs count="331">
    <xf numFmtId="0" fontId="0" fillId="0" borderId="0" xfId="0"/>
    <xf numFmtId="0" fontId="1" fillId="0" borderId="0" xfId="0" applyFont="1" applyAlignment="1">
      <alignment vertical="center"/>
    </xf>
    <xf numFmtId="49" fontId="2" fillId="0" borderId="0" xfId="0" applyNumberFormat="1" applyFont="1" applyFill="1" applyAlignment="1" applyProtection="1">
      <alignment vertical="center"/>
    </xf>
    <xf numFmtId="38" fontId="2" fillId="3" borderId="0" xfId="0" applyNumberFormat="1" applyFont="1" applyFill="1" applyBorder="1" applyAlignment="1" applyProtection="1">
      <alignment vertical="center"/>
    </xf>
    <xf numFmtId="0" fontId="0" fillId="0" borderId="0" xfId="0" applyFill="1" applyAlignment="1">
      <alignment vertical="center"/>
    </xf>
    <xf numFmtId="0" fontId="0" fillId="0" borderId="0" xfId="0" applyAlignment="1">
      <alignment vertical="center"/>
    </xf>
    <xf numFmtId="49" fontId="6" fillId="0" borderId="0" xfId="0" applyNumberFormat="1" applyFont="1" applyFill="1" applyAlignment="1" applyProtection="1">
      <alignment vertical="center"/>
    </xf>
    <xf numFmtId="49" fontId="6" fillId="0" borderId="0" xfId="0" applyNumberFormat="1" applyFont="1" applyFill="1" applyAlignment="1">
      <alignment vertical="center"/>
    </xf>
    <xf numFmtId="38" fontId="8"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center" vertical="center"/>
    </xf>
    <xf numFmtId="38" fontId="10" fillId="0" borderId="0" xfId="0" applyNumberFormat="1" applyFont="1" applyFill="1" applyBorder="1" applyAlignment="1" applyProtection="1">
      <alignment horizontal="center" vertical="center"/>
    </xf>
    <xf numFmtId="38" fontId="2" fillId="0" borderId="0" xfId="0" applyNumberFormat="1" applyFont="1" applyFill="1" applyBorder="1" applyAlignment="1" applyProtection="1">
      <alignment vertical="center"/>
    </xf>
    <xf numFmtId="49" fontId="6" fillId="0" borderId="0" xfId="0" applyNumberFormat="1" applyFont="1" applyFill="1" applyBorder="1" applyAlignment="1" applyProtection="1">
      <alignment vertical="center"/>
    </xf>
    <xf numFmtId="38" fontId="11" fillId="5" borderId="1" xfId="0" applyNumberFormat="1" applyFont="1" applyFill="1" applyBorder="1" applyAlignment="1" applyProtection="1">
      <alignment horizontal="left" vertical="center"/>
    </xf>
    <xf numFmtId="49" fontId="4" fillId="0" borderId="0" xfId="0" applyNumberFormat="1" applyFont="1" applyFill="1" applyBorder="1" applyAlignment="1" applyProtection="1">
      <alignment vertical="center"/>
    </xf>
    <xf numFmtId="0" fontId="0" fillId="0" borderId="0" xfId="0" applyBorder="1" applyAlignment="1">
      <alignment vertical="center"/>
    </xf>
    <xf numFmtId="38" fontId="11" fillId="2" borderId="3" xfId="0" applyNumberFormat="1" applyFont="1" applyFill="1" applyBorder="1" applyAlignment="1" applyProtection="1">
      <alignment horizontal="left" vertical="center"/>
    </xf>
    <xf numFmtId="1" fontId="11" fillId="2" borderId="2" xfId="0" applyNumberFormat="1" applyFont="1" applyFill="1" applyBorder="1" applyAlignment="1" applyProtection="1">
      <alignment horizontal="center" vertical="center"/>
    </xf>
    <xf numFmtId="49" fontId="4" fillId="0" borderId="0" xfId="0" applyNumberFormat="1" applyFont="1" applyFill="1" applyAlignment="1" applyProtection="1">
      <alignment vertical="center"/>
    </xf>
    <xf numFmtId="38" fontId="7" fillId="0" borderId="4" xfId="0" applyNumberFormat="1" applyFont="1" applyFill="1" applyBorder="1" applyAlignment="1" applyProtection="1">
      <alignment vertical="center"/>
    </xf>
    <xf numFmtId="38" fontId="7" fillId="0" borderId="5" xfId="0" applyNumberFormat="1" applyFont="1" applyFill="1" applyBorder="1" applyAlignment="1" applyProtection="1">
      <alignment vertical="center"/>
      <protection locked="0"/>
    </xf>
    <xf numFmtId="49" fontId="12" fillId="0" borderId="0" xfId="0" applyNumberFormat="1" applyFont="1" applyFill="1" applyAlignment="1" applyProtection="1">
      <alignment vertical="center"/>
    </xf>
    <xf numFmtId="38" fontId="7" fillId="0" borderId="6" xfId="0" applyNumberFormat="1" applyFont="1" applyFill="1" applyBorder="1" applyAlignment="1" applyProtection="1">
      <alignment vertical="center"/>
    </xf>
    <xf numFmtId="38" fontId="7" fillId="0" borderId="7" xfId="0" applyNumberFormat="1" applyFont="1" applyFill="1" applyBorder="1" applyAlignment="1" applyProtection="1">
      <alignment vertical="center"/>
      <protection locked="0"/>
    </xf>
    <xf numFmtId="38" fontId="7" fillId="0" borderId="8" xfId="0" applyNumberFormat="1" applyFont="1" applyFill="1" applyBorder="1" applyAlignment="1" applyProtection="1">
      <alignment vertical="center"/>
      <protection locked="0"/>
    </xf>
    <xf numFmtId="0" fontId="1" fillId="0" borderId="0" xfId="0" applyFont="1" applyFill="1" applyAlignment="1">
      <alignment vertical="center"/>
    </xf>
    <xf numFmtId="38" fontId="7" fillId="0" borderId="9" xfId="0" applyNumberFormat="1" applyFont="1" applyFill="1" applyBorder="1" applyAlignment="1" applyProtection="1">
      <alignment vertical="center"/>
    </xf>
    <xf numFmtId="38" fontId="7" fillId="0" borderId="10" xfId="0" applyNumberFormat="1" applyFont="1" applyFill="1" applyBorder="1" applyAlignment="1" applyProtection="1">
      <alignment vertical="center"/>
      <protection locked="0"/>
    </xf>
    <xf numFmtId="38" fontId="8" fillId="3" borderId="11" xfId="0" applyNumberFormat="1" applyFont="1" applyFill="1" applyBorder="1" applyAlignment="1" applyProtection="1">
      <alignment horizontal="left" vertical="center"/>
    </xf>
    <xf numFmtId="38" fontId="8" fillId="3" borderId="12" xfId="0" applyNumberFormat="1" applyFont="1" applyFill="1" applyBorder="1" applyAlignment="1" applyProtection="1">
      <alignment vertical="center"/>
    </xf>
    <xf numFmtId="38" fontId="8" fillId="3" borderId="13" xfId="0" applyNumberFormat="1" applyFont="1" applyFill="1" applyBorder="1" applyAlignment="1" applyProtection="1">
      <alignment vertical="center"/>
    </xf>
    <xf numFmtId="38" fontId="8" fillId="3" borderId="14" xfId="0" applyNumberFormat="1" applyFont="1" applyFill="1" applyBorder="1" applyAlignment="1">
      <alignment vertical="center"/>
    </xf>
    <xf numFmtId="38" fontId="8" fillId="3" borderId="15" xfId="0" applyNumberFormat="1" applyFont="1" applyFill="1" applyBorder="1" applyAlignment="1" applyProtection="1">
      <alignment vertical="center"/>
    </xf>
    <xf numFmtId="38" fontId="8" fillId="3" borderId="16" xfId="0" applyNumberFormat="1" applyFont="1" applyFill="1" applyBorder="1" applyAlignment="1" applyProtection="1">
      <alignment vertical="center"/>
    </xf>
    <xf numFmtId="38" fontId="8" fillId="3" borderId="17" xfId="0" applyNumberFormat="1" applyFont="1" applyFill="1" applyBorder="1" applyAlignment="1">
      <alignment vertical="center"/>
    </xf>
    <xf numFmtId="38" fontId="8" fillId="3" borderId="18" xfId="0" applyNumberFormat="1" applyFont="1" applyFill="1" applyBorder="1" applyAlignment="1" applyProtection="1">
      <alignment horizontal="left" vertical="center"/>
    </xf>
    <xf numFmtId="38" fontId="8" fillId="3" borderId="19" xfId="0" applyNumberFormat="1" applyFont="1" applyFill="1" applyBorder="1" applyAlignment="1" applyProtection="1">
      <alignment vertical="center"/>
    </xf>
    <xf numFmtId="38" fontId="8" fillId="3" borderId="12" xfId="0" applyNumberFormat="1" applyFont="1" applyFill="1" applyBorder="1" applyAlignment="1" applyProtection="1">
      <alignment horizontal="right" vertical="center"/>
    </xf>
    <xf numFmtId="38" fontId="7" fillId="0" borderId="20" xfId="0" applyNumberFormat="1" applyFont="1" applyFill="1" applyBorder="1" applyAlignment="1" applyProtection="1">
      <alignment vertical="center"/>
    </xf>
    <xf numFmtId="38" fontId="7" fillId="0" borderId="21" xfId="0" applyNumberFormat="1" applyFont="1" applyFill="1" applyBorder="1" applyAlignment="1" applyProtection="1">
      <alignment vertical="center"/>
      <protection locked="0"/>
    </xf>
    <xf numFmtId="38" fontId="13" fillId="2" borderId="3" xfId="0" applyNumberFormat="1" applyFont="1" applyFill="1" applyBorder="1" applyAlignment="1" applyProtection="1">
      <alignment horizontal="left" vertical="center"/>
    </xf>
    <xf numFmtId="38" fontId="13" fillId="2" borderId="22" xfId="0" applyNumberFormat="1" applyFont="1" applyFill="1" applyBorder="1" applyAlignment="1" applyProtection="1">
      <alignment vertical="center"/>
    </xf>
    <xf numFmtId="38" fontId="14" fillId="4" borderId="18" xfId="0" applyNumberFormat="1" applyFont="1" applyFill="1" applyBorder="1" applyAlignment="1" applyProtection="1">
      <alignment horizontal="left" vertical="center"/>
    </xf>
    <xf numFmtId="38" fontId="7" fillId="4" borderId="19" xfId="0" applyNumberFormat="1" applyFont="1" applyFill="1" applyBorder="1" applyAlignment="1">
      <alignment vertical="center"/>
    </xf>
    <xf numFmtId="38" fontId="8" fillId="3" borderId="16" xfId="0" applyNumberFormat="1" applyFont="1" applyFill="1" applyBorder="1" applyAlignment="1" applyProtection="1">
      <alignment horizontal="left" vertical="center"/>
    </xf>
    <xf numFmtId="38" fontId="8" fillId="3" borderId="17" xfId="0" applyNumberFormat="1" applyFont="1" applyFill="1" applyBorder="1" applyAlignment="1" applyProtection="1">
      <alignment horizontal="left" vertical="center"/>
    </xf>
    <xf numFmtId="38" fontId="7" fillId="0" borderId="23" xfId="0" applyNumberFormat="1" applyFont="1" applyFill="1" applyBorder="1" applyAlignment="1" applyProtection="1">
      <alignment vertical="center"/>
    </xf>
    <xf numFmtId="49" fontId="6" fillId="0" borderId="0" xfId="0" applyNumberFormat="1" applyFont="1" applyFill="1" applyBorder="1" applyAlignment="1">
      <alignment vertical="center"/>
    </xf>
    <xf numFmtId="38" fontId="11" fillId="2" borderId="1" xfId="0" applyNumberFormat="1" applyFont="1" applyFill="1" applyBorder="1" applyAlignment="1" applyProtection="1">
      <alignment horizontal="left" vertical="center"/>
    </xf>
    <xf numFmtId="38" fontId="11" fillId="2" borderId="2" xfId="0" applyNumberFormat="1" applyFont="1" applyFill="1" applyBorder="1" applyAlignment="1" applyProtection="1">
      <alignment horizontal="right" vertical="center"/>
    </xf>
    <xf numFmtId="49" fontId="6" fillId="4" borderId="0" xfId="0" applyNumberFormat="1" applyFont="1" applyFill="1" applyAlignment="1">
      <alignment vertical="center"/>
    </xf>
    <xf numFmtId="38" fontId="15" fillId="4" borderId="0" xfId="0" applyNumberFormat="1" applyFont="1" applyFill="1" applyAlignment="1" applyProtection="1">
      <alignment vertical="center"/>
    </xf>
    <xf numFmtId="49" fontId="12" fillId="0" borderId="0" xfId="0" applyNumberFormat="1" applyFont="1" applyFill="1" applyAlignment="1">
      <alignment vertical="center"/>
    </xf>
    <xf numFmtId="38" fontId="16" fillId="4" borderId="0" xfId="0" applyNumberFormat="1" applyFont="1" applyFill="1" applyBorder="1" applyAlignment="1" applyProtection="1">
      <alignment horizontal="left" vertical="center"/>
    </xf>
    <xf numFmtId="49" fontId="12" fillId="4" borderId="0" xfId="0" applyNumberFormat="1" applyFont="1" applyFill="1" applyAlignment="1">
      <alignment vertical="center"/>
    </xf>
    <xf numFmtId="38" fontId="16" fillId="4" borderId="0" xfId="0" applyNumberFormat="1" applyFont="1" applyFill="1" applyBorder="1" applyAlignment="1" applyProtection="1">
      <alignment vertical="center"/>
    </xf>
    <xf numFmtId="38" fontId="9" fillId="4" borderId="0" xfId="0" applyNumberFormat="1" applyFont="1" applyFill="1" applyBorder="1" applyAlignment="1" applyProtection="1">
      <alignment horizontal="left" vertical="center"/>
    </xf>
    <xf numFmtId="38" fontId="9" fillId="4" borderId="0" xfId="0" applyNumberFormat="1" applyFont="1" applyFill="1" applyBorder="1" applyAlignment="1" applyProtection="1">
      <alignment vertical="center"/>
    </xf>
    <xf numFmtId="38" fontId="7" fillId="4" borderId="0" xfId="0" applyNumberFormat="1" applyFont="1" applyFill="1" applyAlignment="1" applyProtection="1">
      <alignment vertical="center"/>
    </xf>
    <xf numFmtId="38" fontId="8" fillId="3" borderId="1" xfId="0" applyNumberFormat="1" applyFont="1" applyFill="1" applyBorder="1" applyAlignment="1" applyProtection="1">
      <alignment horizontal="left" vertical="center"/>
    </xf>
    <xf numFmtId="38" fontId="8" fillId="3" borderId="2" xfId="0" applyNumberFormat="1" applyFont="1" applyFill="1" applyBorder="1" applyAlignment="1" applyProtection="1">
      <alignment vertical="center"/>
    </xf>
    <xf numFmtId="38" fontId="7" fillId="0" borderId="24" xfId="0" applyNumberFormat="1" applyFont="1" applyFill="1" applyBorder="1" applyAlignment="1" applyProtection="1">
      <alignment vertical="center"/>
    </xf>
    <xf numFmtId="38" fontId="5" fillId="4" borderId="0" xfId="0" applyNumberFormat="1" applyFont="1" applyFill="1" applyBorder="1" applyAlignment="1" applyProtection="1">
      <alignment horizontal="right" vertical="center"/>
    </xf>
    <xf numFmtId="38" fontId="5" fillId="0" borderId="0" xfId="0" applyNumberFormat="1" applyFont="1" applyFill="1" applyBorder="1" applyAlignment="1" applyProtection="1">
      <alignment horizontal="left" vertical="center"/>
    </xf>
    <xf numFmtId="38" fontId="10" fillId="0" borderId="0" xfId="0" applyNumberFormat="1" applyFont="1" applyFill="1" applyBorder="1" applyAlignment="1" applyProtection="1">
      <alignment horizontal="right" vertical="center"/>
    </xf>
    <xf numFmtId="37" fontId="3" fillId="5" borderId="2" xfId="0" applyNumberFormat="1" applyFont="1" applyFill="1" applyBorder="1" applyAlignment="1" applyProtection="1">
      <alignment horizontal="right" vertical="center"/>
    </xf>
    <xf numFmtId="38" fontId="7" fillId="0" borderId="6" xfId="0" applyNumberFormat="1" applyFont="1" applyFill="1" applyBorder="1" applyAlignment="1" applyProtection="1">
      <alignment horizontal="left" vertical="center"/>
    </xf>
    <xf numFmtId="38" fontId="7" fillId="0" borderId="7" xfId="0" applyNumberFormat="1" applyFont="1" applyFill="1" applyBorder="1" applyAlignment="1" applyProtection="1">
      <alignment horizontal="right" vertical="center"/>
      <protection locked="0"/>
    </xf>
    <xf numFmtId="38" fontId="7" fillId="0" borderId="4" xfId="0" applyNumberFormat="1" applyFont="1" applyFill="1" applyBorder="1" applyAlignment="1" applyProtection="1">
      <alignment horizontal="left" vertical="center"/>
    </xf>
    <xf numFmtId="38" fontId="7" fillId="0" borderId="5" xfId="0" applyNumberFormat="1" applyFont="1" applyFill="1" applyBorder="1" applyAlignment="1" applyProtection="1">
      <alignment horizontal="right" vertical="center"/>
      <protection locked="0"/>
    </xf>
    <xf numFmtId="38" fontId="7" fillId="0" borderId="15" xfId="0" applyNumberFormat="1" applyFont="1" applyFill="1" applyBorder="1" applyAlignment="1" applyProtection="1">
      <alignment horizontal="left" vertical="center"/>
    </xf>
    <xf numFmtId="38" fontId="7" fillId="0" borderId="10" xfId="0" applyNumberFormat="1" applyFont="1" applyFill="1" applyBorder="1" applyAlignment="1" applyProtection="1">
      <alignment horizontal="right" vertical="center"/>
      <protection locked="0"/>
    </xf>
    <xf numFmtId="37" fontId="11" fillId="2" borderId="2" xfId="0" applyNumberFormat="1" applyFont="1" applyFill="1" applyBorder="1" applyAlignment="1" applyProtection="1">
      <alignment horizontal="right" vertical="center"/>
    </xf>
    <xf numFmtId="49" fontId="7" fillId="0" borderId="0" xfId="0" applyNumberFormat="1" applyFont="1" applyFill="1" applyAlignment="1" applyProtection="1">
      <alignment vertical="center"/>
    </xf>
    <xf numFmtId="38" fontId="8" fillId="6" borderId="2" xfId="0" applyNumberFormat="1" applyFont="1" applyFill="1" applyBorder="1" applyAlignment="1" applyProtection="1">
      <alignment horizontal="right" vertical="center"/>
    </xf>
    <xf numFmtId="38" fontId="7" fillId="0" borderId="24" xfId="0" applyNumberFormat="1" applyFont="1" applyFill="1" applyBorder="1" applyAlignment="1" applyProtection="1">
      <alignment horizontal="left" vertical="center"/>
    </xf>
    <xf numFmtId="38" fontId="11" fillId="2" borderId="2" xfId="0" applyNumberFormat="1" applyFont="1" applyFill="1" applyBorder="1" applyAlignment="1">
      <alignment horizontal="right" vertical="center"/>
    </xf>
    <xf numFmtId="38" fontId="3" fillId="5" borderId="1" xfId="0" applyNumberFormat="1" applyFont="1" applyFill="1" applyBorder="1" applyAlignment="1" applyProtection="1">
      <alignment horizontal="left" vertical="center"/>
    </xf>
    <xf numFmtId="38" fontId="10" fillId="4" borderId="0" xfId="0" applyNumberFormat="1" applyFont="1" applyFill="1" applyAlignment="1" applyProtection="1">
      <alignment vertical="center"/>
    </xf>
    <xf numFmtId="38" fontId="5" fillId="5" borderId="2" xfId="0" applyNumberFormat="1" applyFont="1" applyFill="1" applyBorder="1" applyAlignment="1" applyProtection="1">
      <alignment horizontal="left" vertical="center"/>
    </xf>
    <xf numFmtId="38" fontId="10" fillId="3" borderId="3" xfId="0" applyNumberFormat="1" applyFont="1" applyFill="1" applyBorder="1" applyAlignment="1">
      <alignment horizontal="left" vertical="center"/>
    </xf>
    <xf numFmtId="37" fontId="5" fillId="3" borderId="22" xfId="0" applyNumberFormat="1" applyFont="1" applyFill="1" applyBorder="1" applyAlignment="1" applyProtection="1">
      <alignment horizontal="right" vertical="center"/>
    </xf>
    <xf numFmtId="49" fontId="16" fillId="0" borderId="0" xfId="0" applyNumberFormat="1" applyFont="1" applyFill="1" applyAlignment="1" applyProtection="1">
      <alignment vertical="center"/>
    </xf>
    <xf numFmtId="38" fontId="17" fillId="3" borderId="3" xfId="0" applyNumberFormat="1" applyFont="1" applyFill="1" applyBorder="1" applyAlignment="1">
      <alignment horizontal="left" vertical="center"/>
    </xf>
    <xf numFmtId="0" fontId="16" fillId="0" borderId="0" xfId="0" applyFont="1" applyAlignment="1">
      <alignment vertical="center"/>
    </xf>
    <xf numFmtId="0" fontId="9" fillId="0" borderId="0" xfId="0" applyFont="1" applyAlignment="1">
      <alignment vertical="center"/>
    </xf>
    <xf numFmtId="38" fontId="16" fillId="4" borderId="0" xfId="0" applyNumberFormat="1" applyFont="1" applyFill="1" applyAlignment="1" applyProtection="1">
      <alignment vertical="center"/>
    </xf>
    <xf numFmtId="38" fontId="18" fillId="4" borderId="0" xfId="0" applyNumberFormat="1" applyFont="1" applyFill="1" applyAlignment="1" applyProtection="1">
      <alignment vertical="center"/>
    </xf>
    <xf numFmtId="49" fontId="2" fillId="0" borderId="0" xfId="0" applyNumberFormat="1" applyFont="1" applyAlignment="1" applyProtection="1">
      <alignment vertical="center"/>
    </xf>
    <xf numFmtId="164" fontId="2" fillId="8" borderId="0" xfId="0" applyNumberFormat="1" applyFont="1" applyFill="1" applyBorder="1" applyAlignment="1" applyProtection="1">
      <alignment vertical="center"/>
    </xf>
    <xf numFmtId="49" fontId="6" fillId="0" borderId="0" xfId="0" applyNumberFormat="1" applyFont="1" applyAlignment="1" applyProtection="1">
      <alignment vertical="center"/>
    </xf>
    <xf numFmtId="49" fontId="6" fillId="0" borderId="0" xfId="0" applyNumberFormat="1" applyFont="1" applyAlignment="1">
      <alignment vertical="center"/>
    </xf>
    <xf numFmtId="164" fontId="8" fillId="0" borderId="0" xfId="0" applyNumberFormat="1" applyFont="1" applyBorder="1" applyAlignment="1" applyProtection="1">
      <alignment horizontal="center" vertical="center"/>
    </xf>
    <xf numFmtId="49" fontId="22" fillId="0" borderId="0" xfId="0" applyNumberFormat="1" applyFont="1" applyBorder="1" applyAlignment="1" applyProtection="1">
      <alignment horizontal="center" vertical="center"/>
    </xf>
    <xf numFmtId="164" fontId="10" fillId="0" borderId="0" xfId="0" applyNumberFormat="1" applyFont="1" applyBorder="1" applyAlignment="1" applyProtection="1">
      <alignment horizontal="center" vertical="center"/>
    </xf>
    <xf numFmtId="164" fontId="2" fillId="0" borderId="0" xfId="0" applyNumberFormat="1" applyFont="1" applyBorder="1" applyAlignment="1" applyProtection="1">
      <alignment vertical="center"/>
    </xf>
    <xf numFmtId="49" fontId="6" fillId="0" borderId="0" xfId="0" applyNumberFormat="1" applyFont="1" applyBorder="1" applyAlignment="1" applyProtection="1">
      <alignment vertical="center"/>
    </xf>
    <xf numFmtId="164" fontId="21" fillId="10" borderId="25" xfId="0" applyNumberFormat="1" applyFont="1" applyFill="1" applyBorder="1" applyAlignment="1" applyProtection="1">
      <alignment horizontal="left" vertical="center"/>
    </xf>
    <xf numFmtId="49" fontId="23" fillId="0" borderId="0" xfId="0" applyNumberFormat="1" applyFont="1" applyBorder="1" applyAlignment="1" applyProtection="1">
      <alignment vertical="center"/>
    </xf>
    <xf numFmtId="164" fontId="21" fillId="7" borderId="27" xfId="0" applyNumberFormat="1" applyFont="1" applyFill="1" applyBorder="1" applyAlignment="1" applyProtection="1">
      <alignment horizontal="left" vertical="center"/>
    </xf>
    <xf numFmtId="1" fontId="21" fillId="7" borderId="26" xfId="0" applyNumberFormat="1" applyFont="1" applyFill="1" applyBorder="1" applyAlignment="1" applyProtection="1">
      <alignment horizontal="center" vertical="center"/>
    </xf>
    <xf numFmtId="49" fontId="23" fillId="0" borderId="0" xfId="0" applyNumberFormat="1" applyFont="1" applyAlignment="1" applyProtection="1">
      <alignment vertical="center"/>
    </xf>
    <xf numFmtId="49" fontId="24" fillId="0" borderId="0" xfId="0" applyNumberFormat="1" applyFont="1" applyAlignment="1" applyProtection="1">
      <alignment vertical="center"/>
    </xf>
    <xf numFmtId="164" fontId="0" fillId="0" borderId="28" xfId="0" applyNumberFormat="1" applyFont="1" applyBorder="1" applyAlignment="1" applyProtection="1">
      <alignment vertical="center"/>
    </xf>
    <xf numFmtId="164" fontId="0" fillId="0" borderId="29" xfId="0" applyNumberFormat="1" applyFont="1" applyBorder="1" applyAlignment="1" applyProtection="1">
      <alignment vertical="center"/>
      <protection locked="0"/>
    </xf>
    <xf numFmtId="164" fontId="8" fillId="8" borderId="30" xfId="0" applyNumberFormat="1" applyFont="1" applyFill="1" applyBorder="1" applyAlignment="1" applyProtection="1">
      <alignment horizontal="left" vertical="center"/>
    </xf>
    <xf numFmtId="164" fontId="8" fillId="8" borderId="31" xfId="0" applyNumberFormat="1" applyFont="1" applyFill="1" applyBorder="1" applyAlignment="1" applyProtection="1">
      <alignment vertical="center"/>
    </xf>
    <xf numFmtId="164" fontId="8" fillId="8" borderId="32" xfId="0" applyNumberFormat="1" applyFont="1" applyFill="1" applyBorder="1" applyAlignment="1" applyProtection="1">
      <alignment vertical="center"/>
    </xf>
    <xf numFmtId="164" fontId="8" fillId="8" borderId="33" xfId="0" applyNumberFormat="1" applyFont="1" applyFill="1" applyBorder="1" applyAlignment="1" applyProtection="1">
      <alignment vertical="center"/>
    </xf>
    <xf numFmtId="164" fontId="8" fillId="8" borderId="34" xfId="0" applyNumberFormat="1" applyFont="1" applyFill="1" applyBorder="1" applyAlignment="1" applyProtection="1">
      <alignment vertical="center"/>
    </xf>
    <xf numFmtId="164" fontId="8" fillId="8" borderId="35" xfId="0" applyNumberFormat="1" applyFont="1" applyFill="1" applyBorder="1" applyAlignment="1" applyProtection="1">
      <alignment vertical="center"/>
    </xf>
    <xf numFmtId="164" fontId="8" fillId="8" borderId="36" xfId="0" applyNumberFormat="1" applyFont="1" applyFill="1" applyBorder="1" applyAlignment="1" applyProtection="1">
      <alignment vertical="center"/>
    </xf>
    <xf numFmtId="164" fontId="8" fillId="8" borderId="37" xfId="0" applyNumberFormat="1" applyFont="1" applyFill="1" applyBorder="1" applyAlignment="1" applyProtection="1">
      <alignment horizontal="left" vertical="center"/>
    </xf>
    <xf numFmtId="164" fontId="8" fillId="8" borderId="38" xfId="0" applyNumberFormat="1" applyFont="1" applyFill="1" applyBorder="1" applyAlignment="1" applyProtection="1">
      <alignment vertical="center"/>
    </xf>
    <xf numFmtId="164" fontId="8" fillId="8" borderId="31" xfId="0" applyNumberFormat="1" applyFont="1" applyFill="1" applyBorder="1" applyAlignment="1" applyProtection="1">
      <alignment horizontal="right" vertical="center"/>
    </xf>
    <xf numFmtId="164" fontId="22" fillId="7" borderId="27" xfId="0" applyNumberFormat="1" applyFont="1" applyFill="1" applyBorder="1" applyAlignment="1" applyProtection="1">
      <alignment horizontal="left" vertical="center"/>
    </xf>
    <xf numFmtId="164" fontId="22" fillId="7" borderId="39" xfId="0" applyNumberFormat="1" applyFont="1" applyFill="1" applyBorder="1" applyAlignment="1" applyProtection="1">
      <alignment vertical="center"/>
    </xf>
    <xf numFmtId="164" fontId="14" fillId="9" borderId="37" xfId="0" applyNumberFormat="1" applyFont="1" applyFill="1" applyBorder="1" applyAlignment="1" applyProtection="1">
      <alignment horizontal="left" vertical="center"/>
    </xf>
    <xf numFmtId="164" fontId="0" fillId="9" borderId="38" xfId="0" applyNumberFormat="1" applyFont="1" applyFill="1" applyBorder="1" applyAlignment="1" applyProtection="1">
      <alignment vertical="center"/>
    </xf>
    <xf numFmtId="164" fontId="8" fillId="8" borderId="35" xfId="0" applyNumberFormat="1" applyFont="1" applyFill="1" applyBorder="1" applyAlignment="1" applyProtection="1">
      <alignment horizontal="left" vertical="center"/>
    </xf>
    <xf numFmtId="164" fontId="8" fillId="8" borderId="36" xfId="0" applyNumberFormat="1" applyFont="1" applyFill="1" applyBorder="1" applyAlignment="1" applyProtection="1">
      <alignment horizontal="left" vertical="center"/>
    </xf>
    <xf numFmtId="49" fontId="6" fillId="0" borderId="0" xfId="0" applyNumberFormat="1" applyFont="1" applyBorder="1" applyAlignment="1">
      <alignment vertical="center"/>
    </xf>
    <xf numFmtId="164" fontId="21" fillId="7" borderId="25" xfId="0" applyNumberFormat="1" applyFont="1" applyFill="1" applyBorder="1" applyAlignment="1" applyProtection="1">
      <alignment horizontal="left" vertical="center"/>
    </xf>
    <xf numFmtId="164" fontId="21" fillId="7" borderId="26" xfId="0" applyNumberFormat="1" applyFont="1" applyFill="1" applyBorder="1" applyAlignment="1" applyProtection="1">
      <alignment horizontal="right" vertical="center"/>
    </xf>
    <xf numFmtId="49" fontId="6" fillId="9" borderId="0" xfId="0" applyNumberFormat="1" applyFont="1" applyFill="1" applyAlignment="1">
      <alignment vertical="center"/>
    </xf>
    <xf numFmtId="164" fontId="25" fillId="9" borderId="0" xfId="0" applyNumberFormat="1" applyFont="1" applyFill="1" applyAlignment="1" applyProtection="1">
      <alignment vertical="center"/>
    </xf>
    <xf numFmtId="49" fontId="24" fillId="0" borderId="0" xfId="0" applyNumberFormat="1" applyFont="1" applyAlignment="1">
      <alignment vertical="center"/>
    </xf>
    <xf numFmtId="164" fontId="25" fillId="9" borderId="0" xfId="0" applyNumberFormat="1" applyFont="1" applyFill="1" applyBorder="1" applyAlignment="1" applyProtection="1">
      <alignment horizontal="left" vertical="center"/>
    </xf>
    <xf numFmtId="49" fontId="24" fillId="9" borderId="0" xfId="0" applyNumberFormat="1" applyFont="1" applyFill="1" applyAlignment="1">
      <alignment vertical="center"/>
    </xf>
    <xf numFmtId="164" fontId="25" fillId="9" borderId="0" xfId="0" applyNumberFormat="1" applyFont="1" applyFill="1" applyBorder="1" applyAlignment="1" applyProtection="1">
      <alignment vertical="center"/>
    </xf>
    <xf numFmtId="164" fontId="22" fillId="9" borderId="0" xfId="0" applyNumberFormat="1" applyFont="1" applyFill="1" applyBorder="1" applyAlignment="1" applyProtection="1">
      <alignment horizontal="left" vertical="center"/>
    </xf>
    <xf numFmtId="164" fontId="22" fillId="9" borderId="0" xfId="0" applyNumberFormat="1" applyFont="1" applyFill="1" applyBorder="1" applyAlignment="1" applyProtection="1">
      <alignment vertical="center"/>
    </xf>
    <xf numFmtId="164" fontId="0" fillId="9" borderId="0" xfId="0" applyNumberFormat="1" applyFont="1" applyFill="1" applyAlignment="1" applyProtection="1">
      <alignment vertical="center"/>
    </xf>
    <xf numFmtId="164" fontId="8" fillId="8" borderId="25" xfId="0" applyNumberFormat="1" applyFont="1" applyFill="1" applyBorder="1" applyAlignment="1" applyProtection="1">
      <alignment horizontal="left" vertical="center"/>
    </xf>
    <xf numFmtId="164" fontId="8" fillId="8" borderId="26" xfId="0" applyNumberFormat="1" applyFont="1" applyFill="1" applyBorder="1" applyAlignment="1" applyProtection="1">
      <alignment vertical="center"/>
    </xf>
    <xf numFmtId="164" fontId="5" fillId="9" borderId="0" xfId="0" applyNumberFormat="1" applyFont="1" applyFill="1" applyBorder="1" applyAlignment="1" applyProtection="1">
      <alignment horizontal="right" vertical="center"/>
    </xf>
    <xf numFmtId="164" fontId="5" fillId="0" borderId="0" xfId="0" applyNumberFormat="1" applyFont="1" applyBorder="1" applyAlignment="1" applyProtection="1">
      <alignment horizontal="left" vertical="center"/>
    </xf>
    <xf numFmtId="164" fontId="10" fillId="0" borderId="0" xfId="0" applyNumberFormat="1" applyFont="1" applyBorder="1" applyAlignment="1" applyProtection="1">
      <alignment horizontal="right" vertical="center"/>
    </xf>
    <xf numFmtId="165" fontId="21" fillId="10" borderId="26" xfId="0" applyNumberFormat="1" applyFont="1" applyFill="1" applyBorder="1" applyAlignment="1" applyProtection="1">
      <alignment horizontal="right" vertical="center"/>
    </xf>
    <xf numFmtId="165" fontId="21" fillId="7" borderId="26" xfId="0" applyNumberFormat="1" applyFont="1" applyFill="1" applyBorder="1" applyAlignment="1" applyProtection="1">
      <alignment horizontal="right" vertical="center"/>
    </xf>
    <xf numFmtId="49" fontId="0" fillId="0" borderId="0" xfId="0" applyNumberFormat="1" applyFont="1" applyAlignment="1" applyProtection="1">
      <alignment vertical="center"/>
    </xf>
    <xf numFmtId="164" fontId="8" fillId="11" borderId="26" xfId="0" applyNumberFormat="1" applyFont="1" applyFill="1" applyBorder="1" applyAlignment="1" applyProtection="1">
      <alignment horizontal="right" vertical="center"/>
    </xf>
    <xf numFmtId="164" fontId="10" fillId="9" borderId="0" xfId="0" applyNumberFormat="1" applyFont="1" applyFill="1" applyAlignment="1" applyProtection="1">
      <alignment vertical="center"/>
    </xf>
    <xf numFmtId="164" fontId="5" fillId="10" borderId="26" xfId="0" applyNumberFormat="1" applyFont="1" applyFill="1" applyBorder="1" applyAlignment="1" applyProtection="1">
      <alignment horizontal="left" vertical="center"/>
    </xf>
    <xf numFmtId="164" fontId="10" fillId="8" borderId="27" xfId="0" applyNumberFormat="1" applyFont="1" applyFill="1" applyBorder="1" applyAlignment="1" applyProtection="1">
      <alignment horizontal="left" vertical="center"/>
    </xf>
    <xf numFmtId="165" fontId="5" fillId="8" borderId="39" xfId="0" applyNumberFormat="1" applyFont="1" applyFill="1" applyBorder="1" applyAlignment="1" applyProtection="1">
      <alignment horizontal="right" vertical="center"/>
    </xf>
    <xf numFmtId="49" fontId="25" fillId="0" borderId="0" xfId="0" applyNumberFormat="1" applyFont="1" applyAlignment="1" applyProtection="1">
      <alignment vertical="center"/>
    </xf>
    <xf numFmtId="164" fontId="26" fillId="8" borderId="27" xfId="0" applyNumberFormat="1" applyFont="1" applyFill="1" applyBorder="1" applyAlignment="1" applyProtection="1">
      <alignment horizontal="left" vertical="center"/>
    </xf>
    <xf numFmtId="0" fontId="25" fillId="0" borderId="0" xfId="0" applyFont="1" applyAlignment="1">
      <alignment vertical="center"/>
    </xf>
    <xf numFmtId="0" fontId="22" fillId="0" borderId="0" xfId="0" applyFont="1" applyAlignment="1">
      <alignment vertical="center"/>
    </xf>
    <xf numFmtId="49" fontId="25" fillId="0" borderId="0" xfId="0" applyNumberFormat="1" applyFont="1" applyAlignment="1">
      <alignment vertical="center"/>
    </xf>
    <xf numFmtId="0" fontId="27" fillId="0" borderId="0" xfId="0" applyFont="1" applyAlignment="1">
      <alignment vertical="center"/>
    </xf>
    <xf numFmtId="38" fontId="2" fillId="13" borderId="0" xfId="0" applyNumberFormat="1" applyFont="1" applyFill="1" applyBorder="1" applyAlignment="1" applyProtection="1">
      <alignment vertical="center"/>
    </xf>
    <xf numFmtId="49" fontId="13" fillId="0" borderId="0" xfId="0" applyNumberFormat="1" applyFont="1" applyFill="1" applyBorder="1" applyAlignment="1" applyProtection="1">
      <alignment horizontal="center" vertical="center"/>
    </xf>
    <xf numFmtId="38" fontId="11" fillId="14" borderId="1" xfId="0" applyNumberFormat="1" applyFont="1" applyFill="1" applyBorder="1" applyAlignment="1" applyProtection="1">
      <alignment horizontal="left" vertical="center"/>
    </xf>
    <xf numFmtId="49" fontId="28" fillId="0" borderId="0" xfId="0" applyNumberFormat="1" applyFont="1" applyFill="1" applyBorder="1" applyAlignment="1" applyProtection="1">
      <alignment vertical="center"/>
    </xf>
    <xf numFmtId="38" fontId="11" fillId="12" borderId="3" xfId="0" applyNumberFormat="1" applyFont="1" applyFill="1" applyBorder="1" applyAlignment="1" applyProtection="1">
      <alignment horizontal="left" vertical="center"/>
    </xf>
    <xf numFmtId="1" fontId="11" fillId="12" borderId="2" xfId="0" applyNumberFormat="1" applyFont="1" applyFill="1" applyBorder="1" applyAlignment="1" applyProtection="1">
      <alignment horizontal="center" vertical="center"/>
    </xf>
    <xf numFmtId="49" fontId="28" fillId="0" borderId="0" xfId="0" applyNumberFormat="1" applyFont="1" applyFill="1" applyAlignment="1" applyProtection="1">
      <alignment vertical="center"/>
    </xf>
    <xf numFmtId="49" fontId="29" fillId="0" borderId="0" xfId="0" applyNumberFormat="1" applyFont="1" applyFill="1" applyAlignment="1" applyProtection="1">
      <alignment vertical="center"/>
    </xf>
    <xf numFmtId="0" fontId="27" fillId="0" borderId="0" xfId="0" applyFont="1" applyFill="1" applyAlignment="1">
      <alignment vertical="center"/>
    </xf>
    <xf numFmtId="38" fontId="8" fillId="13" borderId="11" xfId="0" applyNumberFormat="1" applyFont="1" applyFill="1" applyBorder="1" applyAlignment="1" applyProtection="1">
      <alignment horizontal="left" vertical="center"/>
    </xf>
    <xf numFmtId="38" fontId="8" fillId="13" borderId="12" xfId="0" applyNumberFormat="1" applyFont="1" applyFill="1" applyBorder="1" applyAlignment="1" applyProtection="1">
      <alignment vertical="center"/>
    </xf>
    <xf numFmtId="38" fontId="8" fillId="13" borderId="13" xfId="0" applyNumberFormat="1" applyFont="1" applyFill="1" applyBorder="1" applyAlignment="1" applyProtection="1">
      <alignment vertical="center"/>
    </xf>
    <xf numFmtId="38" fontId="8" fillId="13" borderId="14" xfId="0" applyNumberFormat="1" applyFont="1" applyFill="1" applyBorder="1" applyAlignment="1">
      <alignment vertical="center"/>
    </xf>
    <xf numFmtId="38" fontId="8" fillId="13" borderId="15" xfId="0" applyNumberFormat="1" applyFont="1" applyFill="1" applyBorder="1" applyAlignment="1" applyProtection="1">
      <alignment vertical="center"/>
    </xf>
    <xf numFmtId="38" fontId="8" fillId="13" borderId="16" xfId="0" applyNumberFormat="1" applyFont="1" applyFill="1" applyBorder="1" applyAlignment="1" applyProtection="1">
      <alignment vertical="center"/>
    </xf>
    <xf numFmtId="38" fontId="8" fillId="13" borderId="17" xfId="0" applyNumberFormat="1" applyFont="1" applyFill="1" applyBorder="1" applyAlignment="1">
      <alignment vertical="center"/>
    </xf>
    <xf numFmtId="38" fontId="8" fillId="13" borderId="18" xfId="0" applyNumberFormat="1" applyFont="1" applyFill="1" applyBorder="1" applyAlignment="1" applyProtection="1">
      <alignment horizontal="left" vertical="center"/>
    </xf>
    <xf numFmtId="38" fontId="8" fillId="13" borderId="19" xfId="0" applyNumberFormat="1" applyFont="1" applyFill="1" applyBorder="1" applyAlignment="1" applyProtection="1">
      <alignment vertical="center"/>
    </xf>
    <xf numFmtId="38" fontId="8" fillId="13" borderId="12" xfId="0" applyNumberFormat="1" applyFont="1" applyFill="1" applyBorder="1" applyAlignment="1" applyProtection="1">
      <alignment horizontal="right" vertical="center"/>
    </xf>
    <xf numFmtId="38" fontId="13" fillId="12" borderId="3" xfId="0" applyNumberFormat="1" applyFont="1" applyFill="1" applyBorder="1" applyAlignment="1" applyProtection="1">
      <alignment horizontal="left" vertical="center"/>
    </xf>
    <xf numFmtId="38" fontId="13" fillId="12" borderId="22" xfId="0" applyNumberFormat="1" applyFont="1" applyFill="1" applyBorder="1" applyAlignment="1" applyProtection="1">
      <alignment vertical="center"/>
    </xf>
    <xf numFmtId="38" fontId="8" fillId="13" borderId="16" xfId="0" applyNumberFormat="1" applyFont="1" applyFill="1" applyBorder="1" applyAlignment="1" applyProtection="1">
      <alignment horizontal="left" vertical="center"/>
    </xf>
    <xf numFmtId="38" fontId="8" fillId="13" borderId="17" xfId="0" applyNumberFormat="1" applyFont="1" applyFill="1" applyBorder="1" applyAlignment="1" applyProtection="1">
      <alignment horizontal="left" vertical="center"/>
    </xf>
    <xf numFmtId="38" fontId="11" fillId="12" borderId="1" xfId="0" applyNumberFormat="1" applyFont="1" applyFill="1" applyBorder="1" applyAlignment="1" applyProtection="1">
      <alignment horizontal="left" vertical="center"/>
    </xf>
    <xf numFmtId="38" fontId="11" fillId="12" borderId="2" xfId="0" applyNumberFormat="1" applyFont="1" applyFill="1" applyBorder="1" applyAlignment="1" applyProtection="1">
      <alignment horizontal="right" vertical="center"/>
    </xf>
    <xf numFmtId="49" fontId="29" fillId="0" borderId="0" xfId="0" applyNumberFormat="1" applyFont="1" applyFill="1" applyAlignment="1">
      <alignment vertical="center"/>
    </xf>
    <xf numFmtId="38" fontId="15" fillId="4" borderId="0" xfId="0" applyNumberFormat="1" applyFont="1" applyFill="1" applyBorder="1" applyAlignment="1" applyProtection="1">
      <alignment horizontal="left" vertical="center"/>
    </xf>
    <xf numFmtId="49" fontId="29" fillId="4" borderId="0" xfId="0" applyNumberFormat="1" applyFont="1" applyFill="1" applyAlignment="1">
      <alignment vertical="center"/>
    </xf>
    <xf numFmtId="38" fontId="15" fillId="4" borderId="0" xfId="0" applyNumberFormat="1" applyFont="1" applyFill="1" applyBorder="1" applyAlignment="1" applyProtection="1">
      <alignment vertical="center"/>
    </xf>
    <xf numFmtId="38" fontId="13" fillId="4" borderId="0" xfId="0" applyNumberFormat="1" applyFont="1" applyFill="1" applyBorder="1" applyAlignment="1" applyProtection="1">
      <alignment horizontal="left" vertical="center"/>
    </xf>
    <xf numFmtId="38" fontId="13" fillId="4" borderId="0" xfId="0" applyNumberFormat="1" applyFont="1" applyFill="1" applyBorder="1" applyAlignment="1" applyProtection="1">
      <alignment vertical="center"/>
    </xf>
    <xf numFmtId="38" fontId="8" fillId="13" borderId="1" xfId="0" applyNumberFormat="1" applyFont="1" applyFill="1" applyBorder="1" applyAlignment="1" applyProtection="1">
      <alignment horizontal="left" vertical="center"/>
    </xf>
    <xf numFmtId="38" fontId="8" fillId="13" borderId="2" xfId="0" applyNumberFormat="1" applyFont="1" applyFill="1" applyBorder="1" applyAlignment="1" applyProtection="1">
      <alignment vertical="center"/>
    </xf>
    <xf numFmtId="37" fontId="11" fillId="14" borderId="2" xfId="0" applyNumberFormat="1" applyFont="1" applyFill="1" applyBorder="1" applyAlignment="1" applyProtection="1">
      <alignment horizontal="right" vertical="center"/>
    </xf>
    <xf numFmtId="37" fontId="11" fillId="12" borderId="2" xfId="0" applyNumberFormat="1" applyFont="1" applyFill="1" applyBorder="1" applyAlignment="1" applyProtection="1">
      <alignment horizontal="right" vertical="center"/>
    </xf>
    <xf numFmtId="38" fontId="8" fillId="13" borderId="2" xfId="0" applyNumberFormat="1" applyFont="1" applyFill="1" applyBorder="1" applyAlignment="1" applyProtection="1">
      <alignment horizontal="right" vertical="center"/>
    </xf>
    <xf numFmtId="38" fontId="11" fillId="12" borderId="2" xfId="0" applyNumberFormat="1" applyFont="1" applyFill="1" applyBorder="1" applyAlignment="1">
      <alignment horizontal="right" vertical="center"/>
    </xf>
    <xf numFmtId="38" fontId="5" fillId="14" borderId="2" xfId="0" applyNumberFormat="1" applyFont="1" applyFill="1" applyBorder="1" applyAlignment="1" applyProtection="1">
      <alignment horizontal="left" vertical="center"/>
    </xf>
    <xf numFmtId="38" fontId="10" fillId="13" borderId="3" xfId="0" applyNumberFormat="1" applyFont="1" applyFill="1" applyBorder="1" applyAlignment="1">
      <alignment horizontal="left" vertical="center"/>
    </xf>
    <xf numFmtId="37" fontId="5" fillId="13" borderId="22" xfId="0" applyNumberFormat="1" applyFont="1" applyFill="1" applyBorder="1" applyAlignment="1" applyProtection="1">
      <alignment horizontal="right" vertical="center"/>
    </xf>
    <xf numFmtId="49" fontId="15" fillId="0" borderId="0" xfId="0" applyNumberFormat="1" applyFont="1" applyFill="1" applyAlignment="1" applyProtection="1">
      <alignment vertical="center"/>
    </xf>
    <xf numFmtId="38" fontId="30" fillId="13" borderId="3" xfId="0" applyNumberFormat="1" applyFont="1" applyFill="1" applyBorder="1" applyAlignment="1">
      <alignment horizontal="left" vertical="center"/>
    </xf>
    <xf numFmtId="0" fontId="15" fillId="0" borderId="0" xfId="0" applyFont="1" applyAlignment="1">
      <alignment vertical="center"/>
    </xf>
    <xf numFmtId="0" fontId="13" fillId="0" borderId="0" xfId="0" applyFont="1" applyAlignment="1">
      <alignment vertical="center"/>
    </xf>
    <xf numFmtId="38" fontId="31" fillId="4" borderId="0" xfId="0" applyNumberFormat="1" applyFont="1" applyFill="1" applyAlignment="1" applyProtection="1">
      <alignment vertical="center"/>
    </xf>
    <xf numFmtId="0" fontId="1" fillId="0" borderId="0" xfId="1" applyFont="1" applyAlignment="1">
      <alignment vertical="center"/>
    </xf>
    <xf numFmtId="49" fontId="2" fillId="0" borderId="0" xfId="1" applyNumberFormat="1" applyFont="1" applyFill="1" applyAlignment="1" applyProtection="1">
      <alignment vertical="center"/>
    </xf>
    <xf numFmtId="38" fontId="2" fillId="3" borderId="0" xfId="1" applyNumberFormat="1" applyFont="1" applyFill="1" applyBorder="1" applyAlignment="1" applyProtection="1">
      <alignment vertical="center"/>
    </xf>
    <xf numFmtId="0" fontId="7" fillId="0" borderId="0" xfId="1" applyFill="1" applyAlignment="1">
      <alignment vertical="center"/>
    </xf>
    <xf numFmtId="0" fontId="7" fillId="0" borderId="0" xfId="1" applyAlignment="1">
      <alignment vertical="center"/>
    </xf>
    <xf numFmtId="49" fontId="6" fillId="0" borderId="0" xfId="1" applyNumberFormat="1" applyFont="1" applyFill="1" applyAlignment="1" applyProtection="1">
      <alignment vertical="center"/>
    </xf>
    <xf numFmtId="49" fontId="6" fillId="0" borderId="0" xfId="1" applyNumberFormat="1" applyFont="1" applyFill="1" applyAlignment="1">
      <alignment vertical="center"/>
    </xf>
    <xf numFmtId="38" fontId="8" fillId="0" borderId="0" xfId="1" applyNumberFormat="1" applyFont="1" applyFill="1" applyBorder="1" applyAlignment="1" applyProtection="1">
      <alignment horizontal="center" vertical="center"/>
    </xf>
    <xf numFmtId="49" fontId="9" fillId="0" borderId="0" xfId="1" applyNumberFormat="1" applyFont="1" applyFill="1" applyBorder="1" applyAlignment="1" applyProtection="1">
      <alignment horizontal="center" vertical="center"/>
    </xf>
    <xf numFmtId="38" fontId="10" fillId="0" borderId="0" xfId="1" applyNumberFormat="1" applyFont="1" applyFill="1" applyBorder="1" applyAlignment="1" applyProtection="1">
      <alignment horizontal="center" vertical="center"/>
    </xf>
    <xf numFmtId="38" fontId="2" fillId="0" borderId="0" xfId="1" applyNumberFormat="1" applyFont="1" applyFill="1" applyBorder="1" applyAlignment="1" applyProtection="1">
      <alignment vertical="center"/>
    </xf>
    <xf numFmtId="49" fontId="6" fillId="0" borderId="0" xfId="1" applyNumberFormat="1" applyFont="1" applyFill="1" applyBorder="1" applyAlignment="1" applyProtection="1">
      <alignment vertical="center"/>
    </xf>
    <xf numFmtId="38" fontId="11" fillId="5" borderId="1" xfId="1" applyNumberFormat="1" applyFont="1" applyFill="1" applyBorder="1" applyAlignment="1" applyProtection="1">
      <alignment horizontal="left" vertical="center"/>
    </xf>
    <xf numFmtId="49" fontId="4" fillId="0" borderId="0" xfId="1" applyNumberFormat="1" applyFont="1" applyFill="1" applyBorder="1" applyAlignment="1" applyProtection="1">
      <alignment vertical="center"/>
    </xf>
    <xf numFmtId="0" fontId="7" fillId="0" borderId="0" xfId="1" applyBorder="1" applyAlignment="1">
      <alignment vertical="center"/>
    </xf>
    <xf numFmtId="38" fontId="11" fillId="2" borderId="3" xfId="1" applyNumberFormat="1" applyFont="1" applyFill="1" applyBorder="1" applyAlignment="1" applyProtection="1">
      <alignment horizontal="left" vertical="center"/>
    </xf>
    <xf numFmtId="1" fontId="11" fillId="2" borderId="2" xfId="1" applyNumberFormat="1" applyFont="1" applyFill="1" applyBorder="1" applyAlignment="1" applyProtection="1">
      <alignment horizontal="center" vertical="center"/>
    </xf>
    <xf numFmtId="49" fontId="4" fillId="0" borderId="0" xfId="1" applyNumberFormat="1" applyFont="1" applyFill="1" applyAlignment="1" applyProtection="1">
      <alignment vertical="center"/>
    </xf>
    <xf numFmtId="38" fontId="7" fillId="0" borderId="4" xfId="1" applyNumberFormat="1" applyFont="1" applyFill="1" applyBorder="1" applyAlignment="1" applyProtection="1">
      <alignment vertical="center"/>
    </xf>
    <xf numFmtId="38" fontId="7" fillId="0" borderId="5" xfId="1" applyNumberFormat="1" applyFont="1" applyFill="1" applyBorder="1" applyAlignment="1" applyProtection="1">
      <alignment vertical="center"/>
      <protection locked="0"/>
    </xf>
    <xf numFmtId="49" fontId="12" fillId="0" borderId="0" xfId="1" applyNumberFormat="1" applyFont="1" applyFill="1" applyAlignment="1" applyProtection="1">
      <alignment vertical="center"/>
    </xf>
    <xf numFmtId="38" fontId="7" fillId="0" borderId="6" xfId="1" applyNumberFormat="1" applyFont="1" applyFill="1" applyBorder="1" applyAlignment="1" applyProtection="1">
      <alignment vertical="center"/>
    </xf>
    <xf numFmtId="38" fontId="7" fillId="0" borderId="7" xfId="1" applyNumberFormat="1" applyFont="1" applyFill="1" applyBorder="1" applyAlignment="1" applyProtection="1">
      <alignment vertical="center"/>
      <protection locked="0"/>
    </xf>
    <xf numFmtId="38" fontId="7" fillId="0" borderId="8" xfId="1" applyNumberFormat="1" applyFont="1" applyFill="1" applyBorder="1" applyAlignment="1" applyProtection="1">
      <alignment vertical="center"/>
      <protection locked="0"/>
    </xf>
    <xf numFmtId="0" fontId="1" fillId="0" borderId="0" xfId="1" applyFont="1" applyFill="1" applyAlignment="1">
      <alignment vertical="center"/>
    </xf>
    <xf numFmtId="38" fontId="7" fillId="0" borderId="9" xfId="1" applyNumberFormat="1" applyFont="1" applyFill="1" applyBorder="1" applyAlignment="1" applyProtection="1">
      <alignment vertical="center"/>
    </xf>
    <xf numFmtId="38" fontId="7" fillId="0" borderId="10" xfId="1" applyNumberFormat="1" applyFont="1" applyFill="1" applyBorder="1" applyAlignment="1" applyProtection="1">
      <alignment vertical="center"/>
      <protection locked="0"/>
    </xf>
    <xf numFmtId="38" fontId="8" fillId="3" borderId="11" xfId="1" applyNumberFormat="1" applyFont="1" applyFill="1" applyBorder="1" applyAlignment="1" applyProtection="1">
      <alignment horizontal="left" vertical="center"/>
    </xf>
    <xf numFmtId="38" fontId="8" fillId="3" borderId="12" xfId="1" applyNumberFormat="1" applyFont="1" applyFill="1" applyBorder="1" applyAlignment="1" applyProtection="1">
      <alignment vertical="center"/>
    </xf>
    <xf numFmtId="38" fontId="8" fillId="3" borderId="13" xfId="1" applyNumberFormat="1" applyFont="1" applyFill="1" applyBorder="1" applyAlignment="1" applyProtection="1">
      <alignment vertical="center"/>
    </xf>
    <xf numFmtId="38" fontId="8" fillId="3" borderId="14" xfId="1" applyNumberFormat="1" applyFont="1" applyFill="1" applyBorder="1" applyAlignment="1">
      <alignment vertical="center"/>
    </xf>
    <xf numFmtId="38" fontId="8" fillId="3" borderId="15" xfId="1" applyNumberFormat="1" applyFont="1" applyFill="1" applyBorder="1" applyAlignment="1" applyProtection="1">
      <alignment vertical="center"/>
    </xf>
    <xf numFmtId="38" fontId="8" fillId="3" borderId="16" xfId="1" applyNumberFormat="1" applyFont="1" applyFill="1" applyBorder="1" applyAlignment="1" applyProtection="1">
      <alignment vertical="center"/>
    </xf>
    <xf numFmtId="38" fontId="8" fillId="3" borderId="17" xfId="1" applyNumberFormat="1" applyFont="1" applyFill="1" applyBorder="1" applyAlignment="1">
      <alignment vertical="center"/>
    </xf>
    <xf numFmtId="38" fontId="8" fillId="3" borderId="18" xfId="1" applyNumberFormat="1" applyFont="1" applyFill="1" applyBorder="1" applyAlignment="1" applyProtection="1">
      <alignment horizontal="left" vertical="center"/>
    </xf>
    <xf numFmtId="38" fontId="8" fillId="3" borderId="19" xfId="1" applyNumberFormat="1" applyFont="1" applyFill="1" applyBorder="1" applyAlignment="1" applyProtection="1">
      <alignment vertical="center"/>
    </xf>
    <xf numFmtId="38" fontId="8" fillId="3" borderId="12" xfId="1" applyNumberFormat="1" applyFont="1" applyFill="1" applyBorder="1" applyAlignment="1" applyProtection="1">
      <alignment horizontal="right" vertical="center"/>
    </xf>
    <xf numFmtId="38" fontId="7" fillId="0" borderId="20" xfId="1" applyNumberFormat="1" applyFont="1" applyFill="1" applyBorder="1" applyAlignment="1" applyProtection="1">
      <alignment vertical="center"/>
    </xf>
    <xf numFmtId="38" fontId="13" fillId="2" borderId="3" xfId="1" applyNumberFormat="1" applyFont="1" applyFill="1" applyBorder="1" applyAlignment="1" applyProtection="1">
      <alignment horizontal="left" vertical="center"/>
    </xf>
    <xf numFmtId="38" fontId="13" fillId="2" borderId="22" xfId="1" applyNumberFormat="1" applyFont="1" applyFill="1" applyBorder="1" applyAlignment="1" applyProtection="1">
      <alignment vertical="center"/>
    </xf>
    <xf numFmtId="38" fontId="14" fillId="4" borderId="18" xfId="1" applyNumberFormat="1" applyFont="1" applyFill="1" applyBorder="1" applyAlignment="1" applyProtection="1">
      <alignment horizontal="left" vertical="center"/>
    </xf>
    <xf numFmtId="38" fontId="7" fillId="4" borderId="19" xfId="1" applyNumberFormat="1" applyFont="1" applyFill="1" applyBorder="1" applyAlignment="1">
      <alignment vertical="center"/>
    </xf>
    <xf numFmtId="38" fontId="8" fillId="3" borderId="16" xfId="1" applyNumberFormat="1" applyFont="1" applyFill="1" applyBorder="1" applyAlignment="1" applyProtection="1">
      <alignment horizontal="left" vertical="center"/>
    </xf>
    <xf numFmtId="38" fontId="8" fillId="3" borderId="17" xfId="1" applyNumberFormat="1" applyFont="1" applyFill="1" applyBorder="1" applyAlignment="1" applyProtection="1">
      <alignment horizontal="left" vertical="center"/>
    </xf>
    <xf numFmtId="38" fontId="7" fillId="0" borderId="23" xfId="1" applyNumberFormat="1" applyFont="1" applyFill="1" applyBorder="1" applyAlignment="1" applyProtection="1">
      <alignment vertical="center"/>
    </xf>
    <xf numFmtId="49" fontId="6" fillId="0" borderId="0" xfId="1" applyNumberFormat="1" applyFont="1" applyFill="1" applyBorder="1" applyAlignment="1">
      <alignment vertical="center"/>
    </xf>
    <xf numFmtId="38" fontId="11" fillId="2" borderId="1" xfId="1" applyNumberFormat="1" applyFont="1" applyFill="1" applyBorder="1" applyAlignment="1" applyProtection="1">
      <alignment horizontal="left" vertical="center"/>
    </xf>
    <xf numFmtId="38" fontId="11" fillId="2" borderId="2" xfId="1" applyNumberFormat="1" applyFont="1" applyFill="1" applyBorder="1" applyAlignment="1" applyProtection="1">
      <alignment horizontal="right" vertical="center"/>
    </xf>
    <xf numFmtId="49" fontId="6" fillId="4" borderId="0" xfId="1" applyNumberFormat="1" applyFont="1" applyFill="1" applyAlignment="1">
      <alignment vertical="center"/>
    </xf>
    <xf numFmtId="38" fontId="15" fillId="4" borderId="0" xfId="1" applyNumberFormat="1" applyFont="1" applyFill="1" applyAlignment="1" applyProtection="1">
      <alignment vertical="center"/>
    </xf>
    <xf numFmtId="49" fontId="12" fillId="0" borderId="0" xfId="1" applyNumberFormat="1" applyFont="1" applyFill="1" applyAlignment="1">
      <alignment vertical="center"/>
    </xf>
    <xf numFmtId="38" fontId="16" fillId="4" borderId="0" xfId="1" applyNumberFormat="1" applyFont="1" applyFill="1" applyBorder="1" applyAlignment="1" applyProtection="1">
      <alignment horizontal="left" vertical="center"/>
    </xf>
    <xf numFmtId="49" fontId="12" fillId="4" borderId="0" xfId="1" applyNumberFormat="1" applyFont="1" applyFill="1" applyAlignment="1">
      <alignment vertical="center"/>
    </xf>
    <xf numFmtId="38" fontId="16" fillId="4" borderId="0" xfId="1" applyNumberFormat="1" applyFont="1" applyFill="1" applyBorder="1" applyAlignment="1" applyProtection="1">
      <alignment vertical="center"/>
    </xf>
    <xf numFmtId="38" fontId="9" fillId="4" borderId="0" xfId="1" applyNumberFormat="1" applyFont="1" applyFill="1" applyBorder="1" applyAlignment="1" applyProtection="1">
      <alignment horizontal="left" vertical="center"/>
    </xf>
    <xf numFmtId="38" fontId="9" fillId="4" borderId="0" xfId="1" applyNumberFormat="1" applyFont="1" applyFill="1" applyBorder="1" applyAlignment="1" applyProtection="1">
      <alignment vertical="center"/>
    </xf>
    <xf numFmtId="38" fontId="7" fillId="4" borderId="0" xfId="1" applyNumberFormat="1" applyFont="1" applyFill="1" applyAlignment="1" applyProtection="1">
      <alignment vertical="center"/>
    </xf>
    <xf numFmtId="38" fontId="8" fillId="3" borderId="1" xfId="1" applyNumberFormat="1" applyFont="1" applyFill="1" applyBorder="1" applyAlignment="1" applyProtection="1">
      <alignment horizontal="left" vertical="center"/>
    </xf>
    <xf numFmtId="38" fontId="8" fillId="3" borderId="2" xfId="1" applyNumberFormat="1" applyFont="1" applyFill="1" applyBorder="1" applyAlignment="1" applyProtection="1">
      <alignment vertical="center"/>
    </xf>
    <xf numFmtId="38" fontId="7" fillId="0" borderId="24" xfId="1" applyNumberFormat="1" applyFont="1" applyFill="1" applyBorder="1" applyAlignment="1" applyProtection="1">
      <alignment vertical="center"/>
    </xf>
    <xf numFmtId="38" fontId="5" fillId="4" borderId="0" xfId="1" applyNumberFormat="1" applyFont="1" applyFill="1" applyBorder="1" applyAlignment="1" applyProtection="1">
      <alignment horizontal="right" vertical="center"/>
    </xf>
    <xf numFmtId="38" fontId="5" fillId="0" borderId="0" xfId="1" applyNumberFormat="1" applyFont="1" applyFill="1" applyBorder="1" applyAlignment="1" applyProtection="1">
      <alignment horizontal="left" vertical="center"/>
    </xf>
    <xf numFmtId="38" fontId="10" fillId="0" borderId="0" xfId="1" applyNumberFormat="1" applyFont="1" applyFill="1" applyBorder="1" applyAlignment="1" applyProtection="1">
      <alignment horizontal="right" vertical="center"/>
    </xf>
    <xf numFmtId="37" fontId="3" fillId="5" borderId="2" xfId="1" applyNumberFormat="1" applyFont="1" applyFill="1" applyBorder="1" applyAlignment="1" applyProtection="1">
      <alignment horizontal="right" vertical="center"/>
    </xf>
    <xf numFmtId="38" fontId="7" fillId="0" borderId="6" xfId="1" applyNumberFormat="1" applyFont="1" applyFill="1" applyBorder="1" applyAlignment="1" applyProtection="1">
      <alignment horizontal="left" vertical="center"/>
    </xf>
    <xf numFmtId="38" fontId="7" fillId="0" borderId="7" xfId="1" applyNumberFormat="1" applyFont="1" applyFill="1" applyBorder="1" applyAlignment="1" applyProtection="1">
      <alignment horizontal="right" vertical="center"/>
      <protection locked="0"/>
    </xf>
    <xf numFmtId="38" fontId="7" fillId="0" borderId="4" xfId="1" applyNumberFormat="1" applyFont="1" applyFill="1" applyBorder="1" applyAlignment="1" applyProtection="1">
      <alignment horizontal="left" vertical="center"/>
    </xf>
    <xf numFmtId="38" fontId="7" fillId="0" borderId="5" xfId="1" applyNumberFormat="1" applyFont="1" applyFill="1" applyBorder="1" applyAlignment="1" applyProtection="1">
      <alignment horizontal="right" vertical="center"/>
      <protection locked="0"/>
    </xf>
    <xf numFmtId="38" fontId="7" fillId="0" borderId="15" xfId="1" applyNumberFormat="1" applyFont="1" applyFill="1" applyBorder="1" applyAlignment="1" applyProtection="1">
      <alignment horizontal="left" vertical="center"/>
    </xf>
    <xf numFmtId="38" fontId="7" fillId="0" borderId="10" xfId="1" applyNumberFormat="1" applyFont="1" applyFill="1" applyBorder="1" applyAlignment="1" applyProtection="1">
      <alignment horizontal="right" vertical="center"/>
      <protection locked="0"/>
    </xf>
    <xf numFmtId="37" fontId="11" fillId="2" borderId="2" xfId="1" applyNumberFormat="1" applyFont="1" applyFill="1" applyBorder="1" applyAlignment="1" applyProtection="1">
      <alignment horizontal="right" vertical="center"/>
    </xf>
    <xf numFmtId="49" fontId="7" fillId="0" borderId="0" xfId="1" applyNumberFormat="1" applyFont="1" applyFill="1" applyAlignment="1" applyProtection="1">
      <alignment vertical="center"/>
    </xf>
    <xf numFmtId="38" fontId="8" fillId="6" borderId="2" xfId="1" applyNumberFormat="1" applyFont="1" applyFill="1" applyBorder="1" applyAlignment="1" applyProtection="1">
      <alignment horizontal="right" vertical="center"/>
    </xf>
    <xf numFmtId="38" fontId="7" fillId="0" borderId="24" xfId="1" applyNumberFormat="1" applyFont="1" applyFill="1" applyBorder="1" applyAlignment="1" applyProtection="1">
      <alignment horizontal="left" vertical="center"/>
    </xf>
    <xf numFmtId="38" fontId="11" fillId="2" borderId="2" xfId="1" applyNumberFormat="1" applyFont="1" applyFill="1" applyBorder="1" applyAlignment="1">
      <alignment horizontal="right" vertical="center"/>
    </xf>
    <xf numFmtId="38" fontId="3" fillId="5" borderId="1" xfId="1" applyNumberFormat="1" applyFont="1" applyFill="1" applyBorder="1" applyAlignment="1" applyProtection="1">
      <alignment horizontal="left" vertical="center"/>
    </xf>
    <xf numFmtId="38" fontId="10" fillId="4" borderId="0" xfId="1" applyNumberFormat="1" applyFont="1" applyFill="1" applyAlignment="1" applyProtection="1">
      <alignment vertical="center"/>
    </xf>
    <xf numFmtId="38" fontId="5" fillId="5" borderId="2" xfId="1" applyNumberFormat="1" applyFont="1" applyFill="1" applyBorder="1" applyAlignment="1" applyProtection="1">
      <alignment horizontal="left" vertical="center"/>
    </xf>
    <xf numFmtId="38" fontId="10" fillId="3" borderId="3" xfId="1" applyNumberFormat="1" applyFont="1" applyFill="1" applyBorder="1" applyAlignment="1">
      <alignment horizontal="left" vertical="center"/>
    </xf>
    <xf numFmtId="37" fontId="5" fillId="3" borderId="22" xfId="1" applyNumberFormat="1" applyFont="1" applyFill="1" applyBorder="1" applyAlignment="1" applyProtection="1">
      <alignment horizontal="right" vertical="center"/>
    </xf>
    <xf numFmtId="49" fontId="16" fillId="0" borderId="0" xfId="1" applyNumberFormat="1" applyFont="1" applyFill="1" applyAlignment="1" applyProtection="1">
      <alignment vertical="center"/>
    </xf>
    <xf numFmtId="38" fontId="17" fillId="3" borderId="3" xfId="1" applyNumberFormat="1" applyFont="1" applyFill="1" applyBorder="1" applyAlignment="1">
      <alignment horizontal="left" vertical="center"/>
    </xf>
    <xf numFmtId="0" fontId="16" fillId="0" borderId="0" xfId="1" applyFont="1" applyAlignment="1">
      <alignment vertical="center"/>
    </xf>
    <xf numFmtId="0" fontId="9" fillId="0" borderId="0" xfId="1" applyFont="1" applyAlignment="1">
      <alignment vertical="center"/>
    </xf>
    <xf numFmtId="38" fontId="16" fillId="4" borderId="0" xfId="1" applyNumberFormat="1" applyFont="1" applyFill="1" applyAlignment="1" applyProtection="1">
      <alignment vertical="center"/>
    </xf>
    <xf numFmtId="38" fontId="18" fillId="4" borderId="0" xfId="1" applyNumberFormat="1" applyFont="1" applyFill="1" applyAlignment="1" applyProtection="1">
      <alignment vertical="center"/>
    </xf>
    <xf numFmtId="38" fontId="7" fillId="4" borderId="0" xfId="0" applyNumberFormat="1" applyFont="1" applyFill="1" applyAlignment="1" applyProtection="1">
      <alignment vertical="center"/>
      <protection locked="0"/>
    </xf>
    <xf numFmtId="38" fontId="11" fillId="5" borderId="2" xfId="0" applyNumberFormat="1" applyFont="1" applyFill="1" applyBorder="1" applyAlignment="1" applyProtection="1">
      <alignment horizontal="center" vertical="center"/>
    </xf>
    <xf numFmtId="38" fontId="11" fillId="5" borderId="2" xfId="1" applyNumberFormat="1" applyFont="1" applyFill="1" applyBorder="1" applyAlignment="1" applyProtection="1">
      <alignment horizontal="center" vertical="center"/>
    </xf>
    <xf numFmtId="38" fontId="11" fillId="14" borderId="2" xfId="0" applyNumberFormat="1" applyFont="1" applyFill="1" applyBorder="1" applyAlignment="1" applyProtection="1">
      <alignment horizontal="center" vertical="center"/>
    </xf>
    <xf numFmtId="38" fontId="7" fillId="4" borderId="0" xfId="0" applyNumberFormat="1" applyFont="1" applyFill="1" applyBorder="1" applyAlignment="1" applyProtection="1">
      <alignment vertical="center"/>
    </xf>
    <xf numFmtId="38" fontId="7" fillId="4" borderId="0" xfId="1" applyNumberFormat="1" applyFont="1" applyFill="1" applyBorder="1" applyAlignment="1" applyProtection="1">
      <alignment vertical="center"/>
    </xf>
    <xf numFmtId="164" fontId="0" fillId="9" borderId="0" xfId="0" applyNumberFormat="1" applyFont="1" applyFill="1" applyBorder="1" applyAlignment="1" applyProtection="1">
      <alignment vertical="center"/>
    </xf>
    <xf numFmtId="1" fontId="11" fillId="2" borderId="22" xfId="0" applyNumberFormat="1" applyFont="1" applyFill="1" applyBorder="1" applyAlignment="1" applyProtection="1">
      <alignment horizontal="center" vertical="center"/>
    </xf>
    <xf numFmtId="1" fontId="11" fillId="12" borderId="22" xfId="0" applyNumberFormat="1" applyFont="1" applyFill="1" applyBorder="1" applyAlignment="1" applyProtection="1">
      <alignment horizontal="center" vertical="center"/>
    </xf>
    <xf numFmtId="1" fontId="11" fillId="2" borderId="22" xfId="1" applyNumberFormat="1" applyFont="1" applyFill="1" applyBorder="1" applyAlignment="1" applyProtection="1">
      <alignment horizontal="center" vertical="center"/>
    </xf>
    <xf numFmtId="1" fontId="21" fillId="7" borderId="39" xfId="0" applyNumberFormat="1" applyFont="1" applyFill="1" applyBorder="1" applyAlignment="1" applyProtection="1">
      <alignment horizontal="center" vertical="center"/>
    </xf>
    <xf numFmtId="164" fontId="21" fillId="10" borderId="1" xfId="0" applyNumberFormat="1" applyFont="1" applyFill="1" applyBorder="1" applyAlignment="1" applyProtection="1">
      <alignment horizontal="left" vertical="center"/>
    </xf>
    <xf numFmtId="164" fontId="21" fillId="10" borderId="2" xfId="0" applyNumberFormat="1" applyFont="1" applyFill="1" applyBorder="1" applyAlignment="1" applyProtection="1">
      <alignment horizontal="center" vertical="center"/>
    </xf>
    <xf numFmtId="164" fontId="0" fillId="0" borderId="40" xfId="0" applyNumberFormat="1" applyFont="1" applyBorder="1" applyAlignment="1" applyProtection="1">
      <alignment vertical="center"/>
    </xf>
    <xf numFmtId="164" fontId="0" fillId="0" borderId="41" xfId="0" applyNumberFormat="1" applyFont="1" applyBorder="1" applyAlignment="1" applyProtection="1">
      <alignment vertical="center"/>
      <protection locked="0"/>
    </xf>
    <xf numFmtId="164" fontId="0" fillId="0" borderId="42" xfId="0" applyNumberFormat="1" applyFont="1" applyBorder="1" applyAlignment="1" applyProtection="1">
      <alignment vertical="center"/>
    </xf>
    <xf numFmtId="164" fontId="0" fillId="0" borderId="43" xfId="0" applyNumberFormat="1" applyFont="1" applyBorder="1" applyAlignment="1" applyProtection="1">
      <alignment vertical="center"/>
      <protection locked="0"/>
    </xf>
    <xf numFmtId="164" fontId="0" fillId="0" borderId="44" xfId="0" applyNumberFormat="1" applyFont="1" applyBorder="1" applyAlignment="1" applyProtection="1">
      <alignment vertical="center"/>
    </xf>
    <xf numFmtId="164" fontId="0" fillId="0" borderId="45" xfId="0" applyNumberFormat="1" applyFont="1" applyBorder="1" applyAlignment="1" applyProtection="1">
      <alignment vertical="center"/>
      <protection locked="0"/>
    </xf>
    <xf numFmtId="164" fontId="0" fillId="0" borderId="46" xfId="0" applyNumberFormat="1" applyFont="1" applyBorder="1" applyAlignment="1" applyProtection="1">
      <alignment vertical="center"/>
    </xf>
    <xf numFmtId="164" fontId="0" fillId="0" borderId="47" xfId="0" applyNumberFormat="1" applyFont="1" applyBorder="1" applyAlignment="1" applyProtection="1">
      <alignment vertical="center"/>
      <protection locked="0"/>
    </xf>
    <xf numFmtId="164" fontId="0" fillId="0" borderId="40" xfId="0" applyNumberFormat="1" applyFont="1" applyBorder="1" applyAlignment="1" applyProtection="1">
      <alignment horizontal="left" vertical="center"/>
    </xf>
    <xf numFmtId="164" fontId="0" fillId="0" borderId="41" xfId="0" applyNumberFormat="1" applyFont="1" applyBorder="1" applyAlignment="1" applyProtection="1">
      <alignment horizontal="right" vertical="center"/>
      <protection locked="0"/>
    </xf>
    <xf numFmtId="164" fontId="0" fillId="0" borderId="42" xfId="0" applyNumberFormat="1" applyFont="1" applyBorder="1" applyAlignment="1" applyProtection="1">
      <alignment horizontal="left" vertical="center"/>
    </xf>
    <xf numFmtId="164" fontId="0" fillId="0" borderId="43" xfId="0" applyNumberFormat="1" applyFont="1" applyBorder="1" applyAlignment="1" applyProtection="1">
      <alignment horizontal="right" vertical="center"/>
      <protection locked="0"/>
    </xf>
    <xf numFmtId="164" fontId="0" fillId="0" borderId="45" xfId="0" applyNumberFormat="1" applyFont="1" applyBorder="1" applyAlignment="1" applyProtection="1">
      <alignment horizontal="right" vertical="center"/>
      <protection locked="0"/>
    </xf>
    <xf numFmtId="164" fontId="0" fillId="0" borderId="48" xfId="0" applyNumberFormat="1" applyFont="1" applyBorder="1" applyAlignment="1" applyProtection="1">
      <alignment horizontal="left" vertical="center"/>
    </xf>
    <xf numFmtId="164" fontId="0" fillId="0" borderId="49" xfId="0" applyNumberFormat="1" applyFont="1" applyBorder="1" applyAlignment="1" applyProtection="1">
      <alignment horizontal="right" vertical="center"/>
      <protection locked="0"/>
    </xf>
    <xf numFmtId="38" fontId="7" fillId="0" borderId="8" xfId="0" applyNumberFormat="1" applyFont="1" applyFill="1" applyBorder="1" applyAlignment="1" applyProtection="1">
      <alignment horizontal="right" vertical="center"/>
      <protection locked="0"/>
    </xf>
    <xf numFmtId="38" fontId="7" fillId="0" borderId="50" xfId="0" applyNumberFormat="1" applyFont="1" applyFill="1" applyBorder="1" applyAlignment="1" applyProtection="1">
      <alignment horizontal="right" vertical="center"/>
      <protection locked="0"/>
    </xf>
    <xf numFmtId="0" fontId="3" fillId="2" borderId="0" xfId="0" applyFont="1" applyFill="1" applyBorder="1" applyAlignment="1" applyProtection="1">
      <alignment horizontal="right" vertical="center"/>
    </xf>
    <xf numFmtId="0" fontId="4" fillId="2" borderId="0" xfId="0" applyFont="1" applyFill="1" applyAlignment="1">
      <alignment vertical="center"/>
    </xf>
    <xf numFmtId="49" fontId="5" fillId="3" borderId="0" xfId="0" applyNumberFormat="1" applyFont="1" applyFill="1" applyBorder="1" applyAlignment="1" applyProtection="1">
      <alignment horizontal="left" vertical="center"/>
    </xf>
    <xf numFmtId="0" fontId="4" fillId="2" borderId="0" xfId="0" applyFont="1" applyFill="1" applyBorder="1" applyAlignment="1">
      <alignment vertical="center"/>
    </xf>
    <xf numFmtId="0" fontId="5" fillId="3" borderId="0" xfId="0" applyNumberFormat="1" applyFont="1" applyFill="1" applyBorder="1" applyAlignment="1" applyProtection="1">
      <alignment horizontal="left" vertical="center"/>
    </xf>
    <xf numFmtId="164" fontId="21" fillId="7" borderId="0" xfId="0" applyNumberFormat="1" applyFont="1" applyFill="1" applyBorder="1" applyAlignment="1" applyProtection="1">
      <alignment horizontal="right" vertical="center"/>
    </xf>
    <xf numFmtId="49" fontId="5" fillId="8" borderId="0" xfId="0" applyNumberFormat="1" applyFont="1" applyFill="1" applyBorder="1" applyAlignment="1" applyProtection="1">
      <alignment horizontal="left" vertical="center"/>
    </xf>
    <xf numFmtId="0" fontId="5" fillId="8" borderId="0" xfId="0" applyFont="1" applyFill="1" applyBorder="1" applyAlignment="1" applyProtection="1">
      <alignment horizontal="left" vertical="center"/>
    </xf>
    <xf numFmtId="0" fontId="3" fillId="2" borderId="0" xfId="1" applyFont="1" applyFill="1" applyBorder="1" applyAlignment="1" applyProtection="1">
      <alignment horizontal="right" vertical="center"/>
    </xf>
    <xf numFmtId="0" fontId="4" fillId="2" borderId="0" xfId="1" applyFont="1" applyFill="1" applyAlignment="1">
      <alignment vertical="center"/>
    </xf>
    <xf numFmtId="49" fontId="5" fillId="3" borderId="0" xfId="1" applyNumberFormat="1" applyFont="1" applyFill="1" applyBorder="1" applyAlignment="1" applyProtection="1">
      <alignment horizontal="left" vertical="center"/>
    </xf>
    <xf numFmtId="0" fontId="4" fillId="2" borderId="0" xfId="1" applyFont="1" applyFill="1" applyBorder="1" applyAlignment="1">
      <alignment vertical="center"/>
    </xf>
    <xf numFmtId="0" fontId="5" fillId="3" borderId="0" xfId="1" applyNumberFormat="1" applyFont="1" applyFill="1" applyBorder="1" applyAlignment="1" applyProtection="1">
      <alignment horizontal="left" vertical="center"/>
    </xf>
    <xf numFmtId="0" fontId="11" fillId="12" borderId="0" xfId="0" applyFont="1" applyFill="1" applyBorder="1" applyAlignment="1" applyProtection="1">
      <alignment horizontal="right" vertical="center"/>
    </xf>
    <xf numFmtId="0" fontId="28" fillId="12" borderId="0" xfId="0" applyFont="1" applyFill="1" applyAlignment="1">
      <alignment vertical="center"/>
    </xf>
    <xf numFmtId="49" fontId="5" fillId="13" borderId="0" xfId="0" applyNumberFormat="1" applyFont="1" applyFill="1" applyBorder="1" applyAlignment="1" applyProtection="1">
      <alignment horizontal="left" vertical="center"/>
    </xf>
    <xf numFmtId="0" fontId="28" fillId="12" borderId="0" xfId="0" applyFont="1" applyFill="1" applyBorder="1" applyAlignment="1">
      <alignment vertical="center"/>
    </xf>
    <xf numFmtId="0" fontId="5" fillId="13" borderId="0" xfId="0" applyNumberFormat="1" applyFont="1" applyFill="1" applyBorder="1" applyAlignment="1" applyProtection="1">
      <alignment horizontal="left" vertical="center"/>
    </xf>
  </cellXfs>
  <cellStyles count="2">
    <cellStyle name="Normal" xfId="0" builtinId="0"/>
    <cellStyle name="Normal 2" xfId="1"/>
  </cellStyles>
  <dxfs count="46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39994506668294322"/>
        </patternFill>
      </fill>
    </dxf>
    <dxf>
      <fill>
        <patternFill>
          <bgColor theme="9" tint="0.79998168889431442"/>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39994506668294322"/>
        </patternFill>
      </fill>
    </dxf>
    <dxf>
      <fill>
        <patternFill>
          <bgColor theme="9" tint="0.79998168889431442"/>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39994506668294322"/>
        </patternFill>
      </fill>
    </dxf>
    <dxf>
      <fill>
        <patternFill>
          <bgColor theme="9" tint="0.79998168889431442"/>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39994506668294322"/>
        </patternFill>
      </fill>
    </dxf>
    <dxf>
      <fill>
        <patternFill>
          <bgColor theme="9" tint="0.79998168889431442"/>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39994506668294322"/>
        </patternFill>
      </fill>
    </dxf>
    <dxf>
      <fill>
        <patternFill>
          <bgColor theme="9" tint="0.79998168889431442"/>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39994506668294322"/>
        </patternFill>
      </fill>
    </dxf>
    <dxf>
      <fill>
        <patternFill>
          <bgColor theme="9" tint="0.79998168889431442"/>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theme="9" tint="0.39994506668294322"/>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39994506668294322"/>
        </patternFill>
      </fill>
    </dxf>
    <dxf>
      <fill>
        <patternFill>
          <bgColor theme="9" tint="0.79998168889431442"/>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39994506668294322"/>
        </patternFill>
      </fill>
    </dxf>
    <dxf>
      <fill>
        <patternFill>
          <bgColor theme="9" tint="0.79998168889431442"/>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39994506668294322"/>
        </patternFill>
      </fill>
    </dxf>
    <dxf>
      <fill>
        <patternFill>
          <bgColor theme="9" tint="0.79998168889431442"/>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39994506668294322"/>
        </patternFill>
      </fill>
    </dxf>
    <dxf>
      <fill>
        <patternFill>
          <bgColor theme="9" tint="0.79998168889431442"/>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39994506668294322"/>
        </patternFill>
      </fill>
    </dxf>
    <dxf>
      <fill>
        <patternFill>
          <bgColor theme="9" tint="0.79998168889431442"/>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39994506668294322"/>
        </patternFill>
      </fill>
    </dxf>
    <dxf>
      <fill>
        <patternFill>
          <bgColor theme="9" tint="0.79998168889431442"/>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39994506668294322"/>
        </patternFill>
      </fill>
    </dxf>
    <dxf>
      <fill>
        <patternFill>
          <bgColor theme="9" tint="0.79998168889431442"/>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39994506668294322"/>
        </patternFill>
      </fill>
    </dxf>
    <dxf>
      <fill>
        <patternFill>
          <bgColor theme="9" tint="0.79998168889431442"/>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39994506668294322"/>
        </patternFill>
      </fill>
    </dxf>
    <dxf>
      <fill>
        <patternFill>
          <bgColor theme="9" tint="0.79998168889431442"/>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39994506668294322"/>
        </patternFill>
      </fill>
    </dxf>
    <dxf>
      <fill>
        <patternFill>
          <bgColor theme="9" tint="0.79998168889431442"/>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39994506668294322"/>
        </patternFill>
      </fill>
    </dxf>
    <dxf>
      <fill>
        <patternFill>
          <bgColor theme="9" tint="0.79998168889431442"/>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39994506668294322"/>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39994506668294322"/>
        </patternFill>
      </fill>
    </dxf>
    <dxf>
      <fill>
        <patternFill>
          <bgColor theme="9" tint="0.79998168889431442"/>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39994506668294322"/>
        </patternFill>
      </fill>
    </dxf>
    <dxf>
      <fill>
        <patternFill>
          <bgColor theme="9" tint="0.79998168889431442"/>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39994506668294322"/>
        </patternFill>
      </fill>
    </dxf>
    <dxf>
      <fill>
        <patternFill>
          <bgColor theme="9" tint="0.79998168889431442"/>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39994506668294322"/>
        </patternFill>
      </fill>
    </dxf>
    <dxf>
      <fill>
        <patternFill>
          <bgColor theme="9" tint="0.79998168889431442"/>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39994506668294322"/>
        </patternFill>
      </fill>
    </dxf>
    <dxf>
      <fill>
        <patternFill>
          <bgColor theme="9" tint="0.79998168889431442"/>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39994506668294322"/>
        </patternFill>
      </fill>
    </dxf>
    <dxf>
      <fill>
        <patternFill>
          <bgColor theme="9" tint="0.79998168889431442"/>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39994506668294322"/>
        </patternFill>
      </fill>
    </dxf>
    <dxf>
      <fill>
        <patternFill>
          <bgColor theme="9" tint="0.79998168889431442"/>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39994506668294322"/>
        </patternFill>
      </fill>
    </dxf>
    <dxf>
      <fill>
        <patternFill>
          <bgColor theme="9" tint="0.79998168889431442"/>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39994506668294322"/>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39994506668294322"/>
        </patternFill>
      </fill>
    </dxf>
    <dxf>
      <fill>
        <patternFill>
          <bgColor theme="9" tint="0.79998168889431442"/>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39994506668294322"/>
        </patternFill>
      </fill>
    </dxf>
    <dxf>
      <fill>
        <patternFill>
          <bgColor theme="9" tint="0.79998168889431442"/>
        </patternFill>
      </fill>
    </dxf>
    <dxf>
      <font>
        <name val="Mangal"/>
      </font>
    </dxf>
    <dxf>
      <font>
        <name val="Mangal"/>
      </font>
    </dxf>
    <dxf>
      <font>
        <name val="Mangal"/>
      </font>
    </dxf>
    <dxf>
      <font>
        <name val="Mangal"/>
      </font>
    </dxf>
    <dxf>
      <font>
        <name val="Mangal"/>
      </font>
    </dxf>
    <dxf>
      <font>
        <name val="Mangal"/>
      </font>
    </dxf>
    <dxf>
      <font>
        <name val="Mangal"/>
      </font>
    </dxf>
    <dxf>
      <font>
        <name val="Mangal"/>
      </font>
    </dxf>
    <dxf>
      <font>
        <name val="Mangal"/>
      </font>
    </dxf>
    <dxf>
      <font>
        <name val="Mangal"/>
      </font>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39994506668294322"/>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39994506668294322"/>
        </patternFill>
      </fill>
    </dxf>
    <dxf>
      <fill>
        <patternFill>
          <bgColor theme="9" tint="0.79998168889431442"/>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39994506668294322"/>
        </patternFill>
      </fill>
    </dxf>
    <dxf>
      <fill>
        <patternFill>
          <bgColor theme="9" tint="0.79998168889431442"/>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39994506668294322"/>
        </patternFill>
      </fill>
    </dxf>
    <dxf>
      <fill>
        <patternFill>
          <bgColor theme="9" tint="0.79998168889431442"/>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3999450666829432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4.xml"/><Relationship Id="rId47" Type="http://schemas.openxmlformats.org/officeDocument/2006/relationships/externalLink" Target="externalLinks/externalLink9.xml"/><Relationship Id="rId50" Type="http://schemas.openxmlformats.org/officeDocument/2006/relationships/externalLink" Target="externalLinks/externalLink12.xml"/><Relationship Id="rId55" Type="http://schemas.openxmlformats.org/officeDocument/2006/relationships/externalLink" Target="externalLinks/externalLink17.xml"/><Relationship Id="rId63" Type="http://schemas.openxmlformats.org/officeDocument/2006/relationships/externalLink" Target="externalLinks/externalLink25.xml"/><Relationship Id="rId68" Type="http://schemas.openxmlformats.org/officeDocument/2006/relationships/externalLink" Target="externalLinks/externalLink30.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externalLink" Target="externalLinks/externalLink33.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2.xml"/><Relationship Id="rId45" Type="http://schemas.openxmlformats.org/officeDocument/2006/relationships/externalLink" Target="externalLinks/externalLink7.xml"/><Relationship Id="rId53" Type="http://schemas.openxmlformats.org/officeDocument/2006/relationships/externalLink" Target="externalLinks/externalLink15.xml"/><Relationship Id="rId58" Type="http://schemas.openxmlformats.org/officeDocument/2006/relationships/externalLink" Target="externalLinks/externalLink20.xml"/><Relationship Id="rId66" Type="http://schemas.openxmlformats.org/officeDocument/2006/relationships/externalLink" Target="externalLinks/externalLink28.xml"/><Relationship Id="rId74" Type="http://schemas.openxmlformats.org/officeDocument/2006/relationships/externalLink" Target="externalLinks/externalLink3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1.xml"/><Relationship Id="rId57" Type="http://schemas.openxmlformats.org/officeDocument/2006/relationships/externalLink" Target="externalLinks/externalLink19.xml"/><Relationship Id="rId61" Type="http://schemas.openxmlformats.org/officeDocument/2006/relationships/externalLink" Target="externalLinks/externalLink2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6.xml"/><Relationship Id="rId52" Type="http://schemas.openxmlformats.org/officeDocument/2006/relationships/externalLink" Target="externalLinks/externalLink14.xml"/><Relationship Id="rId60" Type="http://schemas.openxmlformats.org/officeDocument/2006/relationships/externalLink" Target="externalLinks/externalLink22.xml"/><Relationship Id="rId65" Type="http://schemas.openxmlformats.org/officeDocument/2006/relationships/externalLink" Target="externalLinks/externalLink27.xml"/><Relationship Id="rId73" Type="http://schemas.openxmlformats.org/officeDocument/2006/relationships/externalLink" Target="externalLinks/externalLink35.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5.xml"/><Relationship Id="rId48" Type="http://schemas.openxmlformats.org/officeDocument/2006/relationships/externalLink" Target="externalLinks/externalLink10.xml"/><Relationship Id="rId56" Type="http://schemas.openxmlformats.org/officeDocument/2006/relationships/externalLink" Target="externalLinks/externalLink18.xml"/><Relationship Id="rId64" Type="http://schemas.openxmlformats.org/officeDocument/2006/relationships/externalLink" Target="externalLinks/externalLink26.xml"/><Relationship Id="rId69" Type="http://schemas.openxmlformats.org/officeDocument/2006/relationships/externalLink" Target="externalLinks/externalLink31.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13.xml"/><Relationship Id="rId72" Type="http://schemas.openxmlformats.org/officeDocument/2006/relationships/externalLink" Target="externalLinks/externalLink3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8.xml"/><Relationship Id="rId59" Type="http://schemas.openxmlformats.org/officeDocument/2006/relationships/externalLink" Target="externalLinks/externalLink21.xml"/><Relationship Id="rId67" Type="http://schemas.openxmlformats.org/officeDocument/2006/relationships/externalLink" Target="externalLinks/externalLink29.xml"/><Relationship Id="rId20" Type="http://schemas.openxmlformats.org/officeDocument/2006/relationships/worksheet" Target="worksheets/sheet20.xml"/><Relationship Id="rId41" Type="http://schemas.openxmlformats.org/officeDocument/2006/relationships/externalLink" Target="externalLinks/externalLink3.xml"/><Relationship Id="rId54" Type="http://schemas.openxmlformats.org/officeDocument/2006/relationships/externalLink" Target="externalLinks/externalLink16.xml"/><Relationship Id="rId62" Type="http://schemas.openxmlformats.org/officeDocument/2006/relationships/externalLink" Target="externalLinks/externalLink24.xml"/><Relationship Id="rId70" Type="http://schemas.openxmlformats.org/officeDocument/2006/relationships/externalLink" Target="externalLinks/externalLink32.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Base%20de%20datos%20-%20Econom&#237;a%20de%20la%20Salud\BALANCES%202020\IAMC%202020\0062%20controlado%20nb.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Base%20de%20datos%20-%20Econom&#237;a%20de%20la%20Salud\BALANCES%202020\IAMC%202020\4810%20controlado%20ldr.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Base%20de%20datos%20-%20Econom&#237;a%20de%20la%20Salud\BALANCES%202020\IAMC%202020\5012%20corregido%20y%20controlado%20nb.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M:\Base%20de%20datos%20-%20Econom&#237;a%20de%20la%20Salud\BALANCES%202020\IAMC%202020\5163%20controlado%20nb%20%20FINAL.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Base%20de%20datos%20-%20Econom&#237;a%20de%20la%20Salud\BALANCES%202020\IAMC%202020\5315%20controlado%20nb.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Base%20de%20datos%20-%20Econom&#237;a%20de%20la%20Salud\BALANCES%202020\IAMC%202020\5517%20controlado%20ldr.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M:\Base%20de%20datos%20-%20Econom&#237;a%20de%20la%20Salud\BALANCES%202020\IAMC%202020\5810%20controlado%20nb.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Base%20de%20datos%20-%20Econom&#237;a%20de%20la%20Salud\BALANCES%202020\IAMC%202020\6012%20controlado%20nb.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M:\Base%20de%20datos%20-%20Econom&#237;a%20de%20la%20Salud\BALANCES%202020\IAMC%202020\6062%20controlado%20nb.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M:\Base%20de%20datos%20-%20Econom&#237;a%20de%20la%20Salud\BALANCES%202020\IAMC%202020\6416%20controlado%20nb.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M:\Base%20de%20datos%20-%20Econom&#237;a%20de%20la%20Salud\BALANCES%202020\IAMC%202020\6517%20controlado%20n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Base%20de%20datos%20-%20Econom&#237;a%20de%20la%20Salud\BALANCES%202020\IAMC%202020\0264%20controlado%20nb.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M:\Base%20de%20datos%20-%20Econom&#237;a%20de%20la%20Salud\BALANCES%202020\IAMC%202020\6618%20controlado%20nb.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M:\Base%20de%20datos%20-%20Econom&#237;a%20de%20la%20Salud\BALANCES%202020\IAMC%202020\6769%20controlado%20nb.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M:\Base%20de%20datos%20-%20Econom&#237;a%20de%20la%20Salud\BALANCES%202020\IAMC%202020\6860%20controlado%20nb.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M:\Base%20de%20datos%20-%20Econom&#237;a%20de%20la%20Salud\BALANCES%202020\IAMC%202020\6985%20controlado%20ldr.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M:\Base%20de%20datos%20-%20Econom&#237;a%20de%20la%20Salud\BALANCES%202020\IAMC%202020\7062%20controlado%20ldr.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M:\Base%20de%20datos%20-%20Econom&#237;a%20de%20la%20Salud\BALANCES%202020\IAMC%202020\7214%20controlado%20ldr.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M:\Base%20de%20datos%20-%20Econom&#237;a%20de%20la%20Salud\BALANCES%202020\IAMC%202020\7264%20controlado%20ldr.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M:\Base%20de%20datos%20-%20Econom&#237;a%20de%20la%20Salud\BALANCES%202020\IAMC%202020\7466%20controlado%20ldr.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M:\Base%20de%20datos%20-%20Econom&#237;a%20de%20la%20Salud\BALANCES%202020\IAMC%202020\7553%20controlado%20ldr.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M:\Base%20de%20datos%20-%20Econom&#237;a%20de%20la%20Salud\BALANCES%202020\IAMC%202020\7618%20controlado%20ld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Base%20de%20datos%20-%20Econom&#237;a%20de%20la%20Salud\BALANCES%202020\IAMC%202020\0567%20controlado%20nb.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RESPALDO%20NALDI/AAA%20BALANCES/BALANCES%202020/IAMC%202020/7719%20ultimo.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M:\Base%20de%20datos%20-%20Econom&#237;a%20de%20la%20Salud\BALANCES%202020\IAMC%202020\7810%20controlado%20nb.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M:\BCE\BALANCE%2019%2020\BALANCETES%2030%2009%2020%20A%20VALORES%20CORRIENTES.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M:\BCE\BALANCE%2019%2020\INFORMACION%20ASAMBLEISTAS\OTROS\Estado%20de%20Resultado%20a%20Valores%20Corrientes%2019%2020%20final.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M:\Base%20de%20datos%20-%20Econom&#237;a%20de%20la%20Salud\BALANCES%202020\IAMC%202020\8012%20controlado%20nb.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M:\Base%20de%20datos%20-%20Econom&#237;a%20de%20la%20Salud\BALANCES%202020\IAMC%202020\8163%20controlado%20nb.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M:\Base%20de%20datos%20-%20Econom&#237;a%20de%20la%20Salud\BALANCES%202020\IAMC%202020\8264%20controlado%20ld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Base%20de%20datos%20-%20Econom&#237;a%20de%20la%20Salud\BALANCES%202020\IAMC%202020\1062%20controlado%20nb.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Base%20de%20datos%20-%20Econom&#237;a%20de%20la%20Salud\BALANCES%202020\IAMC%202020\1163%20controlado%20nb.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Base%20de%20datos%20-%20Econom&#237;a%20de%20la%20Salud\BALANCES%202020\IAMC%202020\1210%20contrlado%20ld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Base%20de%20datos%20-%20Econom&#237;a%20de%20la%20Salud\BALANCES%202020\IAMC%202020\2315%20controlado%20ldr.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RESPALDO%20NALDI/AAA%20BALANCES/BALANCES%202020/IAMC%202020/3567%20Final.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Base%20de%20datos%20-%20Econom&#237;a%20de%20la%20Salud\BALANCES%202020\IAMC%202020\4315%20controlado%20ld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Presentacion"/>
      <sheetName val="E.S.P."/>
      <sheetName val="E.R."/>
      <sheetName val="E.C.P"/>
      <sheetName val="E.F.E"/>
      <sheetName val="Detalle Activo"/>
      <sheetName val="Detalle Pasivo"/>
      <sheetName val="Bs de Uso"/>
      <sheetName val="Amortizaciones"/>
      <sheetName val="Resumen"/>
      <sheetName val="Verificaciones"/>
      <sheetName val="Parametros"/>
      <sheetName val="Hoja2"/>
    </sheetNames>
    <sheetDataSet>
      <sheetData sheetId="0"/>
      <sheetData sheetId="1">
        <row r="2">
          <cell r="C2" t="str">
            <v>Asoc. Española</v>
          </cell>
        </row>
        <row r="3">
          <cell r="C3" t="str">
            <v>Montevideo</v>
          </cell>
        </row>
      </sheetData>
      <sheetData sheetId="2">
        <row r="6">
          <cell r="D6">
            <v>2020</v>
          </cell>
        </row>
      </sheetData>
      <sheetData sheetId="3">
        <row r="172">
          <cell r="H172">
            <v>-198363122</v>
          </cell>
        </row>
      </sheetData>
      <sheetData sheetId="4">
        <row r="62">
          <cell r="F62">
            <v>0</v>
          </cell>
        </row>
      </sheetData>
      <sheetData sheetId="5"/>
      <sheetData sheetId="6">
        <row r="48">
          <cell r="E48">
            <v>485961922.85000002</v>
          </cell>
        </row>
      </sheetData>
      <sheetData sheetId="7">
        <row r="35">
          <cell r="E35">
            <v>577314880</v>
          </cell>
        </row>
      </sheetData>
      <sheetData sheetId="8">
        <row r="13">
          <cell r="B13">
            <v>251057129</v>
          </cell>
        </row>
      </sheetData>
      <sheetData sheetId="9">
        <row r="6">
          <cell r="D6">
            <v>76506650</v>
          </cell>
        </row>
        <row r="7">
          <cell r="D7">
            <v>2650729</v>
          </cell>
        </row>
        <row r="8">
          <cell r="D8">
            <v>44233582</v>
          </cell>
        </row>
        <row r="9">
          <cell r="D9">
            <v>0</v>
          </cell>
        </row>
        <row r="10">
          <cell r="D10">
            <v>3679538</v>
          </cell>
        </row>
        <row r="11">
          <cell r="D11">
            <v>7229287</v>
          </cell>
        </row>
        <row r="12">
          <cell r="D12">
            <v>0</v>
          </cell>
        </row>
        <row r="13">
          <cell r="D13">
            <v>6023588</v>
          </cell>
        </row>
        <row r="14">
          <cell r="D14">
            <v>29442877</v>
          </cell>
        </row>
        <row r="15">
          <cell r="D15">
            <v>2163624</v>
          </cell>
        </row>
        <row r="16">
          <cell r="D16">
            <v>0</v>
          </cell>
        </row>
        <row r="17">
          <cell r="D17">
            <v>0</v>
          </cell>
        </row>
        <row r="18">
          <cell r="D18">
            <v>0</v>
          </cell>
        </row>
        <row r="19">
          <cell r="D19">
            <v>171929875</v>
          </cell>
        </row>
        <row r="22">
          <cell r="D22">
            <v>27042260</v>
          </cell>
        </row>
        <row r="23">
          <cell r="D23">
            <v>0</v>
          </cell>
        </row>
        <row r="24">
          <cell r="D24">
            <v>5608167</v>
          </cell>
        </row>
        <row r="25">
          <cell r="D25">
            <v>66842</v>
          </cell>
        </row>
        <row r="27">
          <cell r="D27">
            <v>0</v>
          </cell>
        </row>
        <row r="28">
          <cell r="D28">
            <v>0</v>
          </cell>
        </row>
        <row r="29">
          <cell r="D29">
            <v>0</v>
          </cell>
        </row>
        <row r="30">
          <cell r="D30">
            <v>31559113</v>
          </cell>
        </row>
        <row r="31">
          <cell r="D31">
            <v>4877535</v>
          </cell>
        </row>
        <row r="32">
          <cell r="D32">
            <v>0</v>
          </cell>
        </row>
        <row r="33">
          <cell r="D33">
            <v>69153917</v>
          </cell>
        </row>
      </sheetData>
      <sheetData sheetId="10"/>
      <sheetData sheetId="11"/>
      <sheetData sheetId="12"/>
      <sheetData sheetId="1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Presentacion"/>
      <sheetName val="E.S.P."/>
      <sheetName val="E.R."/>
      <sheetName val="E.C.P"/>
      <sheetName val="E.F.E"/>
      <sheetName val="Detalle Activo"/>
      <sheetName val="Detalle Pasivo"/>
      <sheetName val="Bs de Uso"/>
      <sheetName val="Amortizaciones"/>
      <sheetName val="Resumen"/>
      <sheetName val="Verificaciones"/>
      <sheetName val="Parametros"/>
      <sheetName val="Hoja2"/>
    </sheetNames>
    <sheetDataSet>
      <sheetData sheetId="0"/>
      <sheetData sheetId="1">
        <row r="2">
          <cell r="C2" t="str">
            <v>Universal</v>
          </cell>
        </row>
        <row r="3">
          <cell r="C3" t="str">
            <v>Montevideo</v>
          </cell>
        </row>
      </sheetData>
      <sheetData sheetId="2">
        <row r="6">
          <cell r="D6">
            <v>2020</v>
          </cell>
        </row>
      </sheetData>
      <sheetData sheetId="3">
        <row r="172">
          <cell r="H172">
            <v>10979868</v>
          </cell>
        </row>
      </sheetData>
      <sheetData sheetId="4">
        <row r="27">
          <cell r="G27">
            <v>72036348</v>
          </cell>
        </row>
      </sheetData>
      <sheetData sheetId="5"/>
      <sheetData sheetId="6">
        <row r="48">
          <cell r="E48">
            <v>116406673.63714229</v>
          </cell>
        </row>
      </sheetData>
      <sheetData sheetId="7">
        <row r="35">
          <cell r="E35">
            <v>56792690.591049023</v>
          </cell>
        </row>
      </sheetData>
      <sheetData sheetId="8">
        <row r="13">
          <cell r="B13">
            <v>552717771</v>
          </cell>
        </row>
      </sheetData>
      <sheetData sheetId="9">
        <row r="6">
          <cell r="D6">
            <v>20308761</v>
          </cell>
        </row>
        <row r="7">
          <cell r="D7">
            <v>111040</v>
          </cell>
        </row>
        <row r="8">
          <cell r="D8">
            <v>4459854</v>
          </cell>
        </row>
        <row r="9">
          <cell r="D9">
            <v>0</v>
          </cell>
        </row>
        <row r="10">
          <cell r="D10">
            <v>794068</v>
          </cell>
        </row>
        <row r="11">
          <cell r="D11">
            <v>166125</v>
          </cell>
        </row>
        <row r="12">
          <cell r="D12">
            <v>0</v>
          </cell>
        </row>
        <row r="13">
          <cell r="D13">
            <v>1401897</v>
          </cell>
        </row>
        <row r="14">
          <cell r="D14">
            <v>0</v>
          </cell>
        </row>
        <row r="15">
          <cell r="D15">
            <v>477496</v>
          </cell>
        </row>
        <row r="16">
          <cell r="D16">
            <v>0</v>
          </cell>
        </row>
        <row r="17">
          <cell r="D17">
            <v>0</v>
          </cell>
        </row>
        <row r="18">
          <cell r="D18">
            <v>0</v>
          </cell>
        </row>
        <row r="19">
          <cell r="D19">
            <v>27719241</v>
          </cell>
        </row>
        <row r="22">
          <cell r="D22">
            <v>1744966</v>
          </cell>
        </row>
        <row r="23">
          <cell r="D23">
            <v>0</v>
          </cell>
        </row>
        <row r="24">
          <cell r="D24">
            <v>2428186</v>
          </cell>
        </row>
        <row r="25">
          <cell r="D25">
            <v>0</v>
          </cell>
        </row>
        <row r="27">
          <cell r="D27">
            <v>0</v>
          </cell>
        </row>
        <row r="28">
          <cell r="D28">
            <v>0</v>
          </cell>
        </row>
        <row r="29">
          <cell r="D29">
            <v>0</v>
          </cell>
        </row>
        <row r="30">
          <cell r="D30">
            <v>2140751</v>
          </cell>
        </row>
        <row r="31">
          <cell r="D31">
            <v>0</v>
          </cell>
        </row>
        <row r="32">
          <cell r="D32">
            <v>0</v>
          </cell>
        </row>
        <row r="33">
          <cell r="D33">
            <v>6313903</v>
          </cell>
        </row>
      </sheetData>
      <sheetData sheetId="10"/>
      <sheetData sheetId="11"/>
      <sheetData sheetId="12"/>
      <sheetData sheetId="1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Presentacion"/>
      <sheetName val="E.S.P."/>
      <sheetName val="E.R."/>
      <sheetName val="E.C.P"/>
      <sheetName val="E.F.E"/>
      <sheetName val="Detalle Activo"/>
      <sheetName val="Detalle Pasivo"/>
      <sheetName val="Bs de Uso"/>
      <sheetName val="Amortizaciones"/>
      <sheetName val="Resumen"/>
      <sheetName val="Verificaciones"/>
      <sheetName val="Parametros"/>
      <sheetName val="Hoja2"/>
    </sheetNames>
    <sheetDataSet>
      <sheetData sheetId="0"/>
      <sheetData sheetId="1">
        <row r="2">
          <cell r="C2" t="str">
            <v>GREMEDA</v>
          </cell>
        </row>
        <row r="3">
          <cell r="C3" t="str">
            <v>Artigas</v>
          </cell>
        </row>
      </sheetData>
      <sheetData sheetId="2">
        <row r="6">
          <cell r="D6">
            <v>2020</v>
          </cell>
        </row>
      </sheetData>
      <sheetData sheetId="3">
        <row r="172">
          <cell r="H172">
            <v>-602133</v>
          </cell>
        </row>
      </sheetData>
      <sheetData sheetId="4">
        <row r="62">
          <cell r="F62">
            <v>9689128.6799999997</v>
          </cell>
        </row>
      </sheetData>
      <sheetData sheetId="5"/>
      <sheetData sheetId="6">
        <row r="48">
          <cell r="E48">
            <v>58694190.950000003</v>
          </cell>
        </row>
      </sheetData>
      <sheetData sheetId="7">
        <row r="35">
          <cell r="E35">
            <v>11325572.315000001</v>
          </cell>
        </row>
      </sheetData>
      <sheetData sheetId="8">
        <row r="13">
          <cell r="B13">
            <v>8165054</v>
          </cell>
        </row>
      </sheetData>
      <sheetData sheetId="9">
        <row r="6">
          <cell r="D6">
            <v>6847190</v>
          </cell>
        </row>
        <row r="8">
          <cell r="D8">
            <v>6014080</v>
          </cell>
        </row>
        <row r="9">
          <cell r="D9">
            <v>753687</v>
          </cell>
        </row>
        <row r="10">
          <cell r="D10">
            <v>333429</v>
          </cell>
        </row>
        <row r="11">
          <cell r="D11">
            <v>399075</v>
          </cell>
        </row>
        <row r="13">
          <cell r="D13">
            <v>675066</v>
          </cell>
        </row>
        <row r="19">
          <cell r="D19">
            <v>15022527</v>
          </cell>
        </row>
        <row r="22">
          <cell r="D22">
            <v>1681345</v>
          </cell>
        </row>
        <row r="24">
          <cell r="D24">
            <v>1578603</v>
          </cell>
        </row>
        <row r="30">
          <cell r="D30">
            <v>563194</v>
          </cell>
        </row>
        <row r="33">
          <cell r="D33">
            <v>3823142</v>
          </cell>
        </row>
      </sheetData>
      <sheetData sheetId="10"/>
      <sheetData sheetId="11"/>
      <sheetData sheetId="12"/>
      <sheetData sheetId="1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Presentacion"/>
      <sheetName val="E.S.P."/>
      <sheetName val="E.R."/>
      <sheetName val="E.C.P"/>
      <sheetName val="E.F.E"/>
      <sheetName val="Detalle Activo"/>
      <sheetName val="Detalle Pasivo"/>
      <sheetName val="Bs de Uso"/>
      <sheetName val="Amortizaciones"/>
      <sheetName val="Resumen"/>
      <sheetName val="Verificaciones"/>
      <sheetName val="Parametros"/>
      <sheetName val="Hoja2"/>
    </sheetNames>
    <sheetDataSet>
      <sheetData sheetId="0" refreshError="1"/>
      <sheetData sheetId="1">
        <row r="2">
          <cell r="C2" t="str">
            <v>CAAMEPA</v>
          </cell>
        </row>
        <row r="3">
          <cell r="C3" t="str">
            <v>Canelones</v>
          </cell>
        </row>
      </sheetData>
      <sheetData sheetId="2">
        <row r="6">
          <cell r="D6">
            <v>2020</v>
          </cell>
        </row>
      </sheetData>
      <sheetData sheetId="3">
        <row r="172">
          <cell r="H172">
            <v>18619102.324544452</v>
          </cell>
        </row>
      </sheetData>
      <sheetData sheetId="4">
        <row r="57">
          <cell r="E57">
            <v>50362450</v>
          </cell>
        </row>
      </sheetData>
      <sheetData sheetId="5" refreshError="1"/>
      <sheetData sheetId="6">
        <row r="48">
          <cell r="E48">
            <v>145536803.90975001</v>
          </cell>
        </row>
      </sheetData>
      <sheetData sheetId="7">
        <row r="35">
          <cell r="E35">
            <v>21540044</v>
          </cell>
        </row>
      </sheetData>
      <sheetData sheetId="8">
        <row r="13">
          <cell r="B13">
            <v>32286824</v>
          </cell>
        </row>
      </sheetData>
      <sheetData sheetId="9">
        <row r="6">
          <cell r="D6">
            <v>5295301</v>
          </cell>
        </row>
        <row r="7">
          <cell r="D7">
            <v>0</v>
          </cell>
        </row>
        <row r="8">
          <cell r="D8">
            <v>5235664</v>
          </cell>
        </row>
        <row r="9">
          <cell r="D9">
            <v>0</v>
          </cell>
        </row>
        <row r="10">
          <cell r="D10">
            <v>0</v>
          </cell>
        </row>
        <row r="11">
          <cell r="D11">
            <v>245322</v>
          </cell>
        </row>
        <row r="12">
          <cell r="D12">
            <v>0</v>
          </cell>
        </row>
        <row r="13">
          <cell r="D13">
            <v>316906</v>
          </cell>
        </row>
        <row r="14">
          <cell r="D14">
            <v>0</v>
          </cell>
        </row>
        <row r="15">
          <cell r="D15">
            <v>0</v>
          </cell>
        </row>
        <row r="16">
          <cell r="D16">
            <v>0</v>
          </cell>
        </row>
        <row r="17">
          <cell r="D17">
            <v>0</v>
          </cell>
        </row>
        <row r="18">
          <cell r="D18">
            <v>0</v>
          </cell>
        </row>
        <row r="19">
          <cell r="D19">
            <v>11093193</v>
          </cell>
        </row>
        <row r="22">
          <cell r="D22">
            <v>149867</v>
          </cell>
        </row>
        <row r="23">
          <cell r="D23">
            <v>0</v>
          </cell>
        </row>
        <row r="24">
          <cell r="D24">
            <v>2206410</v>
          </cell>
        </row>
        <row r="25">
          <cell r="D25">
            <v>1149470</v>
          </cell>
        </row>
        <row r="27">
          <cell r="D27">
            <v>0</v>
          </cell>
        </row>
        <row r="28">
          <cell r="D28">
            <v>0</v>
          </cell>
        </row>
        <row r="29">
          <cell r="D29">
            <v>0</v>
          </cell>
        </row>
        <row r="30">
          <cell r="D30">
            <v>4074030</v>
          </cell>
        </row>
        <row r="31">
          <cell r="D31">
            <v>0</v>
          </cell>
        </row>
        <row r="32">
          <cell r="D32">
            <v>464671</v>
          </cell>
        </row>
        <row r="33">
          <cell r="D33">
            <v>8044448</v>
          </cell>
        </row>
      </sheetData>
      <sheetData sheetId="10" refreshError="1"/>
      <sheetData sheetId="11" refreshError="1"/>
      <sheetData sheetId="12" refreshError="1"/>
      <sheetData sheetId="1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Presentacion"/>
      <sheetName val="E.S.P."/>
      <sheetName val="E.R."/>
      <sheetName val="E.C.P"/>
      <sheetName val="E.F.E"/>
      <sheetName val="Detalle Activo"/>
      <sheetName val="Detalle Pasivo"/>
      <sheetName val="Bs de Uso"/>
      <sheetName val="Amortizaciones"/>
      <sheetName val="Resumen"/>
      <sheetName val="Verificaciones"/>
      <sheetName val="Parametros"/>
      <sheetName val="Hoja2"/>
    </sheetNames>
    <sheetDataSet>
      <sheetData sheetId="0"/>
      <sheetData sheetId="1">
        <row r="2">
          <cell r="C2" t="str">
            <v>CRAMI</v>
          </cell>
        </row>
        <row r="3">
          <cell r="C3" t="str">
            <v>Canelones</v>
          </cell>
        </row>
      </sheetData>
      <sheetData sheetId="2">
        <row r="6">
          <cell r="D6">
            <v>2020</v>
          </cell>
        </row>
      </sheetData>
      <sheetData sheetId="3">
        <row r="172">
          <cell r="H172">
            <v>25908940.469999984</v>
          </cell>
        </row>
      </sheetData>
      <sheetData sheetId="4">
        <row r="62">
          <cell r="F62">
            <v>0</v>
          </cell>
        </row>
      </sheetData>
      <sheetData sheetId="5"/>
      <sheetData sheetId="6">
        <row r="48">
          <cell r="E48">
            <v>51403381.011749998</v>
          </cell>
        </row>
      </sheetData>
      <sheetData sheetId="7">
        <row r="35">
          <cell r="E35">
            <v>32854222</v>
          </cell>
        </row>
      </sheetData>
      <sheetData sheetId="8">
        <row r="13">
          <cell r="B13">
            <v>22127228</v>
          </cell>
        </row>
      </sheetData>
      <sheetData sheetId="9">
        <row r="6">
          <cell r="D6">
            <v>16407926.970000001</v>
          </cell>
        </row>
        <row r="7">
          <cell r="D7">
            <v>0</v>
          </cell>
        </row>
        <row r="8">
          <cell r="D8">
            <v>6204072.9299999997</v>
          </cell>
        </row>
        <row r="9">
          <cell r="D9">
            <v>0</v>
          </cell>
        </row>
        <row r="10">
          <cell r="D10">
            <v>241400.62</v>
          </cell>
        </row>
        <row r="11">
          <cell r="D11">
            <v>38849.19</v>
          </cell>
        </row>
        <row r="12">
          <cell r="D12">
            <v>1533168.48</v>
          </cell>
        </row>
        <row r="13">
          <cell r="D13">
            <v>769489.78</v>
          </cell>
        </row>
        <row r="14">
          <cell r="D14">
            <v>2417060.21</v>
          </cell>
        </row>
        <row r="15">
          <cell r="D15">
            <v>0</v>
          </cell>
        </row>
        <row r="16">
          <cell r="D16">
            <v>421555.68</v>
          </cell>
        </row>
        <row r="17">
          <cell r="D17">
            <v>0</v>
          </cell>
        </row>
        <row r="18">
          <cell r="D18">
            <v>0</v>
          </cell>
        </row>
        <row r="19">
          <cell r="D19">
            <v>28033523.860000003</v>
          </cell>
        </row>
        <row r="22">
          <cell r="D22">
            <v>0</v>
          </cell>
        </row>
        <row r="23">
          <cell r="D23">
            <v>0</v>
          </cell>
        </row>
        <row r="24">
          <cell r="D24">
            <v>0</v>
          </cell>
        </row>
        <row r="25">
          <cell r="D25">
            <v>0</v>
          </cell>
        </row>
        <row r="27">
          <cell r="D27">
            <v>0</v>
          </cell>
        </row>
        <row r="28">
          <cell r="D28">
            <v>0</v>
          </cell>
        </row>
        <row r="29">
          <cell r="D29">
            <v>0</v>
          </cell>
        </row>
        <row r="30">
          <cell r="D30">
            <v>0</v>
          </cell>
        </row>
        <row r="31">
          <cell r="D31">
            <v>0</v>
          </cell>
        </row>
        <row r="32">
          <cell r="D32">
            <v>0</v>
          </cell>
        </row>
        <row r="33">
          <cell r="D33">
            <v>0</v>
          </cell>
        </row>
      </sheetData>
      <sheetData sheetId="10"/>
      <sheetData sheetId="11"/>
      <sheetData sheetId="12"/>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Presentacion"/>
      <sheetName val="E.S.P."/>
      <sheetName val="E.R."/>
      <sheetName val="E.C.P"/>
      <sheetName val="E.F.E"/>
      <sheetName val="Detalle Activo"/>
      <sheetName val="Detalle Pasivo"/>
      <sheetName val="Bs de Uso"/>
      <sheetName val="Amortizaciones"/>
      <sheetName val="Resumen"/>
      <sheetName val="Verificaciones"/>
      <sheetName val="Parametros"/>
      <sheetName val="Hoja2"/>
    </sheetNames>
    <sheetDataSet>
      <sheetData sheetId="0"/>
      <sheetData sheetId="1">
        <row r="2">
          <cell r="C2" t="str">
            <v>COMECA</v>
          </cell>
        </row>
        <row r="3">
          <cell r="C3" t="str">
            <v>Canelones</v>
          </cell>
        </row>
      </sheetData>
      <sheetData sheetId="2">
        <row r="6">
          <cell r="D6">
            <v>2020</v>
          </cell>
        </row>
      </sheetData>
      <sheetData sheetId="3">
        <row r="172">
          <cell r="H172">
            <v>36181605</v>
          </cell>
        </row>
      </sheetData>
      <sheetData sheetId="4">
        <row r="62">
          <cell r="F62">
            <v>0</v>
          </cell>
        </row>
      </sheetData>
      <sheetData sheetId="5"/>
      <sheetData sheetId="6">
        <row r="48">
          <cell r="E48">
            <v>57621194</v>
          </cell>
        </row>
      </sheetData>
      <sheetData sheetId="7">
        <row r="35">
          <cell r="E35">
            <v>37781412</v>
          </cell>
        </row>
      </sheetData>
      <sheetData sheetId="8">
        <row r="13">
          <cell r="B13">
            <v>46270187</v>
          </cell>
        </row>
      </sheetData>
      <sheetData sheetId="9">
        <row r="6">
          <cell r="D6">
            <v>32041298</v>
          </cell>
        </row>
        <row r="7">
          <cell r="D7">
            <v>0</v>
          </cell>
        </row>
        <row r="8">
          <cell r="D8">
            <v>17709861</v>
          </cell>
        </row>
        <row r="9">
          <cell r="D9">
            <v>0</v>
          </cell>
        </row>
        <row r="10">
          <cell r="D10">
            <v>627111</v>
          </cell>
        </row>
        <row r="11">
          <cell r="D11">
            <v>163650</v>
          </cell>
        </row>
        <row r="12">
          <cell r="D12">
            <v>1272450</v>
          </cell>
        </row>
        <row r="13">
          <cell r="D13">
            <v>2306437</v>
          </cell>
        </row>
        <row r="14">
          <cell r="D14">
            <v>3113211</v>
          </cell>
        </row>
        <row r="15">
          <cell r="D15">
            <v>0</v>
          </cell>
        </row>
        <row r="16">
          <cell r="D16">
            <v>2726824</v>
          </cell>
        </row>
        <row r="17">
          <cell r="D17">
            <v>0</v>
          </cell>
        </row>
        <row r="18">
          <cell r="D18">
            <v>0</v>
          </cell>
        </row>
        <row r="19">
          <cell r="D19">
            <v>59960842</v>
          </cell>
        </row>
        <row r="22">
          <cell r="D22">
            <v>0</v>
          </cell>
        </row>
        <row r="23">
          <cell r="D23">
            <v>0</v>
          </cell>
        </row>
        <row r="24">
          <cell r="D24">
            <v>0</v>
          </cell>
        </row>
        <row r="25">
          <cell r="D25">
            <v>0</v>
          </cell>
        </row>
        <row r="27">
          <cell r="D27">
            <v>0</v>
          </cell>
        </row>
        <row r="28">
          <cell r="D28">
            <v>0</v>
          </cell>
        </row>
        <row r="29">
          <cell r="D29">
            <v>0</v>
          </cell>
        </row>
        <row r="30">
          <cell r="D30">
            <v>0</v>
          </cell>
        </row>
        <row r="31">
          <cell r="D31">
            <v>0</v>
          </cell>
        </row>
        <row r="32">
          <cell r="D32">
            <v>0</v>
          </cell>
        </row>
        <row r="33">
          <cell r="D33">
            <v>0</v>
          </cell>
        </row>
      </sheetData>
      <sheetData sheetId="10"/>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Presentacion"/>
      <sheetName val="E.S.P."/>
      <sheetName val="E.R."/>
      <sheetName val="E.C.P"/>
      <sheetName val="E.F.E"/>
      <sheetName val="Detalle Activo"/>
      <sheetName val="Detalle Pasivo"/>
      <sheetName val="Bs de Uso"/>
      <sheetName val="Amortizaciones"/>
      <sheetName val="Resumen"/>
      <sheetName val="Verificaciones"/>
      <sheetName val="Parametros"/>
      <sheetName val="Hoja2"/>
    </sheetNames>
    <sheetDataSet>
      <sheetData sheetId="0"/>
      <sheetData sheetId="1">
        <row r="2">
          <cell r="C2" t="str">
            <v>CAMCEL</v>
          </cell>
        </row>
        <row r="3">
          <cell r="C3" t="str">
            <v>Cerro Largo</v>
          </cell>
        </row>
      </sheetData>
      <sheetData sheetId="2">
        <row r="6">
          <cell r="C6" t="str">
            <v>Activo Corriente</v>
          </cell>
          <cell r="D6">
            <v>2020</v>
          </cell>
        </row>
      </sheetData>
      <sheetData sheetId="3">
        <row r="172">
          <cell r="H172">
            <v>47940042</v>
          </cell>
        </row>
      </sheetData>
      <sheetData sheetId="4">
        <row r="62">
          <cell r="F62">
            <v>225818</v>
          </cell>
        </row>
      </sheetData>
      <sheetData sheetId="5"/>
      <sheetData sheetId="6">
        <row r="48">
          <cell r="E48">
            <v>175396761.70749998</v>
          </cell>
        </row>
      </sheetData>
      <sheetData sheetId="7">
        <row r="35">
          <cell r="E35">
            <v>19491943</v>
          </cell>
        </row>
      </sheetData>
      <sheetData sheetId="8">
        <row r="13">
          <cell r="B13">
            <v>25708904.530339681</v>
          </cell>
        </row>
      </sheetData>
      <sheetData sheetId="9">
        <row r="6">
          <cell r="C6" t="str">
            <v>Amortizaciones de Inmuebles - Mejoras</v>
          </cell>
          <cell r="D6">
            <v>7480046</v>
          </cell>
        </row>
        <row r="7">
          <cell r="D7">
            <v>0</v>
          </cell>
        </row>
        <row r="8">
          <cell r="D8">
            <v>5248272</v>
          </cell>
        </row>
        <row r="9">
          <cell r="D9">
            <v>0</v>
          </cell>
        </row>
        <row r="10">
          <cell r="D10">
            <v>1135468</v>
          </cell>
        </row>
        <row r="11">
          <cell r="D11">
            <v>503963</v>
          </cell>
        </row>
        <row r="12">
          <cell r="D12">
            <v>657041</v>
          </cell>
        </row>
        <row r="13">
          <cell r="D13">
            <v>59820</v>
          </cell>
        </row>
        <row r="14">
          <cell r="D14">
            <v>700205</v>
          </cell>
        </row>
        <row r="15">
          <cell r="D15">
            <v>0</v>
          </cell>
        </row>
        <row r="16">
          <cell r="D16">
            <v>0</v>
          </cell>
        </row>
        <row r="17">
          <cell r="D17">
            <v>0</v>
          </cell>
        </row>
        <row r="18">
          <cell r="D18">
            <v>0</v>
          </cell>
        </row>
        <row r="19">
          <cell r="D19">
            <v>15784815</v>
          </cell>
        </row>
        <row r="22">
          <cell r="D22">
            <v>281590</v>
          </cell>
        </row>
        <row r="23">
          <cell r="D23">
            <v>0</v>
          </cell>
        </row>
        <row r="24">
          <cell r="D24">
            <v>300087</v>
          </cell>
        </row>
        <row r="25">
          <cell r="D25">
            <v>0</v>
          </cell>
        </row>
        <row r="27">
          <cell r="D27">
            <v>0</v>
          </cell>
        </row>
        <row r="28">
          <cell r="D28">
            <v>0</v>
          </cell>
        </row>
        <row r="29">
          <cell r="D29">
            <v>0</v>
          </cell>
        </row>
        <row r="30">
          <cell r="D30">
            <v>0</v>
          </cell>
        </row>
        <row r="31">
          <cell r="D31">
            <v>1870011</v>
          </cell>
        </row>
        <row r="32">
          <cell r="D32">
            <v>126164</v>
          </cell>
        </row>
        <row r="33">
          <cell r="D33">
            <v>2577852</v>
          </cell>
        </row>
      </sheetData>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Presentacion"/>
      <sheetName val="E.S.P."/>
      <sheetName val="E.R."/>
      <sheetName val="E.C.P"/>
      <sheetName val="E.F.E"/>
      <sheetName val="Detalle Activo"/>
      <sheetName val="Detalle Pasivo"/>
      <sheetName val="Bs de Uso"/>
      <sheetName val="Amortizaciones"/>
      <sheetName val="Resumen"/>
      <sheetName val="Verificaciones"/>
      <sheetName val="Parametros"/>
      <sheetName val="Hoja2"/>
    </sheetNames>
    <sheetDataSet>
      <sheetData sheetId="0"/>
      <sheetData sheetId="1">
        <row r="2">
          <cell r="C2" t="str">
            <v>CAMEC</v>
          </cell>
        </row>
        <row r="3">
          <cell r="C3" t="str">
            <v>Colonia</v>
          </cell>
        </row>
      </sheetData>
      <sheetData sheetId="2">
        <row r="6">
          <cell r="D6">
            <v>2020</v>
          </cell>
        </row>
      </sheetData>
      <sheetData sheetId="3">
        <row r="172">
          <cell r="H172">
            <v>504247.74000008404</v>
          </cell>
        </row>
      </sheetData>
      <sheetData sheetId="4">
        <row r="62">
          <cell r="F62">
            <v>34667749</v>
          </cell>
        </row>
      </sheetData>
      <sheetData sheetId="5"/>
      <sheetData sheetId="6">
        <row r="48">
          <cell r="E48">
            <v>131848497.3035</v>
          </cell>
        </row>
      </sheetData>
      <sheetData sheetId="7">
        <row r="35">
          <cell r="E35">
            <v>38150524.424999997</v>
          </cell>
        </row>
      </sheetData>
      <sheetData sheetId="8">
        <row r="13">
          <cell r="B13">
            <v>94058922</v>
          </cell>
        </row>
      </sheetData>
      <sheetData sheetId="9">
        <row r="6">
          <cell r="D6">
            <v>19358465</v>
          </cell>
        </row>
        <row r="7">
          <cell r="D7">
            <v>0</v>
          </cell>
        </row>
        <row r="8">
          <cell r="D8">
            <v>23342183</v>
          </cell>
        </row>
        <row r="9">
          <cell r="D9">
            <v>0</v>
          </cell>
        </row>
        <row r="10">
          <cell r="D10">
            <v>4241413</v>
          </cell>
        </row>
        <row r="11">
          <cell r="D11">
            <v>865972</v>
          </cell>
        </row>
        <row r="12">
          <cell r="D12">
            <v>4496000</v>
          </cell>
        </row>
        <row r="13">
          <cell r="D13">
            <v>0</v>
          </cell>
        </row>
        <row r="14">
          <cell r="D14">
            <v>0</v>
          </cell>
        </row>
        <row r="15">
          <cell r="D15">
            <v>0</v>
          </cell>
        </row>
        <row r="16">
          <cell r="D16">
            <v>0</v>
          </cell>
        </row>
        <row r="17">
          <cell r="D17">
            <v>0</v>
          </cell>
        </row>
        <row r="18">
          <cell r="D18">
            <v>0</v>
          </cell>
        </row>
        <row r="19">
          <cell r="D19">
            <v>52304033</v>
          </cell>
        </row>
        <row r="22">
          <cell r="D22">
            <v>0</v>
          </cell>
        </row>
        <row r="23">
          <cell r="D23">
            <v>2107626</v>
          </cell>
        </row>
        <row r="24">
          <cell r="D24">
            <v>5220252</v>
          </cell>
        </row>
        <row r="25">
          <cell r="D25">
            <v>0</v>
          </cell>
        </row>
        <row r="27">
          <cell r="D27">
            <v>0</v>
          </cell>
        </row>
        <row r="28">
          <cell r="D28">
            <v>0</v>
          </cell>
        </row>
        <row r="29">
          <cell r="D29">
            <v>0</v>
          </cell>
        </row>
        <row r="30">
          <cell r="D30">
            <v>4910691</v>
          </cell>
        </row>
        <row r="31">
          <cell r="D31">
            <v>0</v>
          </cell>
        </row>
        <row r="32">
          <cell r="D32">
            <v>0</v>
          </cell>
        </row>
        <row r="33">
          <cell r="D33">
            <v>12238569</v>
          </cell>
        </row>
      </sheetData>
      <sheetData sheetId="10"/>
      <sheetData sheetId="11"/>
      <sheetData sheetId="12"/>
      <sheetData sheetId="1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Presentacion"/>
      <sheetName val="E.S.P."/>
      <sheetName val="E.R."/>
      <sheetName val="E.C.P"/>
      <sheetName val="E.F.E"/>
      <sheetName val="Detalle Activo"/>
      <sheetName val="Detalle Pasivo"/>
      <sheetName val="Bs de Uso"/>
      <sheetName val="Amortizaciones"/>
      <sheetName val="Resumen"/>
      <sheetName val="Verificaciones"/>
      <sheetName val="Parametros"/>
      <sheetName val="Hoja2"/>
    </sheetNames>
    <sheetDataSet>
      <sheetData sheetId="0"/>
      <sheetData sheetId="1">
        <row r="2">
          <cell r="C2" t="str">
            <v>CAMOC</v>
          </cell>
        </row>
        <row r="3">
          <cell r="C3" t="str">
            <v>Colonia</v>
          </cell>
        </row>
      </sheetData>
      <sheetData sheetId="2">
        <row r="6">
          <cell r="D6">
            <v>2020</v>
          </cell>
        </row>
      </sheetData>
      <sheetData sheetId="3">
        <row r="172">
          <cell r="H172">
            <v>6143866.0325542688</v>
          </cell>
        </row>
      </sheetData>
      <sheetData sheetId="4">
        <row r="29">
          <cell r="C29">
            <v>65190496</v>
          </cell>
        </row>
      </sheetData>
      <sheetData sheetId="5"/>
      <sheetData sheetId="6">
        <row r="48">
          <cell r="E48">
            <v>29892630</v>
          </cell>
        </row>
      </sheetData>
      <sheetData sheetId="7">
        <row r="35">
          <cell r="E35">
            <v>21844451</v>
          </cell>
        </row>
      </sheetData>
      <sheetData sheetId="8">
        <row r="13">
          <cell r="B13">
            <v>12208295</v>
          </cell>
        </row>
      </sheetData>
      <sheetData sheetId="9">
        <row r="6">
          <cell r="D6">
            <v>5681208.1352889594</v>
          </cell>
        </row>
        <row r="7">
          <cell r="D7">
            <v>0</v>
          </cell>
        </row>
        <row r="8">
          <cell r="D8">
            <v>11704908.041260727</v>
          </cell>
        </row>
        <row r="9">
          <cell r="D9">
            <v>131640.03252291749</v>
          </cell>
        </row>
        <row r="10">
          <cell r="D10">
            <v>239951.55469333334</v>
          </cell>
        </row>
        <row r="11">
          <cell r="D11">
            <v>5612.0758333333342</v>
          </cell>
        </row>
        <row r="12">
          <cell r="D12">
            <v>1622118.4883834268</v>
          </cell>
        </row>
        <row r="13">
          <cell r="D13">
            <v>347242.33272220008</v>
          </cell>
        </row>
        <row r="14">
          <cell r="D14">
            <v>1109692.7464350709</v>
          </cell>
        </row>
        <row r="15">
          <cell r="D15">
            <v>0</v>
          </cell>
        </row>
        <row r="16">
          <cell r="D16">
            <v>1791526.5603058187</v>
          </cell>
        </row>
        <row r="17">
          <cell r="D17">
            <v>0</v>
          </cell>
        </row>
        <row r="18">
          <cell r="D18">
            <v>0</v>
          </cell>
        </row>
        <row r="19">
          <cell r="D19">
            <v>22633899.967445787</v>
          </cell>
        </row>
        <row r="22">
          <cell r="D22">
            <v>0</v>
          </cell>
        </row>
        <row r="23">
          <cell r="D23">
            <v>0</v>
          </cell>
        </row>
        <row r="24">
          <cell r="D24">
            <v>0</v>
          </cell>
        </row>
        <row r="25">
          <cell r="D25">
            <v>0</v>
          </cell>
        </row>
        <row r="27">
          <cell r="D27">
            <v>0</v>
          </cell>
        </row>
        <row r="28">
          <cell r="D28">
            <v>0</v>
          </cell>
        </row>
        <row r="29">
          <cell r="D29">
            <v>0</v>
          </cell>
        </row>
        <row r="30">
          <cell r="D30">
            <v>0</v>
          </cell>
        </row>
        <row r="31">
          <cell r="D31">
            <v>0</v>
          </cell>
        </row>
        <row r="32">
          <cell r="D32">
            <v>0</v>
          </cell>
        </row>
        <row r="33">
          <cell r="D33">
            <v>0</v>
          </cell>
        </row>
      </sheetData>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Presentacion"/>
      <sheetName val="E.S.P."/>
      <sheetName val="E.R."/>
      <sheetName val="E.C.P"/>
      <sheetName val="E.F.E"/>
      <sheetName val="Detalle Activo"/>
      <sheetName val="Detalle Pasivo"/>
      <sheetName val="Bs de Uso"/>
      <sheetName val="Amortizaciones"/>
      <sheetName val="Resumen"/>
      <sheetName val="Verificaciones"/>
      <sheetName val="Parametros"/>
      <sheetName val="Hoja2"/>
    </sheetNames>
    <sheetDataSet>
      <sheetData sheetId="0"/>
      <sheetData sheetId="1">
        <row r="2">
          <cell r="C2" t="str">
            <v>CAMEDUR</v>
          </cell>
        </row>
        <row r="3">
          <cell r="C3" t="str">
            <v>Durazno</v>
          </cell>
        </row>
      </sheetData>
      <sheetData sheetId="2">
        <row r="6">
          <cell r="D6">
            <v>2020</v>
          </cell>
        </row>
      </sheetData>
      <sheetData sheetId="3">
        <row r="172">
          <cell r="H172">
            <v>59092493</v>
          </cell>
        </row>
      </sheetData>
      <sheetData sheetId="4">
        <row r="62">
          <cell r="F62">
            <v>0</v>
          </cell>
        </row>
      </sheetData>
      <sheetData sheetId="5"/>
      <sheetData sheetId="6">
        <row r="48">
          <cell r="E48">
            <v>94749195</v>
          </cell>
        </row>
      </sheetData>
      <sheetData sheetId="7">
        <row r="35">
          <cell r="E35">
            <v>14242138.475000001</v>
          </cell>
        </row>
      </sheetData>
      <sheetData sheetId="8">
        <row r="13">
          <cell r="B13">
            <v>23848115</v>
          </cell>
        </row>
      </sheetData>
      <sheetData sheetId="9">
        <row r="6">
          <cell r="D6">
            <v>6293372</v>
          </cell>
        </row>
        <row r="7">
          <cell r="D7">
            <v>0</v>
          </cell>
        </row>
        <row r="8">
          <cell r="D8">
            <v>5437673</v>
          </cell>
        </row>
        <row r="9">
          <cell r="D9">
            <v>588288</v>
          </cell>
        </row>
        <row r="10">
          <cell r="D10">
            <v>214222</v>
          </cell>
        </row>
        <row r="11">
          <cell r="D11">
            <v>957505</v>
          </cell>
        </row>
        <row r="12">
          <cell r="D12">
            <v>1353527</v>
          </cell>
        </row>
        <row r="13">
          <cell r="D13">
            <v>1754622</v>
          </cell>
        </row>
        <row r="14">
          <cell r="D14">
            <v>1854970</v>
          </cell>
        </row>
        <row r="15">
          <cell r="D15">
            <v>0</v>
          </cell>
        </row>
        <row r="16">
          <cell r="D16">
            <v>0</v>
          </cell>
        </row>
        <row r="17">
          <cell r="D17">
            <v>0</v>
          </cell>
        </row>
        <row r="18">
          <cell r="D18">
            <v>0</v>
          </cell>
        </row>
        <row r="19">
          <cell r="D19">
            <v>18454179</v>
          </cell>
        </row>
        <row r="22">
          <cell r="D22">
            <v>338382</v>
          </cell>
        </row>
        <row r="23">
          <cell r="D23">
            <v>0</v>
          </cell>
        </row>
        <row r="24">
          <cell r="D24">
            <v>151377</v>
          </cell>
        </row>
        <row r="25">
          <cell r="D25">
            <v>0</v>
          </cell>
        </row>
        <row r="27">
          <cell r="D27">
            <v>0</v>
          </cell>
        </row>
        <row r="28">
          <cell r="D28">
            <v>0</v>
          </cell>
        </row>
        <row r="29">
          <cell r="D29">
            <v>0</v>
          </cell>
        </row>
        <row r="30">
          <cell r="D30">
            <v>0</v>
          </cell>
        </row>
        <row r="31">
          <cell r="D31">
            <v>263752</v>
          </cell>
        </row>
        <row r="32">
          <cell r="D32">
            <v>0</v>
          </cell>
        </row>
        <row r="33">
          <cell r="D33">
            <v>753511</v>
          </cell>
        </row>
      </sheetData>
      <sheetData sheetId="10"/>
      <sheetData sheetId="11"/>
      <sheetData sheetId="12"/>
      <sheetData sheetId="1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Presentacion"/>
      <sheetName val="E.S.P."/>
      <sheetName val="E.R."/>
      <sheetName val="E.C.P"/>
      <sheetName val="E.F.E"/>
      <sheetName val="Detalle Activo"/>
      <sheetName val="Detalle Pasivo"/>
      <sheetName val="Bs de Uso"/>
      <sheetName val="Amortizaciones"/>
      <sheetName val="Resumen"/>
      <sheetName val="Verificaciones"/>
      <sheetName val="Parametros"/>
      <sheetName val="Hoja2"/>
    </sheetNames>
    <sheetDataSet>
      <sheetData sheetId="0"/>
      <sheetData sheetId="1">
        <row r="2">
          <cell r="C2" t="str">
            <v>COMEFLO</v>
          </cell>
        </row>
        <row r="3">
          <cell r="C3" t="str">
            <v>Flores</v>
          </cell>
        </row>
      </sheetData>
      <sheetData sheetId="2">
        <row r="6">
          <cell r="D6">
            <v>2020</v>
          </cell>
        </row>
      </sheetData>
      <sheetData sheetId="3">
        <row r="172">
          <cell r="H172">
            <v>23851732</v>
          </cell>
        </row>
      </sheetData>
      <sheetData sheetId="4">
        <row r="62">
          <cell r="F62">
            <v>0</v>
          </cell>
        </row>
      </sheetData>
      <sheetData sheetId="5"/>
      <sheetData sheetId="6">
        <row r="48">
          <cell r="E48">
            <v>96743609</v>
          </cell>
        </row>
      </sheetData>
      <sheetData sheetId="7">
        <row r="35">
          <cell r="E35">
            <v>6647468.0999999996</v>
          </cell>
        </row>
      </sheetData>
      <sheetData sheetId="8">
        <row r="13">
          <cell r="B13">
            <v>4926980</v>
          </cell>
        </row>
      </sheetData>
      <sheetData sheetId="9">
        <row r="6">
          <cell r="D6">
            <v>4408794</v>
          </cell>
        </row>
        <row r="7">
          <cell r="D7">
            <v>0</v>
          </cell>
        </row>
        <row r="8">
          <cell r="D8">
            <v>3150533</v>
          </cell>
        </row>
        <row r="9">
          <cell r="D9">
            <v>0</v>
          </cell>
        </row>
        <row r="10">
          <cell r="D10">
            <v>0</v>
          </cell>
        </row>
        <row r="11">
          <cell r="D11">
            <v>609697</v>
          </cell>
        </row>
        <row r="12">
          <cell r="D12">
            <v>0</v>
          </cell>
        </row>
        <row r="13">
          <cell r="D13">
            <v>0</v>
          </cell>
        </row>
        <row r="14">
          <cell r="D14">
            <v>0</v>
          </cell>
        </row>
        <row r="15">
          <cell r="D15">
            <v>0</v>
          </cell>
        </row>
        <row r="16">
          <cell r="D16">
            <v>0</v>
          </cell>
        </row>
        <row r="17">
          <cell r="D17">
            <v>0</v>
          </cell>
        </row>
        <row r="18">
          <cell r="D18">
            <v>0</v>
          </cell>
        </row>
        <row r="19">
          <cell r="D19">
            <v>8169024</v>
          </cell>
        </row>
        <row r="22">
          <cell r="D22">
            <v>0</v>
          </cell>
        </row>
        <row r="23">
          <cell r="D23">
            <v>671480</v>
          </cell>
        </row>
        <row r="24">
          <cell r="D24">
            <v>1861614</v>
          </cell>
        </row>
        <row r="25">
          <cell r="D25">
            <v>0</v>
          </cell>
        </row>
        <row r="27">
          <cell r="D27">
            <v>0</v>
          </cell>
        </row>
        <row r="28">
          <cell r="D28">
            <v>0</v>
          </cell>
        </row>
        <row r="29">
          <cell r="D29">
            <v>0</v>
          </cell>
        </row>
        <row r="30">
          <cell r="D30">
            <v>0</v>
          </cell>
        </row>
        <row r="31">
          <cell r="D31">
            <v>0</v>
          </cell>
        </row>
        <row r="32">
          <cell r="D32">
            <v>2592</v>
          </cell>
        </row>
        <row r="33">
          <cell r="D33">
            <v>2535686</v>
          </cell>
        </row>
      </sheetData>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Presentacion"/>
      <sheetName val="E.S.P."/>
      <sheetName val="E.R."/>
      <sheetName val="E.C.P"/>
      <sheetName val="E.F.E"/>
      <sheetName val="Detalle Activo"/>
      <sheetName val="Detalle Pasivo"/>
      <sheetName val="Bs de Uso"/>
      <sheetName val="Amortizaciones"/>
      <sheetName val="Resumen"/>
      <sheetName val="Verificaciones"/>
      <sheetName val="Parametros"/>
      <sheetName val="Hoja2"/>
    </sheetNames>
    <sheetDataSet>
      <sheetData sheetId="0"/>
      <sheetData sheetId="1">
        <row r="2">
          <cell r="C2" t="str">
            <v>Hosp. Evangelico</v>
          </cell>
        </row>
        <row r="3">
          <cell r="C3" t="str">
            <v>Montevideo</v>
          </cell>
        </row>
      </sheetData>
      <sheetData sheetId="2">
        <row r="6">
          <cell r="D6">
            <v>2020</v>
          </cell>
        </row>
      </sheetData>
      <sheetData sheetId="3">
        <row r="172">
          <cell r="H172">
            <v>5647623.5200001597</v>
          </cell>
        </row>
      </sheetData>
      <sheetData sheetId="4">
        <row r="62">
          <cell r="F62">
            <v>0</v>
          </cell>
        </row>
      </sheetData>
      <sheetData sheetId="5"/>
      <sheetData sheetId="6">
        <row r="48">
          <cell r="E48">
            <v>47015467</v>
          </cell>
        </row>
      </sheetData>
      <sheetData sheetId="7">
        <row r="35">
          <cell r="E35">
            <v>83586503</v>
          </cell>
        </row>
      </sheetData>
      <sheetData sheetId="8">
        <row r="13">
          <cell r="B13">
            <v>169154165</v>
          </cell>
        </row>
      </sheetData>
      <sheetData sheetId="9">
        <row r="6">
          <cell r="D6">
            <v>10468924</v>
          </cell>
        </row>
        <row r="7">
          <cell r="D7">
            <v>0</v>
          </cell>
        </row>
        <row r="8">
          <cell r="D8">
            <v>4609198</v>
          </cell>
        </row>
        <row r="9">
          <cell r="D9">
            <v>45520</v>
          </cell>
        </row>
        <row r="10">
          <cell r="D10">
            <v>995004</v>
          </cell>
        </row>
        <row r="11">
          <cell r="D11">
            <v>595110</v>
          </cell>
        </row>
        <row r="12">
          <cell r="D12">
            <v>0</v>
          </cell>
        </row>
        <row r="13">
          <cell r="D13">
            <v>0</v>
          </cell>
        </row>
        <row r="14">
          <cell r="D14">
            <v>3319844</v>
          </cell>
        </row>
        <row r="15">
          <cell r="D15">
            <v>0</v>
          </cell>
        </row>
        <row r="16">
          <cell r="D16">
            <v>7720676</v>
          </cell>
        </row>
        <row r="17">
          <cell r="D17">
            <v>0</v>
          </cell>
        </row>
        <row r="18">
          <cell r="D18">
            <v>0</v>
          </cell>
        </row>
        <row r="19">
          <cell r="D19">
            <v>27754276</v>
          </cell>
        </row>
        <row r="22">
          <cell r="D22">
            <v>3383033</v>
          </cell>
        </row>
        <row r="23">
          <cell r="D23">
            <v>311355</v>
          </cell>
        </row>
        <row r="24">
          <cell r="D24">
            <v>0</v>
          </cell>
        </row>
        <row r="25">
          <cell r="D25">
            <v>0</v>
          </cell>
        </row>
        <row r="27">
          <cell r="D27">
            <v>0</v>
          </cell>
        </row>
        <row r="28">
          <cell r="D28">
            <v>0</v>
          </cell>
        </row>
        <row r="29">
          <cell r="D29">
            <v>0</v>
          </cell>
        </row>
        <row r="30">
          <cell r="D30">
            <v>0</v>
          </cell>
        </row>
        <row r="31">
          <cell r="D31">
            <v>0</v>
          </cell>
        </row>
        <row r="32">
          <cell r="D32">
            <v>0</v>
          </cell>
        </row>
        <row r="33">
          <cell r="D33">
            <v>3694388</v>
          </cell>
        </row>
      </sheetData>
      <sheetData sheetId="10"/>
      <sheetData sheetId="11"/>
      <sheetData sheetId="12"/>
      <sheetData sheetId="1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Presentacion"/>
      <sheetName val="E.S.P."/>
      <sheetName val="E.R."/>
      <sheetName val="E.C.P"/>
      <sheetName val="E.F.E"/>
      <sheetName val="Detalle Activo"/>
      <sheetName val="Detalle Pasivo"/>
      <sheetName val="Bs de Uso"/>
      <sheetName val="Amortizaciones"/>
      <sheetName val="Resumen"/>
      <sheetName val="Verificaciones"/>
      <sheetName val="Parametros"/>
      <sheetName val="Hoja2"/>
    </sheetNames>
    <sheetDataSet>
      <sheetData sheetId="0"/>
      <sheetData sheetId="1">
        <row r="2">
          <cell r="C2" t="str">
            <v>COMEF</v>
          </cell>
        </row>
        <row r="3">
          <cell r="C3" t="str">
            <v>Florida</v>
          </cell>
        </row>
      </sheetData>
      <sheetData sheetId="2">
        <row r="6">
          <cell r="D6">
            <v>2020</v>
          </cell>
        </row>
      </sheetData>
      <sheetData sheetId="3">
        <row r="172">
          <cell r="H172">
            <v>-2062259</v>
          </cell>
        </row>
      </sheetData>
      <sheetData sheetId="4">
        <row r="62">
          <cell r="F62">
            <v>1395328</v>
          </cell>
        </row>
      </sheetData>
      <sheetData sheetId="5"/>
      <sheetData sheetId="6">
        <row r="48">
          <cell r="E48">
            <v>39517073.644999996</v>
          </cell>
        </row>
      </sheetData>
      <sheetData sheetId="7">
        <row r="35">
          <cell r="E35">
            <v>44817489.825000003</v>
          </cell>
        </row>
      </sheetData>
      <sheetData sheetId="8">
        <row r="13">
          <cell r="B13">
            <v>5014484</v>
          </cell>
        </row>
      </sheetData>
      <sheetData sheetId="9">
        <row r="6">
          <cell r="D6">
            <v>9412462</v>
          </cell>
        </row>
        <row r="7">
          <cell r="D7">
            <v>0</v>
          </cell>
        </row>
        <row r="8">
          <cell r="D8">
            <v>6310777</v>
          </cell>
        </row>
        <row r="9">
          <cell r="D9">
            <v>0</v>
          </cell>
        </row>
        <row r="10">
          <cell r="D10">
            <v>48037</v>
          </cell>
        </row>
        <row r="11">
          <cell r="D11">
            <v>549</v>
          </cell>
        </row>
        <row r="12">
          <cell r="D12">
            <v>302407</v>
          </cell>
        </row>
        <row r="13">
          <cell r="D13">
            <v>835949</v>
          </cell>
        </row>
        <row r="14">
          <cell r="D14">
            <v>1005383</v>
          </cell>
        </row>
        <row r="15">
          <cell r="D15">
            <v>11505</v>
          </cell>
        </row>
        <row r="16">
          <cell r="D16">
            <v>0</v>
          </cell>
        </row>
        <row r="17">
          <cell r="D17">
            <v>0</v>
          </cell>
        </row>
        <row r="18">
          <cell r="D18">
            <v>0</v>
          </cell>
        </row>
        <row r="19">
          <cell r="D19">
            <v>17927069</v>
          </cell>
        </row>
        <row r="22">
          <cell r="D22">
            <v>302407</v>
          </cell>
        </row>
        <row r="23">
          <cell r="D23">
            <v>0</v>
          </cell>
        </row>
        <row r="24">
          <cell r="D24">
            <v>177421</v>
          </cell>
        </row>
        <row r="25">
          <cell r="D25">
            <v>0</v>
          </cell>
        </row>
        <row r="27">
          <cell r="D27">
            <v>0</v>
          </cell>
        </row>
        <row r="28">
          <cell r="D28">
            <v>0</v>
          </cell>
        </row>
        <row r="29">
          <cell r="D29">
            <v>725437</v>
          </cell>
        </row>
        <row r="30">
          <cell r="D30">
            <v>0</v>
          </cell>
        </row>
        <row r="31">
          <cell r="D31">
            <v>0</v>
          </cell>
        </row>
        <row r="32">
          <cell r="D32">
            <v>0</v>
          </cell>
        </row>
        <row r="33">
          <cell r="D33">
            <v>1205265</v>
          </cell>
        </row>
      </sheetData>
      <sheetData sheetId="10"/>
      <sheetData sheetId="11"/>
      <sheetData sheetId="12"/>
      <sheetData sheetId="1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Presentacion"/>
      <sheetName val="E.S.P."/>
      <sheetName val="E.R."/>
      <sheetName val="E.C.P"/>
      <sheetName val="E.F.E"/>
      <sheetName val="Detalle Activo"/>
      <sheetName val="Detalle Pasivo"/>
      <sheetName val="Bs de Uso"/>
      <sheetName val="Amortizaciones"/>
      <sheetName val="Resumen"/>
      <sheetName val="Verificaciones"/>
      <sheetName val="Parametros"/>
      <sheetName val="Hoja2"/>
    </sheetNames>
    <sheetDataSet>
      <sheetData sheetId="0"/>
      <sheetData sheetId="1">
        <row r="2">
          <cell r="C2" t="str">
            <v>CAMDEL</v>
          </cell>
        </row>
        <row r="3">
          <cell r="C3" t="str">
            <v>Lavalleja</v>
          </cell>
        </row>
      </sheetData>
      <sheetData sheetId="2">
        <row r="6">
          <cell r="D6">
            <v>2020</v>
          </cell>
        </row>
      </sheetData>
      <sheetData sheetId="3">
        <row r="172">
          <cell r="H172">
            <v>4360237</v>
          </cell>
        </row>
      </sheetData>
      <sheetData sheetId="4">
        <row r="62">
          <cell r="F62">
            <v>0</v>
          </cell>
        </row>
      </sheetData>
      <sheetData sheetId="5"/>
      <sheetData sheetId="6">
        <row r="48">
          <cell r="E48">
            <v>50737012.986749999</v>
          </cell>
        </row>
      </sheetData>
      <sheetData sheetId="7">
        <row r="35">
          <cell r="E35">
            <v>21059261.975000001</v>
          </cell>
        </row>
      </sheetData>
      <sheetData sheetId="8">
        <row r="13">
          <cell r="B13">
            <v>37832354</v>
          </cell>
        </row>
      </sheetData>
      <sheetData sheetId="9">
        <row r="6">
          <cell r="D6">
            <v>11612196</v>
          </cell>
        </row>
        <row r="7">
          <cell r="D7">
            <v>0</v>
          </cell>
        </row>
        <row r="8">
          <cell r="D8">
            <v>8537052</v>
          </cell>
        </row>
        <row r="9">
          <cell r="D9">
            <v>0</v>
          </cell>
        </row>
        <row r="10">
          <cell r="D10">
            <v>0</v>
          </cell>
        </row>
        <row r="11">
          <cell r="D11">
            <v>466830</v>
          </cell>
        </row>
        <row r="12">
          <cell r="D12">
            <v>0</v>
          </cell>
        </row>
        <row r="13">
          <cell r="D13">
            <v>0</v>
          </cell>
        </row>
        <row r="14">
          <cell r="D14">
            <v>0</v>
          </cell>
        </row>
        <row r="15">
          <cell r="D15">
            <v>2013209</v>
          </cell>
        </row>
        <row r="16">
          <cell r="D16">
            <v>0</v>
          </cell>
        </row>
        <row r="17">
          <cell r="D17">
            <v>0</v>
          </cell>
        </row>
        <row r="18">
          <cell r="D18">
            <v>0</v>
          </cell>
        </row>
        <row r="19">
          <cell r="D19">
            <v>22629287</v>
          </cell>
        </row>
        <row r="22">
          <cell r="D22">
            <v>1242740</v>
          </cell>
        </row>
        <row r="23">
          <cell r="D23">
            <v>340539</v>
          </cell>
        </row>
        <row r="24">
          <cell r="D24">
            <v>1833042</v>
          </cell>
        </row>
        <row r="25">
          <cell r="D25">
            <v>0</v>
          </cell>
        </row>
        <row r="27">
          <cell r="D27">
            <v>0</v>
          </cell>
        </row>
        <row r="28">
          <cell r="D28">
            <v>0</v>
          </cell>
        </row>
        <row r="29">
          <cell r="D29">
            <v>0</v>
          </cell>
        </row>
        <row r="30">
          <cell r="D30">
            <v>1255891</v>
          </cell>
        </row>
        <row r="31">
          <cell r="D31">
            <v>0</v>
          </cell>
        </row>
        <row r="32">
          <cell r="D32">
            <v>16088</v>
          </cell>
        </row>
        <row r="33">
          <cell r="D33">
            <v>4688300</v>
          </cell>
        </row>
      </sheetData>
      <sheetData sheetId="10"/>
      <sheetData sheetId="11"/>
      <sheetData sheetId="12"/>
      <sheetData sheetId="1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Presentacion"/>
      <sheetName val="E.S.P."/>
      <sheetName val="E.R."/>
      <sheetName val="E.C.P"/>
      <sheetName val="E.F.E"/>
      <sheetName val="Detalle Activo"/>
      <sheetName val="Detalle Pasivo"/>
      <sheetName val="Bs de Uso"/>
      <sheetName val="Amortizaciones"/>
      <sheetName val="Resumen"/>
      <sheetName val="Verificaciones"/>
      <sheetName val="Parametros"/>
      <sheetName val="Hoja2"/>
    </sheetNames>
    <sheetDataSet>
      <sheetData sheetId="0"/>
      <sheetData sheetId="1">
        <row r="2">
          <cell r="C2" t="str">
            <v>AMECOM</v>
          </cell>
        </row>
        <row r="3">
          <cell r="C3" t="str">
            <v>Maldonado</v>
          </cell>
        </row>
      </sheetData>
      <sheetData sheetId="2">
        <row r="6">
          <cell r="D6">
            <v>2020</v>
          </cell>
        </row>
      </sheetData>
      <sheetData sheetId="3">
        <row r="172">
          <cell r="H172">
            <v>58228536.179999828</v>
          </cell>
        </row>
      </sheetData>
      <sheetData sheetId="4">
        <row r="29">
          <cell r="E29">
            <v>1535802258</v>
          </cell>
        </row>
      </sheetData>
      <sheetData sheetId="5"/>
      <sheetData sheetId="6">
        <row r="48">
          <cell r="E48">
            <v>175438604.61874998</v>
          </cell>
        </row>
      </sheetData>
      <sheetData sheetId="7">
        <row r="35">
          <cell r="E35">
            <v>84069507.539999992</v>
          </cell>
        </row>
      </sheetData>
      <sheetData sheetId="8">
        <row r="13">
          <cell r="B13">
            <v>273593365</v>
          </cell>
        </row>
      </sheetData>
      <sheetData sheetId="9">
        <row r="6">
          <cell r="D6">
            <v>53992379</v>
          </cell>
        </row>
        <row r="7">
          <cell r="D7">
            <v>0</v>
          </cell>
        </row>
        <row r="8">
          <cell r="D8">
            <v>26424559</v>
          </cell>
        </row>
        <row r="9">
          <cell r="D9">
            <v>0</v>
          </cell>
        </row>
        <row r="10">
          <cell r="D10">
            <v>895923</v>
          </cell>
        </row>
        <row r="11">
          <cell r="D11">
            <v>1974497</v>
          </cell>
        </row>
        <row r="12">
          <cell r="D12">
            <v>1650774</v>
          </cell>
        </row>
        <row r="13">
          <cell r="D13">
            <v>3378285</v>
          </cell>
        </row>
        <row r="14">
          <cell r="D14">
            <v>1634333</v>
          </cell>
        </row>
        <row r="15">
          <cell r="D15">
            <v>638085</v>
          </cell>
        </row>
        <row r="16">
          <cell r="D16">
            <v>1162973</v>
          </cell>
        </row>
        <row r="17">
          <cell r="D17">
            <v>0</v>
          </cell>
        </row>
        <row r="18">
          <cell r="D18">
            <v>0</v>
          </cell>
        </row>
        <row r="19">
          <cell r="D19">
            <v>91751808</v>
          </cell>
        </row>
        <row r="22">
          <cell r="D22">
            <v>412694</v>
          </cell>
        </row>
        <row r="23">
          <cell r="D23">
            <v>0</v>
          </cell>
        </row>
        <row r="24">
          <cell r="D24">
            <v>408582</v>
          </cell>
        </row>
        <row r="25">
          <cell r="D25">
            <v>0</v>
          </cell>
        </row>
        <row r="27">
          <cell r="D27">
            <v>0</v>
          </cell>
        </row>
        <row r="28">
          <cell r="D28">
            <v>0</v>
          </cell>
        </row>
        <row r="29">
          <cell r="D29">
            <v>0</v>
          </cell>
        </row>
        <row r="30">
          <cell r="D30">
            <v>290742</v>
          </cell>
        </row>
        <row r="31">
          <cell r="D31">
            <v>1350209</v>
          </cell>
        </row>
        <row r="32">
          <cell r="D32">
            <v>0</v>
          </cell>
        </row>
        <row r="33">
          <cell r="D33">
            <v>2462227</v>
          </cell>
        </row>
      </sheetData>
      <sheetData sheetId="10"/>
      <sheetData sheetId="11"/>
      <sheetData sheetId="12"/>
      <sheetData sheetId="1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Presentacion"/>
      <sheetName val="E.S.P."/>
      <sheetName val="E.R."/>
      <sheetName val="E.C.P"/>
      <sheetName val="E.F.E"/>
      <sheetName val="Detalle Activo"/>
      <sheetName val="Detalle Pasivo"/>
      <sheetName val="Bs de Uso"/>
      <sheetName val="Amortizaciones"/>
      <sheetName val="Resumen"/>
      <sheetName val="Verificaciones"/>
      <sheetName val="Parametros"/>
      <sheetName val="Hoja2"/>
    </sheetNames>
    <sheetDataSet>
      <sheetData sheetId="0"/>
      <sheetData sheetId="1">
        <row r="2">
          <cell r="C2" t="str">
            <v>CRAME</v>
          </cell>
        </row>
        <row r="3">
          <cell r="C3" t="str">
            <v>Maldonado</v>
          </cell>
        </row>
      </sheetData>
      <sheetData sheetId="2">
        <row r="6">
          <cell r="D6">
            <v>2020</v>
          </cell>
        </row>
      </sheetData>
      <sheetData sheetId="3">
        <row r="172">
          <cell r="H172">
            <v>30659951.457699209</v>
          </cell>
        </row>
      </sheetData>
      <sheetData sheetId="4">
        <row r="7">
          <cell r="G7">
            <v>466326160</v>
          </cell>
        </row>
      </sheetData>
      <sheetData sheetId="5"/>
      <sheetData sheetId="6">
        <row r="48">
          <cell r="E48">
            <v>66542024.975000001</v>
          </cell>
        </row>
      </sheetData>
      <sheetData sheetId="7">
        <row r="35">
          <cell r="E35">
            <v>11165114</v>
          </cell>
        </row>
      </sheetData>
      <sheetData sheetId="8">
        <row r="13">
          <cell r="B13">
            <v>15826039</v>
          </cell>
        </row>
      </sheetData>
      <sheetData sheetId="9">
        <row r="6">
          <cell r="D6">
            <v>12571499.25</v>
          </cell>
        </row>
        <row r="7">
          <cell r="D7">
            <v>0</v>
          </cell>
        </row>
        <row r="8">
          <cell r="D8">
            <v>16886661</v>
          </cell>
        </row>
        <row r="9">
          <cell r="D9">
            <v>0</v>
          </cell>
        </row>
        <row r="10">
          <cell r="D10">
            <v>0</v>
          </cell>
        </row>
        <row r="11">
          <cell r="D11">
            <v>0</v>
          </cell>
        </row>
        <row r="12">
          <cell r="D12">
            <v>0</v>
          </cell>
        </row>
        <row r="13">
          <cell r="D13">
            <v>0</v>
          </cell>
        </row>
        <row r="14">
          <cell r="D14">
            <v>0</v>
          </cell>
        </row>
        <row r="15">
          <cell r="D15">
            <v>0</v>
          </cell>
        </row>
        <row r="16">
          <cell r="D16">
            <v>6914969</v>
          </cell>
        </row>
        <row r="17">
          <cell r="D17">
            <v>0</v>
          </cell>
        </row>
        <row r="18">
          <cell r="D18">
            <v>0</v>
          </cell>
        </row>
        <row r="19">
          <cell r="D19">
            <v>36373129.25</v>
          </cell>
        </row>
        <row r="22">
          <cell r="D22">
            <v>1838270</v>
          </cell>
        </row>
        <row r="23">
          <cell r="D23">
            <v>73797</v>
          </cell>
        </row>
        <row r="24">
          <cell r="D24">
            <v>2358457</v>
          </cell>
        </row>
        <row r="25">
          <cell r="D25">
            <v>0</v>
          </cell>
        </row>
        <row r="27">
          <cell r="D27">
            <v>0</v>
          </cell>
        </row>
        <row r="28">
          <cell r="D28">
            <v>0</v>
          </cell>
        </row>
        <row r="29">
          <cell r="D29">
            <v>0</v>
          </cell>
        </row>
        <row r="30">
          <cell r="D30">
            <v>2304990</v>
          </cell>
        </row>
        <row r="31">
          <cell r="D31">
            <v>4190499.75</v>
          </cell>
        </row>
        <row r="32">
          <cell r="D32">
            <v>0</v>
          </cell>
        </row>
        <row r="33">
          <cell r="D33">
            <v>10766013.75</v>
          </cell>
        </row>
      </sheetData>
      <sheetData sheetId="10"/>
      <sheetData sheetId="11"/>
      <sheetData sheetId="12"/>
      <sheetData sheetId="13"/>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Presentacion"/>
      <sheetName val="E.S.P."/>
      <sheetName val="E.R."/>
      <sheetName val="E.C.P"/>
      <sheetName val="E.F.E"/>
      <sheetName val="Detalle Activo"/>
      <sheetName val="Detalle Pasivo"/>
      <sheetName val="Bs de Uso"/>
      <sheetName val="Amortizaciones"/>
      <sheetName val="Resumen"/>
      <sheetName val="Verificaciones"/>
      <sheetName val="Parametros"/>
      <sheetName val="Hoja2"/>
    </sheetNames>
    <sheetDataSet>
      <sheetData sheetId="0"/>
      <sheetData sheetId="1">
        <row r="2">
          <cell r="C2" t="str">
            <v>COMEPA</v>
          </cell>
        </row>
        <row r="3">
          <cell r="C3" t="str">
            <v>Paysandu</v>
          </cell>
        </row>
      </sheetData>
      <sheetData sheetId="2">
        <row r="6">
          <cell r="D6">
            <v>2020</v>
          </cell>
        </row>
      </sheetData>
      <sheetData sheetId="3">
        <row r="172">
          <cell r="H172">
            <v>47052358.340000153</v>
          </cell>
        </row>
      </sheetData>
      <sheetData sheetId="4">
        <row r="57">
          <cell r="E57">
            <v>1148981</v>
          </cell>
        </row>
      </sheetData>
      <sheetData sheetId="5"/>
      <sheetData sheetId="6">
        <row r="48">
          <cell r="E48">
            <v>93641441.06400001</v>
          </cell>
        </row>
      </sheetData>
      <sheetData sheetId="7">
        <row r="35">
          <cell r="E35">
            <v>46698125.140999995</v>
          </cell>
        </row>
      </sheetData>
      <sheetData sheetId="8">
        <row r="13">
          <cell r="F13">
            <v>46764755</v>
          </cell>
        </row>
      </sheetData>
      <sheetData sheetId="9">
        <row r="6">
          <cell r="D6">
            <v>38890983</v>
          </cell>
        </row>
        <row r="7">
          <cell r="D7">
            <v>0</v>
          </cell>
        </row>
        <row r="8">
          <cell r="D8">
            <v>17432249</v>
          </cell>
        </row>
        <row r="9">
          <cell r="D9">
            <v>0</v>
          </cell>
        </row>
        <row r="10">
          <cell r="D10">
            <v>4240875</v>
          </cell>
        </row>
        <row r="11">
          <cell r="D11">
            <v>286156</v>
          </cell>
        </row>
        <row r="12">
          <cell r="D12">
            <v>5916372</v>
          </cell>
        </row>
        <row r="13">
          <cell r="D13">
            <v>82036</v>
          </cell>
        </row>
        <row r="14">
          <cell r="D14">
            <v>5207430</v>
          </cell>
        </row>
        <row r="15">
          <cell r="D15">
            <v>0</v>
          </cell>
        </row>
        <row r="16">
          <cell r="D16">
            <v>128630</v>
          </cell>
        </row>
        <row r="17">
          <cell r="D17">
            <v>0</v>
          </cell>
        </row>
        <row r="18">
          <cell r="D18">
            <v>0</v>
          </cell>
        </row>
        <row r="19">
          <cell r="D19">
            <v>72184731</v>
          </cell>
        </row>
        <row r="22">
          <cell r="D22">
            <v>409692</v>
          </cell>
        </row>
        <row r="23">
          <cell r="D23">
            <v>0</v>
          </cell>
        </row>
        <row r="24">
          <cell r="D24">
            <v>274650</v>
          </cell>
        </row>
        <row r="25">
          <cell r="D25">
            <v>120854</v>
          </cell>
        </row>
        <row r="27">
          <cell r="D27">
            <v>0</v>
          </cell>
        </row>
        <row r="28">
          <cell r="D28">
            <v>0</v>
          </cell>
        </row>
        <row r="29">
          <cell r="D29">
            <v>0</v>
          </cell>
        </row>
        <row r="30">
          <cell r="D30">
            <v>0</v>
          </cell>
        </row>
        <row r="31">
          <cell r="D31">
            <v>0</v>
          </cell>
        </row>
        <row r="32">
          <cell r="D32">
            <v>3221494</v>
          </cell>
        </row>
        <row r="33">
          <cell r="D33">
            <v>4026690</v>
          </cell>
        </row>
      </sheetData>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Presentacion"/>
      <sheetName val="E.S.P."/>
      <sheetName val="E.R."/>
      <sheetName val="E.C.P"/>
      <sheetName val="E.F.E"/>
      <sheetName val="Detalle Activo"/>
      <sheetName val="Detalle Pasivo"/>
      <sheetName val="Bs de Uso"/>
      <sheetName val="Amortizaciones"/>
      <sheetName val="Resumen"/>
      <sheetName val="Verificaciones"/>
      <sheetName val="Parametros"/>
      <sheetName val="Hoja2"/>
    </sheetNames>
    <sheetDataSet>
      <sheetData sheetId="0"/>
      <sheetData sheetId="1">
        <row r="2">
          <cell r="C2" t="str">
            <v>AMEDRIN</v>
          </cell>
        </row>
        <row r="3">
          <cell r="C3" t="str">
            <v>Rio Negro</v>
          </cell>
        </row>
      </sheetData>
      <sheetData sheetId="2">
        <row r="6">
          <cell r="D6">
            <v>2020</v>
          </cell>
        </row>
      </sheetData>
      <sheetData sheetId="3">
        <row r="172">
          <cell r="H172">
            <v>2477079</v>
          </cell>
        </row>
      </sheetData>
      <sheetData sheetId="4">
        <row r="62">
          <cell r="F62">
            <v>25515263</v>
          </cell>
        </row>
      </sheetData>
      <sheetData sheetId="5"/>
      <sheetData sheetId="6">
        <row r="48">
          <cell r="E48">
            <v>2918128.8899999997</v>
          </cell>
        </row>
      </sheetData>
      <sheetData sheetId="7">
        <row r="35">
          <cell r="E35">
            <v>11075629</v>
          </cell>
        </row>
      </sheetData>
      <sheetData sheetId="8">
        <row r="13">
          <cell r="B13">
            <v>5148824</v>
          </cell>
        </row>
      </sheetData>
      <sheetData sheetId="9">
        <row r="6">
          <cell r="D6">
            <v>4647539</v>
          </cell>
        </row>
        <row r="7">
          <cell r="D7">
            <v>0</v>
          </cell>
        </row>
        <row r="8">
          <cell r="D8">
            <v>1929902</v>
          </cell>
        </row>
        <row r="9">
          <cell r="D9">
            <v>0</v>
          </cell>
        </row>
        <row r="10">
          <cell r="D10">
            <v>535689</v>
          </cell>
        </row>
        <row r="11">
          <cell r="D11">
            <v>0</v>
          </cell>
        </row>
        <row r="12">
          <cell r="D12">
            <v>1376806</v>
          </cell>
        </row>
        <row r="13">
          <cell r="D13">
            <v>411176</v>
          </cell>
        </row>
        <row r="14">
          <cell r="D14">
            <v>1308857</v>
          </cell>
        </row>
        <row r="15">
          <cell r="D15">
            <v>0</v>
          </cell>
        </row>
        <row r="16">
          <cell r="D16">
            <v>43690</v>
          </cell>
        </row>
        <row r="17">
          <cell r="D17">
            <v>0</v>
          </cell>
        </row>
        <row r="18">
          <cell r="D18">
            <v>0</v>
          </cell>
        </row>
        <row r="19">
          <cell r="D19">
            <v>10253659</v>
          </cell>
        </row>
        <row r="22">
          <cell r="D22">
            <v>0</v>
          </cell>
        </row>
        <row r="23">
          <cell r="D23">
            <v>0</v>
          </cell>
        </row>
        <row r="24">
          <cell r="D24">
            <v>0</v>
          </cell>
        </row>
        <row r="25">
          <cell r="D25">
            <v>0</v>
          </cell>
        </row>
        <row r="27">
          <cell r="D27">
            <v>0</v>
          </cell>
        </row>
        <row r="28">
          <cell r="D28">
            <v>0</v>
          </cell>
        </row>
        <row r="29">
          <cell r="D29">
            <v>0</v>
          </cell>
        </row>
        <row r="30">
          <cell r="D30">
            <v>0</v>
          </cell>
        </row>
        <row r="31">
          <cell r="D31">
            <v>0</v>
          </cell>
        </row>
        <row r="32">
          <cell r="D32">
            <v>0</v>
          </cell>
        </row>
        <row r="33">
          <cell r="D33">
            <v>0</v>
          </cell>
        </row>
      </sheetData>
      <sheetData sheetId="10"/>
      <sheetData sheetId="11"/>
      <sheetData sheetId="12"/>
      <sheetData sheetId="13"/>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Presentacion"/>
      <sheetName val="E.S.P."/>
      <sheetName val="E.R."/>
      <sheetName val="E.C.P"/>
      <sheetName val="E.F.E"/>
      <sheetName val="Detalle Activo"/>
      <sheetName val="Detalle Pasivo"/>
      <sheetName val="Bs de Uso"/>
      <sheetName val="Amortizaciones"/>
      <sheetName val="Resumen"/>
      <sheetName val="Verificaciones"/>
      <sheetName val="Parametros"/>
      <sheetName val="Hoja2"/>
    </sheetNames>
    <sheetDataSet>
      <sheetData sheetId="0"/>
      <sheetData sheetId="1">
        <row r="2">
          <cell r="C2" t="str">
            <v>CAMY</v>
          </cell>
        </row>
        <row r="3">
          <cell r="C3" t="str">
            <v>Rio Negro</v>
          </cell>
        </row>
      </sheetData>
      <sheetData sheetId="2">
        <row r="6">
          <cell r="D6">
            <v>2020</v>
          </cell>
        </row>
      </sheetData>
      <sheetData sheetId="3">
        <row r="172">
          <cell r="H172">
            <v>29111399.960000038</v>
          </cell>
        </row>
      </sheetData>
      <sheetData sheetId="4">
        <row r="62">
          <cell r="F62">
            <v>0</v>
          </cell>
        </row>
      </sheetData>
      <sheetData sheetId="5"/>
      <sheetData sheetId="6">
        <row r="48">
          <cell r="E48">
            <v>18605017</v>
          </cell>
        </row>
      </sheetData>
      <sheetData sheetId="7">
        <row r="35">
          <cell r="E35">
            <v>6794196</v>
          </cell>
        </row>
      </sheetData>
      <sheetData sheetId="8">
        <row r="13">
          <cell r="B13">
            <v>14057596</v>
          </cell>
        </row>
      </sheetData>
      <sheetData sheetId="9">
        <row r="6">
          <cell r="D6">
            <v>3190794</v>
          </cell>
        </row>
        <row r="7">
          <cell r="D7">
            <v>0</v>
          </cell>
        </row>
        <row r="8">
          <cell r="D8">
            <v>1855058</v>
          </cell>
        </row>
        <row r="9">
          <cell r="D9">
            <v>0</v>
          </cell>
        </row>
        <row r="10">
          <cell r="D10">
            <v>43695</v>
          </cell>
        </row>
        <row r="11">
          <cell r="D11">
            <v>69715</v>
          </cell>
        </row>
        <row r="12">
          <cell r="D12">
            <v>170240</v>
          </cell>
        </row>
        <row r="13">
          <cell r="D13">
            <v>0</v>
          </cell>
        </row>
        <row r="14">
          <cell r="D14">
            <v>154811</v>
          </cell>
        </row>
        <row r="15">
          <cell r="D15">
            <v>128206</v>
          </cell>
        </row>
        <row r="16">
          <cell r="D16">
            <v>785153</v>
          </cell>
        </row>
        <row r="17">
          <cell r="D17">
            <v>0</v>
          </cell>
        </row>
        <row r="18">
          <cell r="D18">
            <v>0</v>
          </cell>
        </row>
        <row r="19">
          <cell r="D19">
            <v>6397672</v>
          </cell>
        </row>
        <row r="22">
          <cell r="D22">
            <v>0</v>
          </cell>
        </row>
        <row r="23">
          <cell r="D23">
            <v>0</v>
          </cell>
        </row>
        <row r="24">
          <cell r="D24">
            <v>0</v>
          </cell>
        </row>
        <row r="25">
          <cell r="D25">
            <v>0</v>
          </cell>
        </row>
        <row r="27">
          <cell r="D27">
            <v>0</v>
          </cell>
        </row>
        <row r="28">
          <cell r="D28">
            <v>0</v>
          </cell>
        </row>
        <row r="29">
          <cell r="D29">
            <v>0</v>
          </cell>
        </row>
        <row r="30">
          <cell r="D30">
            <v>0</v>
          </cell>
        </row>
        <row r="31">
          <cell r="D31">
            <v>0</v>
          </cell>
        </row>
        <row r="32">
          <cell r="D32">
            <v>0</v>
          </cell>
        </row>
        <row r="33">
          <cell r="D33">
            <v>0</v>
          </cell>
        </row>
      </sheetData>
      <sheetData sheetId="10"/>
      <sheetData sheetId="11"/>
      <sheetData sheetId="12"/>
      <sheetData sheetId="13"/>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Presentacion"/>
      <sheetName val="E.S.P."/>
      <sheetName val="E.R."/>
      <sheetName val="E.C.P"/>
      <sheetName val="E.F.E"/>
      <sheetName val="Detalle Activo"/>
      <sheetName val="Detalle Pasivo"/>
      <sheetName val="Bs de Uso"/>
      <sheetName val="Amortizaciones"/>
      <sheetName val="Resumen"/>
      <sheetName val="Verificaciones"/>
      <sheetName val="Parametros"/>
      <sheetName val="Hoja2"/>
    </sheetNames>
    <sheetDataSet>
      <sheetData sheetId="0"/>
      <sheetData sheetId="1">
        <row r="2">
          <cell r="C2" t="str">
            <v>CASMER</v>
          </cell>
        </row>
        <row r="3">
          <cell r="C3" t="str">
            <v>Rivera</v>
          </cell>
        </row>
      </sheetData>
      <sheetData sheetId="2">
        <row r="6">
          <cell r="D6">
            <v>2020</v>
          </cell>
        </row>
      </sheetData>
      <sheetData sheetId="3">
        <row r="172">
          <cell r="H172">
            <v>77970576.599999845</v>
          </cell>
        </row>
      </sheetData>
      <sheetData sheetId="4">
        <row r="57">
          <cell r="E57">
            <v>56109019</v>
          </cell>
        </row>
      </sheetData>
      <sheetData sheetId="5"/>
      <sheetData sheetId="6">
        <row r="48">
          <cell r="E48">
            <v>165834316.68924999</v>
          </cell>
        </row>
      </sheetData>
      <sheetData sheetId="7">
        <row r="35">
          <cell r="E35">
            <v>19122971.125</v>
          </cell>
        </row>
      </sheetData>
      <sheetData sheetId="8">
        <row r="13">
          <cell r="B13">
            <v>32058327</v>
          </cell>
        </row>
      </sheetData>
      <sheetData sheetId="9">
        <row r="6">
          <cell r="D6">
            <v>7227968</v>
          </cell>
        </row>
        <row r="7">
          <cell r="D7">
            <v>0</v>
          </cell>
        </row>
        <row r="8">
          <cell r="D8">
            <v>6823592</v>
          </cell>
        </row>
        <row r="9">
          <cell r="D9">
            <v>0</v>
          </cell>
        </row>
        <row r="10">
          <cell r="D10">
            <v>0</v>
          </cell>
        </row>
        <row r="11">
          <cell r="D11">
            <v>0</v>
          </cell>
        </row>
        <row r="12">
          <cell r="D12">
            <v>1222566</v>
          </cell>
        </row>
        <row r="13">
          <cell r="D13">
            <v>1538962</v>
          </cell>
        </row>
        <row r="14">
          <cell r="D14">
            <v>1576876</v>
          </cell>
        </row>
        <row r="15">
          <cell r="D15">
            <v>0</v>
          </cell>
        </row>
        <row r="16">
          <cell r="D16">
            <v>0</v>
          </cell>
        </row>
        <row r="17">
          <cell r="D17">
            <v>0</v>
          </cell>
        </row>
        <row r="18">
          <cell r="D18">
            <v>0</v>
          </cell>
        </row>
        <row r="19">
          <cell r="D19">
            <v>18389964</v>
          </cell>
        </row>
        <row r="22">
          <cell r="D22">
            <v>748728</v>
          </cell>
        </row>
        <row r="23">
          <cell r="D23">
            <v>0</v>
          </cell>
        </row>
        <row r="24">
          <cell r="D24">
            <v>161641</v>
          </cell>
        </row>
        <row r="25">
          <cell r="D25">
            <v>427763</v>
          </cell>
        </row>
        <row r="27">
          <cell r="D27">
            <v>0</v>
          </cell>
        </row>
        <row r="28">
          <cell r="D28">
            <v>0</v>
          </cell>
        </row>
        <row r="29">
          <cell r="D29">
            <v>0</v>
          </cell>
        </row>
        <row r="30">
          <cell r="D30">
            <v>430456</v>
          </cell>
        </row>
        <row r="31">
          <cell r="D31">
            <v>0</v>
          </cell>
        </row>
        <row r="32">
          <cell r="D32">
            <v>0</v>
          </cell>
        </row>
        <row r="33">
          <cell r="D33">
            <v>1768588</v>
          </cell>
        </row>
      </sheetData>
      <sheetData sheetId="10"/>
      <sheetData sheetId="11"/>
      <sheetData sheetId="12"/>
      <sheetData sheetId="1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Presentacion"/>
      <sheetName val="E.S.P."/>
      <sheetName val="E.R."/>
      <sheetName val="E.C.P"/>
      <sheetName val="E.F.E"/>
      <sheetName val="Detalle Activo"/>
      <sheetName val="Detalle Pasivo"/>
      <sheetName val="Bs de Uso"/>
      <sheetName val="Amortizaciones"/>
      <sheetName val="Resumen"/>
      <sheetName val="Verificaciones"/>
      <sheetName val="Parametros"/>
      <sheetName val="Hoja2"/>
    </sheetNames>
    <sheetDataSet>
      <sheetData sheetId="0"/>
      <sheetData sheetId="1">
        <row r="2">
          <cell r="C2" t="str">
            <v>COMERI</v>
          </cell>
        </row>
        <row r="3">
          <cell r="C3" t="str">
            <v>Rivera</v>
          </cell>
        </row>
      </sheetData>
      <sheetData sheetId="2">
        <row r="6">
          <cell r="D6">
            <v>2020</v>
          </cell>
        </row>
      </sheetData>
      <sheetData sheetId="3">
        <row r="172">
          <cell r="H172">
            <v>-5180075.1200000048</v>
          </cell>
        </row>
      </sheetData>
      <sheetData sheetId="4">
        <row r="62">
          <cell r="F62">
            <v>0</v>
          </cell>
        </row>
      </sheetData>
      <sheetData sheetId="5"/>
      <sheetData sheetId="6">
        <row r="48">
          <cell r="E48">
            <v>1826632</v>
          </cell>
        </row>
      </sheetData>
      <sheetData sheetId="7">
        <row r="35">
          <cell r="E35">
            <v>15086004.42</v>
          </cell>
        </row>
      </sheetData>
      <sheetData sheetId="8">
        <row r="13">
          <cell r="B13">
            <v>5195975</v>
          </cell>
        </row>
      </sheetData>
      <sheetData sheetId="9">
        <row r="6">
          <cell r="D6">
            <v>1914217</v>
          </cell>
        </row>
        <row r="7">
          <cell r="D7">
            <v>0</v>
          </cell>
        </row>
        <row r="8">
          <cell r="D8">
            <v>6015067</v>
          </cell>
        </row>
        <row r="9">
          <cell r="D9">
            <v>0</v>
          </cell>
        </row>
        <row r="10">
          <cell r="D10">
            <v>231684</v>
          </cell>
        </row>
        <row r="11">
          <cell r="D11">
            <v>0</v>
          </cell>
        </row>
        <row r="12">
          <cell r="D12">
            <v>0</v>
          </cell>
        </row>
        <row r="13">
          <cell r="D13">
            <v>1272184</v>
          </cell>
        </row>
        <row r="14">
          <cell r="D14">
            <v>1301730</v>
          </cell>
        </row>
        <row r="15">
          <cell r="D15">
            <v>0</v>
          </cell>
        </row>
        <row r="16">
          <cell r="D16">
            <v>0</v>
          </cell>
        </row>
        <row r="17">
          <cell r="D17">
            <v>0</v>
          </cell>
        </row>
        <row r="18">
          <cell r="D18">
            <v>0</v>
          </cell>
        </row>
        <row r="19">
          <cell r="D19">
            <v>10734882</v>
          </cell>
        </row>
        <row r="22">
          <cell r="D22">
            <v>0</v>
          </cell>
        </row>
        <row r="23">
          <cell r="D23">
            <v>0</v>
          </cell>
        </row>
        <row r="24">
          <cell r="D24">
            <v>0</v>
          </cell>
        </row>
        <row r="25">
          <cell r="D25">
            <v>0</v>
          </cell>
        </row>
        <row r="27">
          <cell r="D27">
            <v>0</v>
          </cell>
        </row>
        <row r="28">
          <cell r="D28">
            <v>0</v>
          </cell>
        </row>
        <row r="29">
          <cell r="D29">
            <v>0</v>
          </cell>
        </row>
        <row r="30">
          <cell r="D30">
            <v>580494</v>
          </cell>
        </row>
        <row r="31">
          <cell r="D31">
            <v>0</v>
          </cell>
        </row>
        <row r="32">
          <cell r="D32">
            <v>0</v>
          </cell>
        </row>
        <row r="33">
          <cell r="D33">
            <v>580494</v>
          </cell>
        </row>
      </sheetData>
      <sheetData sheetId="10"/>
      <sheetData sheetId="11"/>
      <sheetData sheetId="12"/>
      <sheetData sheetId="13"/>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Presentacion"/>
      <sheetName val="E.S.P."/>
      <sheetName val="E.R."/>
      <sheetName val="E.C.P"/>
      <sheetName val="E.F.E"/>
      <sheetName val="Detalle Activo"/>
      <sheetName val="Detalle Pasivo"/>
      <sheetName val="Bs de Uso"/>
      <sheetName val="Amortizaciones"/>
      <sheetName val="Resumen"/>
      <sheetName val="Verificaciones"/>
      <sheetName val="Parametros"/>
      <sheetName val="Hoja2"/>
    </sheetNames>
    <sheetDataSet>
      <sheetData sheetId="0"/>
      <sheetData sheetId="1">
        <row r="2">
          <cell r="C2" t="str">
            <v>COMERO</v>
          </cell>
        </row>
        <row r="3">
          <cell r="C3" t="str">
            <v>Rocha</v>
          </cell>
        </row>
      </sheetData>
      <sheetData sheetId="2">
        <row r="6">
          <cell r="D6">
            <v>2020</v>
          </cell>
        </row>
      </sheetData>
      <sheetData sheetId="3">
        <row r="172">
          <cell r="H172">
            <v>19728681</v>
          </cell>
        </row>
      </sheetData>
      <sheetData sheetId="4">
        <row r="62">
          <cell r="F62">
            <v>0</v>
          </cell>
        </row>
      </sheetData>
      <sheetData sheetId="5"/>
      <sheetData sheetId="6">
        <row r="48">
          <cell r="E48">
            <v>43581610</v>
          </cell>
        </row>
      </sheetData>
      <sheetData sheetId="7">
        <row r="35">
          <cell r="E35">
            <v>30797076</v>
          </cell>
        </row>
      </sheetData>
      <sheetData sheetId="8">
        <row r="13">
          <cell r="B13">
            <v>22715249</v>
          </cell>
        </row>
      </sheetData>
      <sheetData sheetId="9">
        <row r="6">
          <cell r="D6">
            <v>14005410</v>
          </cell>
        </row>
        <row r="7">
          <cell r="D7">
            <v>0</v>
          </cell>
        </row>
        <row r="8">
          <cell r="D8">
            <v>5856815</v>
          </cell>
        </row>
        <row r="9">
          <cell r="D9">
            <v>1071020</v>
          </cell>
        </row>
        <row r="10">
          <cell r="D10">
            <v>1288540</v>
          </cell>
        </row>
        <row r="11">
          <cell r="D11">
            <v>432767</v>
          </cell>
        </row>
        <row r="12">
          <cell r="D12">
            <v>1400164</v>
          </cell>
        </row>
        <row r="13">
          <cell r="D13">
            <v>2750765</v>
          </cell>
        </row>
        <row r="14">
          <cell r="D14">
            <v>3388394</v>
          </cell>
        </row>
        <row r="15">
          <cell r="D15">
            <v>659693</v>
          </cell>
        </row>
        <row r="16">
          <cell r="D16">
            <v>1441297</v>
          </cell>
        </row>
        <row r="17">
          <cell r="D17">
            <v>0</v>
          </cell>
        </row>
        <row r="18">
          <cell r="D18">
            <v>0</v>
          </cell>
        </row>
        <row r="19">
          <cell r="D19">
            <v>32294865</v>
          </cell>
        </row>
        <row r="22">
          <cell r="D22">
            <v>0</v>
          </cell>
        </row>
        <row r="23">
          <cell r="D23">
            <v>0</v>
          </cell>
        </row>
        <row r="24">
          <cell r="D24">
            <v>0</v>
          </cell>
        </row>
        <row r="25">
          <cell r="D25">
            <v>0</v>
          </cell>
        </row>
        <row r="27">
          <cell r="D27">
            <v>0</v>
          </cell>
        </row>
        <row r="28">
          <cell r="D28">
            <v>0</v>
          </cell>
        </row>
        <row r="29">
          <cell r="D29">
            <v>0</v>
          </cell>
        </row>
        <row r="30">
          <cell r="D30">
            <v>0</v>
          </cell>
        </row>
        <row r="31">
          <cell r="D31">
            <v>0</v>
          </cell>
        </row>
        <row r="32">
          <cell r="D32">
            <v>0</v>
          </cell>
        </row>
        <row r="33">
          <cell r="D33">
            <v>0</v>
          </cell>
        </row>
      </sheetData>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Presentacion"/>
      <sheetName val="E.S.P."/>
      <sheetName val="E.R."/>
      <sheetName val="E.C.P"/>
      <sheetName val="E.F.E"/>
      <sheetName val="Detalle Activo"/>
      <sheetName val="Detalle Pasivo"/>
      <sheetName val="Bs de Uso"/>
      <sheetName val="Amortizaciones"/>
      <sheetName val="Resumen"/>
      <sheetName val="Verificaciones"/>
      <sheetName val="Parametros"/>
      <sheetName val="Hoja2"/>
    </sheetNames>
    <sheetDataSet>
      <sheetData sheetId="0"/>
      <sheetData sheetId="1">
        <row r="2">
          <cell r="C2" t="str">
            <v>Casa de Galicia</v>
          </cell>
        </row>
        <row r="3">
          <cell r="C3" t="str">
            <v>Montevideo</v>
          </cell>
        </row>
      </sheetData>
      <sheetData sheetId="2">
        <row r="6">
          <cell r="D6">
            <v>2020</v>
          </cell>
        </row>
      </sheetData>
      <sheetData sheetId="3">
        <row r="172">
          <cell r="H172">
            <v>-285382131.42000008</v>
          </cell>
        </row>
      </sheetData>
      <sheetData sheetId="4">
        <row r="62">
          <cell r="F62">
            <v>0</v>
          </cell>
        </row>
      </sheetData>
      <sheetData sheetId="5"/>
      <sheetData sheetId="6">
        <row r="48">
          <cell r="E48">
            <v>39058219.224999994</v>
          </cell>
        </row>
      </sheetData>
      <sheetData sheetId="7">
        <row r="35">
          <cell r="E35">
            <v>98743216</v>
          </cell>
        </row>
      </sheetData>
      <sheetData sheetId="8">
        <row r="13">
          <cell r="B13">
            <v>394767893</v>
          </cell>
        </row>
      </sheetData>
      <sheetData sheetId="9">
        <row r="6">
          <cell r="D6">
            <v>93711439</v>
          </cell>
        </row>
        <row r="7">
          <cell r="D7">
            <v>3517994</v>
          </cell>
        </row>
        <row r="8">
          <cell r="D8">
            <v>8743220</v>
          </cell>
        </row>
        <row r="9">
          <cell r="D9">
            <v>367219</v>
          </cell>
        </row>
        <row r="10">
          <cell r="D10">
            <v>1789071</v>
          </cell>
        </row>
        <row r="11">
          <cell r="D11">
            <v>1170044</v>
          </cell>
        </row>
        <row r="12">
          <cell r="D12">
            <v>321040</v>
          </cell>
        </row>
        <row r="13">
          <cell r="D13">
            <v>0</v>
          </cell>
        </row>
        <row r="14">
          <cell r="D14">
            <v>3198918</v>
          </cell>
        </row>
        <row r="15">
          <cell r="D15">
            <v>0</v>
          </cell>
        </row>
        <row r="16">
          <cell r="D16">
            <v>688962</v>
          </cell>
        </row>
        <row r="17">
          <cell r="D17">
            <v>0</v>
          </cell>
        </row>
        <row r="18">
          <cell r="D18">
            <v>0</v>
          </cell>
        </row>
        <row r="19">
          <cell r="D19">
            <v>113507907</v>
          </cell>
        </row>
        <row r="22">
          <cell r="D22">
            <v>0</v>
          </cell>
        </row>
        <row r="23">
          <cell r="D23">
            <v>0</v>
          </cell>
        </row>
        <row r="24">
          <cell r="D24">
            <v>0</v>
          </cell>
        </row>
        <row r="25">
          <cell r="D25">
            <v>0</v>
          </cell>
        </row>
        <row r="27">
          <cell r="D27">
            <v>0</v>
          </cell>
        </row>
        <row r="28">
          <cell r="D28">
            <v>0</v>
          </cell>
        </row>
        <row r="29">
          <cell r="D29">
            <v>0</v>
          </cell>
        </row>
        <row r="30">
          <cell r="D30">
            <v>0</v>
          </cell>
        </row>
        <row r="31">
          <cell r="D31">
            <v>0</v>
          </cell>
        </row>
        <row r="32">
          <cell r="D32">
            <v>0</v>
          </cell>
        </row>
        <row r="33">
          <cell r="D33">
            <v>0</v>
          </cell>
        </row>
      </sheetData>
      <sheetData sheetId="10"/>
      <sheetData sheetId="11"/>
      <sheetData sheetId="12"/>
      <sheetData sheetId="13"/>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Presentacion"/>
      <sheetName val="E.S.P."/>
      <sheetName val="E.R."/>
      <sheetName val="E.C.P"/>
      <sheetName val="E.F.E"/>
      <sheetName val="Detalle Activo"/>
      <sheetName val="Detalle Pasivo"/>
      <sheetName val="Bs de Uso"/>
      <sheetName val="Amortizaciones"/>
      <sheetName val="Resumen"/>
      <sheetName val="Verificaciones"/>
      <sheetName val="Parametros"/>
      <sheetName val="Hoja2"/>
    </sheetNames>
    <sheetDataSet>
      <sheetData sheetId="0" refreshError="1"/>
      <sheetData sheetId="1">
        <row r="2">
          <cell r="C2" t="str">
            <v>SOC. MED. QUIR. SALTO</v>
          </cell>
        </row>
        <row r="3">
          <cell r="C3" t="str">
            <v>Salto</v>
          </cell>
        </row>
      </sheetData>
      <sheetData sheetId="2">
        <row r="6">
          <cell r="D6">
            <v>2020</v>
          </cell>
        </row>
      </sheetData>
      <sheetData sheetId="3" refreshError="1"/>
      <sheetData sheetId="4" refreshError="1"/>
      <sheetData sheetId="5" refreshError="1"/>
      <sheetData sheetId="6" refreshError="1"/>
      <sheetData sheetId="7" refreshError="1"/>
      <sheetData sheetId="8" refreshError="1"/>
      <sheetData sheetId="9">
        <row r="6">
          <cell r="D6">
            <v>19760634.875</v>
          </cell>
        </row>
        <row r="8">
          <cell r="D8">
            <v>24624476.300000001</v>
          </cell>
        </row>
        <row r="9">
          <cell r="D9">
            <v>2602267.6</v>
          </cell>
        </row>
        <row r="13">
          <cell r="D13">
            <v>920946.2</v>
          </cell>
        </row>
        <row r="19">
          <cell r="D19">
            <v>47908324.975000001</v>
          </cell>
        </row>
        <row r="22">
          <cell r="D22">
            <v>2772575.8000000003</v>
          </cell>
        </row>
        <row r="24">
          <cell r="D24">
            <v>2016729.9</v>
          </cell>
        </row>
        <row r="33">
          <cell r="D33">
            <v>4789305.7</v>
          </cell>
        </row>
      </sheetData>
      <sheetData sheetId="10" refreshError="1"/>
      <sheetData sheetId="11" refreshError="1"/>
      <sheetData sheetId="12" refreshError="1"/>
      <sheetData sheetId="13"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Presentacion"/>
      <sheetName val="E.S.P."/>
      <sheetName val="E.R."/>
      <sheetName val="E.C.P"/>
      <sheetName val="E.F.E"/>
      <sheetName val="Detalle Activo"/>
      <sheetName val="Detalle Pasivo"/>
      <sheetName val="Bs de Uso"/>
      <sheetName val="Amortizaciones"/>
      <sheetName val="Resumen"/>
      <sheetName val="Verificaciones"/>
      <sheetName val="Parametros"/>
      <sheetName val="Hoja2"/>
    </sheetNames>
    <sheetDataSet>
      <sheetData sheetId="0"/>
      <sheetData sheetId="1">
        <row r="2">
          <cell r="C2" t="str">
            <v>ASOC. MED. SAN JOSE</v>
          </cell>
        </row>
        <row r="3">
          <cell r="C3" t="str">
            <v>San Jose</v>
          </cell>
        </row>
      </sheetData>
      <sheetData sheetId="2">
        <row r="6">
          <cell r="D6">
            <v>2020</v>
          </cell>
        </row>
      </sheetData>
      <sheetData sheetId="3">
        <row r="172">
          <cell r="H172">
            <v>31295320.440002795</v>
          </cell>
        </row>
      </sheetData>
      <sheetData sheetId="4">
        <row r="62">
          <cell r="F62">
            <v>0</v>
          </cell>
        </row>
      </sheetData>
      <sheetData sheetId="5"/>
      <sheetData sheetId="6">
        <row r="48">
          <cell r="E48">
            <v>25378070.536749996</v>
          </cell>
        </row>
      </sheetData>
      <sheetData sheetId="7">
        <row r="35">
          <cell r="E35">
            <v>24153445.625</v>
          </cell>
        </row>
      </sheetData>
      <sheetData sheetId="8">
        <row r="13">
          <cell r="B13">
            <v>51137106</v>
          </cell>
        </row>
      </sheetData>
      <sheetData sheetId="9">
        <row r="6">
          <cell r="D6">
            <v>20335850</v>
          </cell>
        </row>
        <row r="7">
          <cell r="D7">
            <v>0</v>
          </cell>
        </row>
        <row r="8">
          <cell r="D8">
            <v>11814859</v>
          </cell>
        </row>
        <row r="9">
          <cell r="D9">
            <v>0</v>
          </cell>
        </row>
        <row r="10">
          <cell r="D10">
            <v>672948</v>
          </cell>
        </row>
        <row r="11">
          <cell r="D11">
            <v>1211666</v>
          </cell>
        </row>
        <row r="12">
          <cell r="D12">
            <v>1304247</v>
          </cell>
        </row>
        <row r="13">
          <cell r="D13">
            <v>4382751</v>
          </cell>
        </row>
        <row r="14">
          <cell r="D14">
            <v>5564960</v>
          </cell>
        </row>
        <row r="15">
          <cell r="D15">
            <v>0</v>
          </cell>
        </row>
        <row r="16">
          <cell r="D16">
            <v>6482618</v>
          </cell>
        </row>
        <row r="17">
          <cell r="D17">
            <v>0</v>
          </cell>
        </row>
        <row r="18">
          <cell r="D18">
            <v>0</v>
          </cell>
        </row>
        <row r="19">
          <cell r="D19">
            <v>51769899</v>
          </cell>
        </row>
        <row r="22">
          <cell r="D22">
            <v>53545</v>
          </cell>
        </row>
        <row r="23">
          <cell r="D23">
            <v>0</v>
          </cell>
        </row>
        <row r="24">
          <cell r="D24">
            <v>426529</v>
          </cell>
        </row>
        <row r="25">
          <cell r="D25">
            <v>0</v>
          </cell>
        </row>
        <row r="27">
          <cell r="D27">
            <v>0</v>
          </cell>
        </row>
        <row r="28">
          <cell r="D28">
            <v>0</v>
          </cell>
        </row>
        <row r="29">
          <cell r="D29">
            <v>0</v>
          </cell>
        </row>
        <row r="30">
          <cell r="D30">
            <v>83618</v>
          </cell>
        </row>
        <row r="31">
          <cell r="D31">
            <v>1164266</v>
          </cell>
        </row>
        <row r="32">
          <cell r="D32">
            <v>197591</v>
          </cell>
        </row>
        <row r="33">
          <cell r="D33">
            <v>1925549</v>
          </cell>
        </row>
      </sheetData>
      <sheetData sheetId="10"/>
      <sheetData sheetId="11"/>
      <sheetData sheetId="12"/>
      <sheetData sheetId="13"/>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TE APERTURA"/>
      <sheetName val="BALANCETE RESUMIDO"/>
    </sheetNames>
    <sheetDataSet>
      <sheetData sheetId="0"/>
      <sheetData sheetId="1">
        <row r="201">
          <cell r="C201">
            <v>33751011.330000028</v>
          </cell>
        </row>
        <row r="202">
          <cell r="C202">
            <v>9834736.7599999998</v>
          </cell>
        </row>
      </sheetData>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TE 2020"/>
      <sheetName val="ER CORRIENTE"/>
    </sheetNames>
    <sheetDataSet>
      <sheetData sheetId="0">
        <row r="246">
          <cell r="C246">
            <v>29455867.929999951</v>
          </cell>
        </row>
        <row r="247">
          <cell r="C247">
            <v>371782.46000000014</v>
          </cell>
        </row>
        <row r="250">
          <cell r="C250">
            <v>703315.41999999946</v>
          </cell>
        </row>
      </sheetData>
      <sheetData sheetId="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Presentacion"/>
      <sheetName val="E.S.P."/>
      <sheetName val="E.R."/>
      <sheetName val="E.C.P"/>
      <sheetName val="E.F.E"/>
      <sheetName val="Detalle Activo"/>
      <sheetName val="Detalle Pasivo"/>
      <sheetName val="Bs de Uso"/>
      <sheetName val="Amortizaciones"/>
      <sheetName val="Resumen"/>
      <sheetName val="Verificaciones"/>
      <sheetName val="Parametros"/>
      <sheetName val="Hoja2"/>
    </sheetNames>
    <sheetDataSet>
      <sheetData sheetId="0"/>
      <sheetData sheetId="1">
        <row r="2">
          <cell r="C2" t="str">
            <v>CAMS</v>
          </cell>
        </row>
        <row r="3">
          <cell r="C3" t="str">
            <v>Soriano</v>
          </cell>
        </row>
      </sheetData>
      <sheetData sheetId="2">
        <row r="6">
          <cell r="D6">
            <v>2020</v>
          </cell>
        </row>
      </sheetData>
      <sheetData sheetId="3">
        <row r="172">
          <cell r="H172">
            <v>50765296</v>
          </cell>
        </row>
      </sheetData>
      <sheetData sheetId="4">
        <row r="29">
          <cell r="G29">
            <v>-129839001.96000001</v>
          </cell>
        </row>
      </sheetData>
      <sheetData sheetId="5"/>
      <sheetData sheetId="6">
        <row r="48">
          <cell r="E48">
            <v>126319047.34999999</v>
          </cell>
        </row>
      </sheetData>
      <sheetData sheetId="7">
        <row r="35">
          <cell r="E35">
            <v>41585586.700000003</v>
          </cell>
        </row>
      </sheetData>
      <sheetData sheetId="8">
        <row r="13">
          <cell r="B13">
            <v>66072244</v>
          </cell>
        </row>
      </sheetData>
      <sheetData sheetId="9">
        <row r="6">
          <cell r="D6">
            <v>11690226</v>
          </cell>
        </row>
        <row r="7">
          <cell r="D7">
            <v>0</v>
          </cell>
        </row>
        <row r="8">
          <cell r="D8">
            <v>7437814</v>
          </cell>
        </row>
        <row r="9">
          <cell r="D9">
            <v>0</v>
          </cell>
        </row>
        <row r="10">
          <cell r="D10">
            <v>269700</v>
          </cell>
        </row>
        <row r="11">
          <cell r="D11">
            <v>1379971</v>
          </cell>
        </row>
        <row r="12">
          <cell r="D12">
            <v>723638</v>
          </cell>
        </row>
        <row r="13">
          <cell r="D13">
            <v>2371425</v>
          </cell>
        </row>
        <row r="14">
          <cell r="D14">
            <v>1846161</v>
          </cell>
        </row>
        <row r="15">
          <cell r="D15">
            <v>0</v>
          </cell>
        </row>
        <row r="16">
          <cell r="D16">
            <v>84642</v>
          </cell>
        </row>
        <row r="17">
          <cell r="D17">
            <v>0</v>
          </cell>
        </row>
        <row r="18">
          <cell r="D18">
            <v>0</v>
          </cell>
        </row>
        <row r="19">
          <cell r="D19">
            <v>25803577</v>
          </cell>
        </row>
        <row r="22">
          <cell r="D22">
            <v>29254</v>
          </cell>
        </row>
        <row r="23">
          <cell r="D23">
            <v>0</v>
          </cell>
        </row>
        <row r="24">
          <cell r="D24">
            <v>192490</v>
          </cell>
        </row>
        <row r="25">
          <cell r="D25">
            <v>0</v>
          </cell>
        </row>
        <row r="27">
          <cell r="D27">
            <v>0</v>
          </cell>
        </row>
        <row r="28">
          <cell r="D28">
            <v>0</v>
          </cell>
        </row>
        <row r="29">
          <cell r="D29">
            <v>0</v>
          </cell>
        </row>
        <row r="30">
          <cell r="D30">
            <v>143851</v>
          </cell>
        </row>
        <row r="31">
          <cell r="D31">
            <v>0</v>
          </cell>
        </row>
        <row r="32">
          <cell r="D32">
            <v>0</v>
          </cell>
        </row>
        <row r="33">
          <cell r="D33">
            <v>365595</v>
          </cell>
        </row>
      </sheetData>
      <sheetData sheetId="10"/>
      <sheetData sheetId="11"/>
      <sheetData sheetId="12"/>
      <sheetData sheetId="13"/>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Presentacion"/>
      <sheetName val="E.S.P."/>
      <sheetName val="E.R."/>
      <sheetName val="E.C.P"/>
      <sheetName val="E.F.E"/>
      <sheetName val="Detalle Activo"/>
      <sheetName val="Detalle Pasivo"/>
      <sheetName val="Bs de Uso"/>
      <sheetName val="Amortizaciones"/>
      <sheetName val="Resumen"/>
      <sheetName val="Verificaciones"/>
      <sheetName val="Parametros"/>
      <sheetName val="Hoja2"/>
    </sheetNames>
    <sheetDataSet>
      <sheetData sheetId="0"/>
      <sheetData sheetId="1">
        <row r="2">
          <cell r="C2" t="str">
            <v>COMTA</v>
          </cell>
        </row>
        <row r="3">
          <cell r="C3" t="str">
            <v>Tacuarembo</v>
          </cell>
        </row>
      </sheetData>
      <sheetData sheetId="2">
        <row r="6">
          <cell r="D6">
            <v>2020</v>
          </cell>
        </row>
      </sheetData>
      <sheetData sheetId="3">
        <row r="172">
          <cell r="H172">
            <v>27752197.95000029</v>
          </cell>
        </row>
      </sheetData>
      <sheetData sheetId="4">
        <row r="62">
          <cell r="F62">
            <v>173969</v>
          </cell>
        </row>
      </sheetData>
      <sheetData sheetId="5"/>
      <sheetData sheetId="6">
        <row r="48">
          <cell r="E48">
            <v>63576244.859999999</v>
          </cell>
        </row>
      </sheetData>
      <sheetData sheetId="7">
        <row r="35">
          <cell r="E35">
            <v>22178700</v>
          </cell>
        </row>
      </sheetData>
      <sheetData sheetId="8">
        <row r="13">
          <cell r="B13">
            <v>23390315</v>
          </cell>
        </row>
      </sheetData>
      <sheetData sheetId="9">
        <row r="6">
          <cell r="D6">
            <v>13332346</v>
          </cell>
        </row>
        <row r="7">
          <cell r="D7">
            <v>0</v>
          </cell>
        </row>
        <row r="8">
          <cell r="D8">
            <v>5359816</v>
          </cell>
        </row>
        <row r="9">
          <cell r="D9">
            <v>0</v>
          </cell>
        </row>
        <row r="10">
          <cell r="D10">
            <v>129333</v>
          </cell>
        </row>
        <row r="11">
          <cell r="D11">
            <v>3691922</v>
          </cell>
        </row>
        <row r="12">
          <cell r="D12">
            <v>969849</v>
          </cell>
        </row>
        <row r="13">
          <cell r="D13">
            <v>396208</v>
          </cell>
        </row>
        <row r="14">
          <cell r="D14">
            <v>1937911</v>
          </cell>
        </row>
        <row r="15">
          <cell r="D15">
            <v>0</v>
          </cell>
        </row>
        <row r="16">
          <cell r="D16">
            <v>1729765</v>
          </cell>
        </row>
        <row r="17">
          <cell r="D17">
            <v>0</v>
          </cell>
        </row>
        <row r="18">
          <cell r="D18">
            <v>0</v>
          </cell>
        </row>
        <row r="19">
          <cell r="D19">
            <v>27547150</v>
          </cell>
        </row>
        <row r="22">
          <cell r="D22">
            <v>0</v>
          </cell>
        </row>
        <row r="23">
          <cell r="D23">
            <v>0</v>
          </cell>
        </row>
        <row r="24">
          <cell r="D24">
            <v>0</v>
          </cell>
        </row>
        <row r="25">
          <cell r="D25">
            <v>0</v>
          </cell>
        </row>
        <row r="27">
          <cell r="D27">
            <v>0</v>
          </cell>
        </row>
        <row r="28">
          <cell r="D28">
            <v>0</v>
          </cell>
        </row>
        <row r="29">
          <cell r="D29">
            <v>41351</v>
          </cell>
        </row>
        <row r="30">
          <cell r="D30">
            <v>0</v>
          </cell>
        </row>
        <row r="31">
          <cell r="D31">
            <v>0</v>
          </cell>
        </row>
        <row r="32">
          <cell r="D32">
            <v>0</v>
          </cell>
        </row>
        <row r="33">
          <cell r="D33">
            <v>41351</v>
          </cell>
        </row>
      </sheetData>
      <sheetData sheetId="10"/>
      <sheetData sheetId="11"/>
      <sheetData sheetId="12"/>
      <sheetData sheetId="13"/>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Presentacion"/>
      <sheetName val="E.S.P."/>
      <sheetName val="E.R."/>
      <sheetName val="E.C.P"/>
      <sheetName val="E.F.E"/>
      <sheetName val="Detalle Activo"/>
      <sheetName val="Detalle Pasivo"/>
      <sheetName val="Bs de Uso"/>
      <sheetName val="Amortizaciones"/>
      <sheetName val="Resumen"/>
      <sheetName val="Verificaciones"/>
      <sheetName val="Parametros"/>
      <sheetName val="Hoja2"/>
    </sheetNames>
    <sheetDataSet>
      <sheetData sheetId="0"/>
      <sheetData sheetId="1">
        <row r="2">
          <cell r="C2" t="str">
            <v>IAC</v>
          </cell>
        </row>
        <row r="3">
          <cell r="C3" t="str">
            <v>Treinta y Tres</v>
          </cell>
        </row>
      </sheetData>
      <sheetData sheetId="2">
        <row r="6">
          <cell r="D6">
            <v>2020</v>
          </cell>
        </row>
      </sheetData>
      <sheetData sheetId="3">
        <row r="172">
          <cell r="H172">
            <v>27106213</v>
          </cell>
        </row>
      </sheetData>
      <sheetData sheetId="4">
        <row r="62">
          <cell r="F62">
            <v>0</v>
          </cell>
        </row>
      </sheetData>
      <sheetData sheetId="5"/>
      <sheetData sheetId="6">
        <row r="48">
          <cell r="E48">
            <v>54892515</v>
          </cell>
        </row>
      </sheetData>
      <sheetData sheetId="7">
        <row r="35">
          <cell r="E35">
            <v>20033428</v>
          </cell>
        </row>
      </sheetData>
      <sheetData sheetId="8">
        <row r="13">
          <cell r="B13">
            <v>18634673</v>
          </cell>
        </row>
      </sheetData>
      <sheetData sheetId="9">
        <row r="6">
          <cell r="D6">
            <v>4869477</v>
          </cell>
        </row>
        <row r="7">
          <cell r="D7">
            <v>0</v>
          </cell>
        </row>
        <row r="8">
          <cell r="D8">
            <v>3662937</v>
          </cell>
        </row>
        <row r="9">
          <cell r="D9">
            <v>1388</v>
          </cell>
        </row>
        <row r="10">
          <cell r="D10">
            <v>334882</v>
          </cell>
        </row>
        <row r="11">
          <cell r="D11">
            <v>140830</v>
          </cell>
        </row>
        <row r="12">
          <cell r="D12">
            <v>220879</v>
          </cell>
        </row>
        <row r="13">
          <cell r="D13">
            <v>708641</v>
          </cell>
        </row>
        <row r="14">
          <cell r="D14">
            <v>916666</v>
          </cell>
        </row>
        <row r="15">
          <cell r="D15">
            <v>0</v>
          </cell>
        </row>
        <row r="16">
          <cell r="D16">
            <v>362546</v>
          </cell>
        </row>
        <row r="17">
          <cell r="D17">
            <v>0</v>
          </cell>
        </row>
        <row r="18">
          <cell r="D18">
            <v>0</v>
          </cell>
        </row>
        <row r="19">
          <cell r="D19">
            <v>11218246</v>
          </cell>
        </row>
        <row r="22">
          <cell r="D22">
            <v>0</v>
          </cell>
        </row>
        <row r="23">
          <cell r="D23">
            <v>0</v>
          </cell>
        </row>
        <row r="24">
          <cell r="D24">
            <v>0</v>
          </cell>
        </row>
        <row r="25">
          <cell r="D25">
            <v>0</v>
          </cell>
        </row>
        <row r="27">
          <cell r="D27">
            <v>0</v>
          </cell>
        </row>
        <row r="28">
          <cell r="D28">
            <v>0</v>
          </cell>
        </row>
        <row r="29">
          <cell r="D29">
            <v>0</v>
          </cell>
        </row>
        <row r="30">
          <cell r="D30">
            <v>0</v>
          </cell>
        </row>
        <row r="31">
          <cell r="D31">
            <v>0</v>
          </cell>
        </row>
        <row r="32">
          <cell r="D32">
            <v>0</v>
          </cell>
        </row>
        <row r="33">
          <cell r="D33">
            <v>0</v>
          </cell>
        </row>
      </sheetData>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Presentacion"/>
      <sheetName val="E.S.P."/>
      <sheetName val="E.R."/>
      <sheetName val="E.C.P"/>
      <sheetName val="E.F.E"/>
      <sheetName val="Detalle Activo"/>
      <sheetName val="Detalle Pasivo"/>
      <sheetName val="Bs de Uso"/>
      <sheetName val="Amortizaciones"/>
      <sheetName val="Resumen"/>
      <sheetName val="Verificaciones"/>
      <sheetName val="Parametros"/>
      <sheetName val="Hoja2"/>
    </sheetNames>
    <sheetDataSet>
      <sheetData sheetId="0"/>
      <sheetData sheetId="1">
        <row r="2">
          <cell r="C2" t="str">
            <v>Circulo Catolico</v>
          </cell>
        </row>
        <row r="3">
          <cell r="C3" t="str">
            <v>Montevideo</v>
          </cell>
        </row>
      </sheetData>
      <sheetData sheetId="2">
        <row r="6">
          <cell r="D6">
            <v>2020</v>
          </cell>
        </row>
      </sheetData>
      <sheetData sheetId="3">
        <row r="172">
          <cell r="H172">
            <v>70304587.300000101</v>
          </cell>
        </row>
      </sheetData>
      <sheetData sheetId="4">
        <row r="62">
          <cell r="F62">
            <v>0</v>
          </cell>
        </row>
      </sheetData>
      <sheetData sheetId="5"/>
      <sheetData sheetId="6">
        <row r="48">
          <cell r="E48">
            <v>172812036.09000003</v>
          </cell>
        </row>
      </sheetData>
      <sheetData sheetId="7">
        <row r="35">
          <cell r="E35">
            <v>79151903.575000003</v>
          </cell>
        </row>
      </sheetData>
      <sheetData sheetId="8">
        <row r="13">
          <cell r="B13">
            <v>257741785</v>
          </cell>
        </row>
      </sheetData>
      <sheetData sheetId="9">
        <row r="6">
          <cell r="D6">
            <v>33567701</v>
          </cell>
        </row>
        <row r="7">
          <cell r="D7">
            <v>0</v>
          </cell>
        </row>
        <row r="8">
          <cell r="D8">
            <v>9817654</v>
          </cell>
        </row>
        <row r="9">
          <cell r="D9">
            <v>0</v>
          </cell>
        </row>
        <row r="10">
          <cell r="D10">
            <v>2388261</v>
          </cell>
        </row>
        <row r="11">
          <cell r="D11">
            <v>1438366</v>
          </cell>
        </row>
        <row r="12">
          <cell r="D12">
            <v>3138542</v>
          </cell>
        </row>
        <row r="13">
          <cell r="D13">
            <v>0</v>
          </cell>
        </row>
        <row r="14">
          <cell r="D14">
            <v>7711269</v>
          </cell>
        </row>
        <row r="15">
          <cell r="D15">
            <v>0</v>
          </cell>
        </row>
        <row r="16">
          <cell r="D16">
            <v>1632573</v>
          </cell>
        </row>
        <row r="17">
          <cell r="D17">
            <v>0</v>
          </cell>
        </row>
        <row r="18">
          <cell r="D18">
            <v>0</v>
          </cell>
        </row>
        <row r="19">
          <cell r="D19">
            <v>59694366</v>
          </cell>
        </row>
        <row r="22">
          <cell r="D22">
            <v>217776</v>
          </cell>
        </row>
        <row r="23">
          <cell r="D23">
            <v>0</v>
          </cell>
        </row>
        <row r="24">
          <cell r="D24">
            <v>667903</v>
          </cell>
        </row>
        <row r="25">
          <cell r="D25">
            <v>0</v>
          </cell>
        </row>
        <row r="27">
          <cell r="D27">
            <v>0</v>
          </cell>
        </row>
        <row r="28">
          <cell r="D28">
            <v>0</v>
          </cell>
        </row>
        <row r="29">
          <cell r="D29">
            <v>0</v>
          </cell>
        </row>
        <row r="30">
          <cell r="D30">
            <v>603145</v>
          </cell>
        </row>
        <row r="31">
          <cell r="D31">
            <v>1327028</v>
          </cell>
        </row>
        <row r="32">
          <cell r="D32">
            <v>0</v>
          </cell>
        </row>
        <row r="33">
          <cell r="D33">
            <v>2815852</v>
          </cell>
        </row>
      </sheetData>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Presentacion"/>
      <sheetName val="E.S.P."/>
      <sheetName val="E.R."/>
      <sheetName val="E.C.P"/>
      <sheetName val="E.F.E"/>
      <sheetName val="Detalle Activo"/>
      <sheetName val="Detalle Pasivo"/>
      <sheetName val="Bs de Uso"/>
      <sheetName val="Amortizaciones"/>
      <sheetName val="Resumen"/>
      <sheetName val="Verificaciones"/>
      <sheetName val="Parametros"/>
      <sheetName val="Hoja2"/>
    </sheetNames>
    <sheetDataSet>
      <sheetData sheetId="0"/>
      <sheetData sheetId="1">
        <row r="2">
          <cell r="C2" t="str">
            <v>CUDAM</v>
          </cell>
        </row>
        <row r="3">
          <cell r="C3" t="str">
            <v>Montevideo</v>
          </cell>
        </row>
      </sheetData>
      <sheetData sheetId="2">
        <row r="6">
          <cell r="D6">
            <v>2020</v>
          </cell>
        </row>
      </sheetData>
      <sheetData sheetId="3">
        <row r="172">
          <cell r="H172">
            <v>15107597</v>
          </cell>
        </row>
      </sheetData>
      <sheetData sheetId="4">
        <row r="62">
          <cell r="F62">
            <v>0</v>
          </cell>
        </row>
      </sheetData>
      <sheetData sheetId="5"/>
      <sheetData sheetId="6">
        <row r="48">
          <cell r="E48">
            <v>67544106.461300001</v>
          </cell>
        </row>
      </sheetData>
      <sheetData sheetId="7">
        <row r="35">
          <cell r="E35">
            <v>17352113</v>
          </cell>
        </row>
      </sheetData>
      <sheetData sheetId="8">
        <row r="13">
          <cell r="B13">
            <v>39466683</v>
          </cell>
        </row>
      </sheetData>
      <sheetData sheetId="9">
        <row r="6">
          <cell r="D6">
            <v>10902746</v>
          </cell>
        </row>
        <row r="7">
          <cell r="D7">
            <v>0</v>
          </cell>
        </row>
        <row r="8">
          <cell r="D8">
            <v>6504972</v>
          </cell>
        </row>
        <row r="9">
          <cell r="D9">
            <v>0</v>
          </cell>
        </row>
        <row r="10">
          <cell r="D10">
            <v>159776</v>
          </cell>
        </row>
        <row r="11">
          <cell r="D11">
            <v>152743</v>
          </cell>
        </row>
        <row r="12">
          <cell r="D12">
            <v>955145</v>
          </cell>
        </row>
        <row r="13">
          <cell r="D13">
            <v>1401618</v>
          </cell>
        </row>
        <row r="14">
          <cell r="D14">
            <v>1861637</v>
          </cell>
        </row>
        <row r="15">
          <cell r="D15">
            <v>0</v>
          </cell>
        </row>
        <row r="16">
          <cell r="D16">
            <v>690231</v>
          </cell>
        </row>
        <row r="17">
          <cell r="D17">
            <v>0</v>
          </cell>
        </row>
        <row r="18">
          <cell r="D18">
            <v>0</v>
          </cell>
        </row>
        <row r="19">
          <cell r="D19">
            <v>22628868</v>
          </cell>
        </row>
        <row r="22">
          <cell r="D22">
            <v>238786</v>
          </cell>
        </row>
        <row r="23">
          <cell r="D23">
            <v>155735</v>
          </cell>
        </row>
        <row r="24">
          <cell r="D24">
            <v>37993</v>
          </cell>
        </row>
        <row r="25">
          <cell r="D25">
            <v>0</v>
          </cell>
        </row>
        <row r="27">
          <cell r="D27">
            <v>0</v>
          </cell>
        </row>
        <row r="28">
          <cell r="D28">
            <v>0</v>
          </cell>
        </row>
        <row r="29">
          <cell r="D29">
            <v>0</v>
          </cell>
        </row>
        <row r="30">
          <cell r="D30">
            <v>172558</v>
          </cell>
        </row>
        <row r="31">
          <cell r="D31">
            <v>222505</v>
          </cell>
        </row>
        <row r="32">
          <cell r="D32">
            <v>39944</v>
          </cell>
        </row>
        <row r="33">
          <cell r="D33">
            <v>867521</v>
          </cell>
        </row>
      </sheetData>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Presentacion"/>
      <sheetName val="E.S.P."/>
      <sheetName val="E.R."/>
      <sheetName val="E.C.P"/>
      <sheetName val="E.F.E"/>
      <sheetName val="Detalle Activo"/>
      <sheetName val="Detalle Pasivo"/>
      <sheetName val="Bs de Uso"/>
      <sheetName val="Amortizaciones"/>
      <sheetName val="Resumen"/>
      <sheetName val="Verificaciones"/>
      <sheetName val="Parametros"/>
      <sheetName val="Hoja2"/>
    </sheetNames>
    <sheetDataSet>
      <sheetData sheetId="0"/>
      <sheetData sheetId="1">
        <row r="2">
          <cell r="C2" t="str">
            <v>COSEM</v>
          </cell>
        </row>
        <row r="3">
          <cell r="C3" t="str">
            <v>Montevideo</v>
          </cell>
        </row>
      </sheetData>
      <sheetData sheetId="2">
        <row r="6">
          <cell r="D6">
            <v>2020</v>
          </cell>
        </row>
      </sheetData>
      <sheetData sheetId="3">
        <row r="172">
          <cell r="H172">
            <v>76801394</v>
          </cell>
        </row>
      </sheetData>
      <sheetData sheetId="4">
        <row r="62">
          <cell r="F62">
            <v>4323926</v>
          </cell>
        </row>
      </sheetData>
      <sheetData sheetId="5"/>
      <sheetData sheetId="6">
        <row r="48">
          <cell r="E48">
            <v>130881656.985</v>
          </cell>
        </row>
      </sheetData>
      <sheetData sheetId="7">
        <row r="35">
          <cell r="E35">
            <v>41337705.524999999</v>
          </cell>
        </row>
      </sheetData>
      <sheetData sheetId="8">
        <row r="13">
          <cell r="B13">
            <v>0</v>
          </cell>
        </row>
      </sheetData>
      <sheetData sheetId="9">
        <row r="6">
          <cell r="D6">
            <v>22315585</v>
          </cell>
        </row>
        <row r="7">
          <cell r="D7">
            <v>0</v>
          </cell>
        </row>
        <row r="8">
          <cell r="D8">
            <v>3655141</v>
          </cell>
        </row>
        <row r="9">
          <cell r="D9">
            <v>0</v>
          </cell>
        </row>
        <row r="10">
          <cell r="D10">
            <v>0</v>
          </cell>
        </row>
        <row r="11">
          <cell r="D11">
            <v>0</v>
          </cell>
        </row>
        <row r="12">
          <cell r="D12">
            <v>16810475</v>
          </cell>
        </row>
        <row r="13">
          <cell r="D13">
            <v>0</v>
          </cell>
        </row>
        <row r="14">
          <cell r="D14">
            <v>0</v>
          </cell>
        </row>
        <row r="15">
          <cell r="D15">
            <v>0</v>
          </cell>
        </row>
        <row r="16">
          <cell r="D16">
            <v>0</v>
          </cell>
        </row>
        <row r="17">
          <cell r="D17">
            <v>0</v>
          </cell>
        </row>
        <row r="18">
          <cell r="D18">
            <v>0</v>
          </cell>
        </row>
        <row r="19">
          <cell r="D19">
            <v>42781201</v>
          </cell>
        </row>
        <row r="22">
          <cell r="D22">
            <v>0</v>
          </cell>
        </row>
        <row r="23">
          <cell r="D23">
            <v>0</v>
          </cell>
        </row>
        <row r="24">
          <cell r="D24">
            <v>2684884</v>
          </cell>
        </row>
        <row r="25">
          <cell r="D25">
            <v>0</v>
          </cell>
        </row>
        <row r="27">
          <cell r="D27">
            <v>0</v>
          </cell>
        </row>
        <row r="28">
          <cell r="D28">
            <v>0</v>
          </cell>
        </row>
        <row r="29">
          <cell r="D29">
            <v>10891</v>
          </cell>
        </row>
        <row r="30">
          <cell r="D30">
            <v>8314992</v>
          </cell>
        </row>
        <row r="31">
          <cell r="D31">
            <v>0</v>
          </cell>
        </row>
        <row r="32">
          <cell r="D32">
            <v>0</v>
          </cell>
        </row>
        <row r="33">
          <cell r="D33">
            <v>11010767</v>
          </cell>
        </row>
      </sheetData>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Presentacion"/>
      <sheetName val="E.S.P."/>
      <sheetName val="E.R."/>
      <sheetName val="E.C.P"/>
      <sheetName val="E.F.E"/>
      <sheetName val="Detalle Activo"/>
      <sheetName val="Detalle Pasivo"/>
      <sheetName val="Bs de Uso"/>
      <sheetName val="Amortizaciones"/>
      <sheetName val="Resumen"/>
      <sheetName val="Verificaciones"/>
      <sheetName val="Parametros"/>
      <sheetName val="Hoja2"/>
    </sheetNames>
    <sheetDataSet>
      <sheetData sheetId="0"/>
      <sheetData sheetId="1">
        <row r="2">
          <cell r="C2" t="str">
            <v>GREMCA</v>
          </cell>
        </row>
        <row r="3">
          <cell r="C3" t="str">
            <v>Montevideo</v>
          </cell>
        </row>
      </sheetData>
      <sheetData sheetId="2">
        <row r="6">
          <cell r="D6">
            <v>2020</v>
          </cell>
        </row>
      </sheetData>
      <sheetData sheetId="3">
        <row r="172">
          <cell r="H172">
            <v>21402079.659999982</v>
          </cell>
        </row>
      </sheetData>
      <sheetData sheetId="4">
        <row r="62">
          <cell r="F62">
            <v>0</v>
          </cell>
        </row>
      </sheetData>
      <sheetData sheetId="5"/>
      <sheetData sheetId="6">
        <row r="48">
          <cell r="E48">
            <v>6525794.4199999999</v>
          </cell>
        </row>
      </sheetData>
      <sheetData sheetId="7">
        <row r="35">
          <cell r="E35">
            <v>479899</v>
          </cell>
        </row>
      </sheetData>
      <sheetData sheetId="8">
        <row r="13">
          <cell r="B13">
            <v>10390129</v>
          </cell>
        </row>
      </sheetData>
      <sheetData sheetId="9">
        <row r="6">
          <cell r="D6">
            <v>9019693</v>
          </cell>
        </row>
        <row r="7">
          <cell r="D7">
            <v>0</v>
          </cell>
        </row>
        <row r="8">
          <cell r="D8">
            <v>1448303</v>
          </cell>
        </row>
        <row r="9">
          <cell r="D9">
            <v>0</v>
          </cell>
        </row>
        <row r="10">
          <cell r="D10">
            <v>184764</v>
          </cell>
        </row>
        <row r="11">
          <cell r="D11">
            <v>295608</v>
          </cell>
        </row>
        <row r="12">
          <cell r="D12">
            <v>1771949</v>
          </cell>
        </row>
        <row r="13">
          <cell r="D13">
            <v>0</v>
          </cell>
        </row>
        <row r="14">
          <cell r="D14">
            <v>609034</v>
          </cell>
        </row>
        <row r="15">
          <cell r="D15">
            <v>48606</v>
          </cell>
        </row>
        <row r="16">
          <cell r="D16">
            <v>734757</v>
          </cell>
        </row>
        <row r="17">
          <cell r="D17">
            <v>0</v>
          </cell>
        </row>
        <row r="18">
          <cell r="D18">
            <v>0</v>
          </cell>
        </row>
        <row r="19">
          <cell r="D19">
            <v>14112714</v>
          </cell>
        </row>
        <row r="22">
          <cell r="D22">
            <v>93260</v>
          </cell>
        </row>
        <row r="23">
          <cell r="D23">
            <v>0</v>
          </cell>
        </row>
        <row r="24">
          <cell r="D24">
            <v>32054</v>
          </cell>
        </row>
        <row r="25">
          <cell r="D25">
            <v>2558</v>
          </cell>
        </row>
        <row r="27">
          <cell r="D27">
            <v>0</v>
          </cell>
        </row>
        <row r="28">
          <cell r="D28">
            <v>0</v>
          </cell>
        </row>
        <row r="29">
          <cell r="D29">
            <v>0</v>
          </cell>
        </row>
        <row r="30">
          <cell r="D30">
            <v>38671</v>
          </cell>
        </row>
        <row r="31">
          <cell r="D31">
            <v>0</v>
          </cell>
        </row>
        <row r="32">
          <cell r="D32">
            <v>0</v>
          </cell>
        </row>
        <row r="33">
          <cell r="D33">
            <v>166543</v>
          </cell>
        </row>
      </sheetData>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Presentacion"/>
      <sheetName val="E.S.P."/>
      <sheetName val="E.R."/>
      <sheetName val="E.C.P"/>
      <sheetName val="E.F.E"/>
      <sheetName val="Detalle Activo"/>
      <sheetName val="Detalle Pasivo"/>
      <sheetName val="Bs de Uso"/>
      <sheetName val="Amortizaciones"/>
      <sheetName val="Resumen"/>
      <sheetName val="Verificaciones"/>
      <sheetName val="Parametros"/>
      <sheetName val="Hoja2"/>
    </sheetNames>
    <sheetDataSet>
      <sheetData sheetId="0" refreshError="1"/>
      <sheetData sheetId="1">
        <row r="2">
          <cell r="C2" t="str">
            <v>MUCAM</v>
          </cell>
        </row>
        <row r="3">
          <cell r="C3" t="str">
            <v>Montevideo</v>
          </cell>
        </row>
      </sheetData>
      <sheetData sheetId="2">
        <row r="6">
          <cell r="D6">
            <v>2020</v>
          </cell>
        </row>
      </sheetData>
      <sheetData sheetId="3" refreshError="1"/>
      <sheetData sheetId="4" refreshError="1"/>
      <sheetData sheetId="5" refreshError="1"/>
      <sheetData sheetId="6" refreshError="1"/>
      <sheetData sheetId="7" refreshError="1"/>
      <sheetData sheetId="8" refreshError="1"/>
      <sheetData sheetId="9">
        <row r="6">
          <cell r="D6">
            <v>89748245</v>
          </cell>
        </row>
        <row r="8">
          <cell r="D8">
            <v>37789774</v>
          </cell>
        </row>
        <row r="10">
          <cell r="D10">
            <v>2738881</v>
          </cell>
        </row>
        <row r="14">
          <cell r="D14">
            <v>15911490</v>
          </cell>
        </row>
        <row r="15">
          <cell r="D15">
            <v>6891654</v>
          </cell>
        </row>
        <row r="19">
          <cell r="D19">
            <v>153080044</v>
          </cell>
        </row>
        <row r="22">
          <cell r="D22">
            <v>11959447</v>
          </cell>
        </row>
        <row r="29">
          <cell r="D29">
            <v>11892710</v>
          </cell>
        </row>
        <row r="30">
          <cell r="D30">
            <v>4453959</v>
          </cell>
        </row>
        <row r="33">
          <cell r="D33">
            <v>28306116</v>
          </cell>
        </row>
      </sheetData>
      <sheetData sheetId="10" refreshError="1"/>
      <sheetData sheetId="11" refreshError="1"/>
      <sheetData sheetId="12" refreshError="1"/>
      <sheetData sheetId="1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Presentacion"/>
      <sheetName val="E.S.P."/>
      <sheetName val="E.R."/>
      <sheetName val="E.C.P"/>
      <sheetName val="E.F.E"/>
      <sheetName val="Detalle Activo"/>
      <sheetName val="Detalle Pasivo"/>
      <sheetName val="Bs de Uso"/>
      <sheetName val="Amortizaciones"/>
      <sheetName val="Resumen"/>
      <sheetName val="Verificaciones"/>
      <sheetName val="Parametros"/>
      <sheetName val="Hoja2"/>
    </sheetNames>
    <sheetDataSet>
      <sheetData sheetId="0"/>
      <sheetData sheetId="1">
        <row r="2">
          <cell r="C2" t="str">
            <v>SMI</v>
          </cell>
        </row>
        <row r="3">
          <cell r="C3" t="str">
            <v>Montevideo</v>
          </cell>
        </row>
      </sheetData>
      <sheetData sheetId="2">
        <row r="6">
          <cell r="D6">
            <v>2020</v>
          </cell>
        </row>
      </sheetData>
      <sheetData sheetId="3">
        <row r="172">
          <cell r="H172">
            <v>65799347</v>
          </cell>
        </row>
      </sheetData>
      <sheetData sheetId="4">
        <row r="62">
          <cell r="F62">
            <v>0</v>
          </cell>
        </row>
      </sheetData>
      <sheetData sheetId="5"/>
      <sheetData sheetId="6">
        <row r="48">
          <cell r="E48">
            <v>503717327.50300002</v>
          </cell>
        </row>
      </sheetData>
      <sheetData sheetId="7">
        <row r="35">
          <cell r="E35">
            <v>126644855</v>
          </cell>
        </row>
      </sheetData>
      <sheetData sheetId="8">
        <row r="13">
          <cell r="B13">
            <v>252767034</v>
          </cell>
        </row>
      </sheetData>
      <sheetData sheetId="9">
        <row r="6">
          <cell r="D6">
            <v>55044695</v>
          </cell>
        </row>
        <row r="7">
          <cell r="D7">
            <v>0</v>
          </cell>
        </row>
        <row r="8">
          <cell r="D8">
            <v>15713671</v>
          </cell>
        </row>
        <row r="9">
          <cell r="D9">
            <v>614005</v>
          </cell>
        </row>
        <row r="10">
          <cell r="D10">
            <v>6379997</v>
          </cell>
        </row>
        <row r="11">
          <cell r="D11">
            <v>1571087</v>
          </cell>
        </row>
        <row r="12">
          <cell r="D12">
            <v>0</v>
          </cell>
        </row>
        <row r="13">
          <cell r="D13">
            <v>0</v>
          </cell>
        </row>
        <row r="14">
          <cell r="D14">
            <v>6554316</v>
          </cell>
        </row>
        <row r="15">
          <cell r="D15">
            <v>142263</v>
          </cell>
        </row>
        <row r="16">
          <cell r="D16">
            <v>0</v>
          </cell>
        </row>
        <row r="17">
          <cell r="D17">
            <v>0</v>
          </cell>
        </row>
        <row r="18">
          <cell r="D18">
            <v>0</v>
          </cell>
        </row>
        <row r="19">
          <cell r="D19">
            <v>86020034</v>
          </cell>
        </row>
        <row r="22">
          <cell r="D22">
            <v>4279448</v>
          </cell>
        </row>
        <row r="23">
          <cell r="D23">
            <v>0</v>
          </cell>
        </row>
        <row r="24">
          <cell r="D24">
            <v>649895</v>
          </cell>
        </row>
        <row r="25">
          <cell r="D25">
            <v>0</v>
          </cell>
        </row>
        <row r="27">
          <cell r="D27">
            <v>0</v>
          </cell>
        </row>
        <row r="28">
          <cell r="D28">
            <v>0</v>
          </cell>
        </row>
        <row r="29">
          <cell r="D29">
            <v>0</v>
          </cell>
        </row>
        <row r="30">
          <cell r="D30">
            <v>0</v>
          </cell>
        </row>
        <row r="31">
          <cell r="D31">
            <v>2711004</v>
          </cell>
        </row>
        <row r="32">
          <cell r="D32">
            <v>0</v>
          </cell>
        </row>
        <row r="33">
          <cell r="D33">
            <v>7640347</v>
          </cell>
        </row>
      </sheetData>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18.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19.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0.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21.xml.rels><?xml version="1.0" encoding="UTF-8" standalone="yes"?>
<Relationships xmlns="http://schemas.openxmlformats.org/package/2006/relationships"><Relationship Id="rId2" Type="http://schemas.openxmlformats.org/officeDocument/2006/relationships/comments" Target="../comments19.xml"/><Relationship Id="rId1" Type="http://schemas.openxmlformats.org/officeDocument/2006/relationships/vmlDrawing" Target="../drawings/vmlDrawing19.vml"/></Relationships>
</file>

<file path=xl/worksheets/_rels/sheet22.xml.rels><?xml version="1.0" encoding="UTF-8" standalone="yes"?>
<Relationships xmlns="http://schemas.openxmlformats.org/package/2006/relationships"><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1.xml"/><Relationship Id="rId1" Type="http://schemas.openxmlformats.org/officeDocument/2006/relationships/vmlDrawing" Target="../drawings/vmlDrawing21.vml"/></Relationships>
</file>

<file path=xl/worksheets/_rels/sheet24.xml.rels><?xml version="1.0" encoding="UTF-8" standalone="yes"?>
<Relationships xmlns="http://schemas.openxmlformats.org/package/2006/relationships"><Relationship Id="rId2" Type="http://schemas.openxmlformats.org/officeDocument/2006/relationships/comments" Target="../comments22.xml"/><Relationship Id="rId1" Type="http://schemas.openxmlformats.org/officeDocument/2006/relationships/vmlDrawing" Target="../drawings/vmlDrawing22.vml"/></Relationships>
</file>

<file path=xl/worksheets/_rels/sheet25.xml.rels><?xml version="1.0" encoding="UTF-8" standalone="yes"?>
<Relationships xmlns="http://schemas.openxmlformats.org/package/2006/relationships"><Relationship Id="rId2" Type="http://schemas.openxmlformats.org/officeDocument/2006/relationships/comments" Target="../comments23.xml"/><Relationship Id="rId1" Type="http://schemas.openxmlformats.org/officeDocument/2006/relationships/vmlDrawing" Target="../drawings/vmlDrawing23.vml"/></Relationships>
</file>

<file path=xl/worksheets/_rels/sheet26.xml.rels><?xml version="1.0" encoding="UTF-8" standalone="yes"?>
<Relationships xmlns="http://schemas.openxmlformats.org/package/2006/relationships"><Relationship Id="rId2" Type="http://schemas.openxmlformats.org/officeDocument/2006/relationships/comments" Target="../comments24.xml"/><Relationship Id="rId1" Type="http://schemas.openxmlformats.org/officeDocument/2006/relationships/vmlDrawing" Target="../drawings/vmlDrawing24.vml"/></Relationships>
</file>

<file path=xl/worksheets/_rels/sheet27.xml.rels><?xml version="1.0" encoding="UTF-8" standalone="yes"?>
<Relationships xmlns="http://schemas.openxmlformats.org/package/2006/relationships"><Relationship Id="rId2" Type="http://schemas.openxmlformats.org/officeDocument/2006/relationships/comments" Target="../comments25.xml"/><Relationship Id="rId1" Type="http://schemas.openxmlformats.org/officeDocument/2006/relationships/vmlDrawing" Target="../drawings/vmlDrawing25.vml"/></Relationships>
</file>

<file path=xl/worksheets/_rels/sheet28.xml.rels><?xml version="1.0" encoding="UTF-8" standalone="yes"?>
<Relationships xmlns="http://schemas.openxmlformats.org/package/2006/relationships"><Relationship Id="rId2" Type="http://schemas.openxmlformats.org/officeDocument/2006/relationships/comments" Target="../comments26.xml"/><Relationship Id="rId1" Type="http://schemas.openxmlformats.org/officeDocument/2006/relationships/vmlDrawing" Target="../drawings/vmlDrawing26.vml"/></Relationships>
</file>

<file path=xl/worksheets/_rels/sheet29.xml.rels><?xml version="1.0" encoding="UTF-8" standalone="yes"?>
<Relationships xmlns="http://schemas.openxmlformats.org/package/2006/relationships"><Relationship Id="rId2" Type="http://schemas.openxmlformats.org/officeDocument/2006/relationships/comments" Target="../comments27.xml"/><Relationship Id="rId1" Type="http://schemas.openxmlformats.org/officeDocument/2006/relationships/vmlDrawing" Target="../drawings/vmlDrawing27.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30.xml.rels><?xml version="1.0" encoding="UTF-8" standalone="yes"?>
<Relationships xmlns="http://schemas.openxmlformats.org/package/2006/relationships"><Relationship Id="rId2" Type="http://schemas.openxmlformats.org/officeDocument/2006/relationships/comments" Target="../comments28.xml"/><Relationship Id="rId1" Type="http://schemas.openxmlformats.org/officeDocument/2006/relationships/vmlDrawing" Target="../drawings/vmlDrawing28.vml"/></Relationships>
</file>

<file path=xl/worksheets/_rels/sheet31.xml.rels><?xml version="1.0" encoding="UTF-8" standalone="yes"?>
<Relationships xmlns="http://schemas.openxmlformats.org/package/2006/relationships"><Relationship Id="rId2" Type="http://schemas.openxmlformats.org/officeDocument/2006/relationships/comments" Target="../comments29.xml"/><Relationship Id="rId1" Type="http://schemas.openxmlformats.org/officeDocument/2006/relationships/vmlDrawing" Target="../drawings/vmlDrawing29.vml"/></Relationships>
</file>

<file path=xl/worksheets/_rels/sheet32.xml.rels><?xml version="1.0" encoding="UTF-8" standalone="yes"?>
<Relationships xmlns="http://schemas.openxmlformats.org/package/2006/relationships"><Relationship Id="rId2" Type="http://schemas.openxmlformats.org/officeDocument/2006/relationships/comments" Target="../comments30.xml"/><Relationship Id="rId1" Type="http://schemas.openxmlformats.org/officeDocument/2006/relationships/vmlDrawing" Target="../drawings/vmlDrawing30.vml"/></Relationships>
</file>

<file path=xl/worksheets/_rels/sheet33.xml.rels><?xml version="1.0" encoding="UTF-8" standalone="yes"?>
<Relationships xmlns="http://schemas.openxmlformats.org/package/2006/relationships"><Relationship Id="rId2" Type="http://schemas.openxmlformats.org/officeDocument/2006/relationships/comments" Target="../comments31.xml"/><Relationship Id="rId1" Type="http://schemas.openxmlformats.org/officeDocument/2006/relationships/vmlDrawing" Target="../drawings/vmlDrawing31.vml"/></Relationships>
</file>

<file path=xl/worksheets/_rels/sheet34.xml.rels><?xml version="1.0" encoding="UTF-8" standalone="yes"?>
<Relationships xmlns="http://schemas.openxmlformats.org/package/2006/relationships"><Relationship Id="rId2" Type="http://schemas.openxmlformats.org/officeDocument/2006/relationships/comments" Target="../comments32.xml"/><Relationship Id="rId1" Type="http://schemas.openxmlformats.org/officeDocument/2006/relationships/vmlDrawing" Target="../drawings/vmlDrawing32.vml"/></Relationships>
</file>

<file path=xl/worksheets/_rels/sheet35.xml.rels><?xml version="1.0" encoding="UTF-8" standalone="yes"?>
<Relationships xmlns="http://schemas.openxmlformats.org/package/2006/relationships"><Relationship Id="rId2" Type="http://schemas.openxmlformats.org/officeDocument/2006/relationships/comments" Target="../comments33.xml"/><Relationship Id="rId1" Type="http://schemas.openxmlformats.org/officeDocument/2006/relationships/vmlDrawing" Target="../drawings/vmlDrawing33.vml"/></Relationships>
</file>

<file path=xl/worksheets/_rels/sheet36.xml.rels><?xml version="1.0" encoding="UTF-8" standalone="yes"?>
<Relationships xmlns="http://schemas.openxmlformats.org/package/2006/relationships"><Relationship Id="rId2" Type="http://schemas.openxmlformats.org/officeDocument/2006/relationships/comments" Target="../comments34.xml"/><Relationship Id="rId1" Type="http://schemas.openxmlformats.org/officeDocument/2006/relationships/vmlDrawing" Target="../drawings/vmlDrawing34.vml"/></Relationships>
</file>

<file path=xl/worksheets/_rels/sheet37.xml.rels><?xml version="1.0" encoding="UTF-8" standalone="yes"?>
<Relationships xmlns="http://schemas.openxmlformats.org/package/2006/relationships"><Relationship Id="rId2" Type="http://schemas.openxmlformats.org/officeDocument/2006/relationships/comments" Target="../comments35.xml"/><Relationship Id="rId1" Type="http://schemas.openxmlformats.org/officeDocument/2006/relationships/vmlDrawing" Target="../drawings/vmlDrawing35.vml"/></Relationships>
</file>

<file path=xl/worksheets/_rels/sheet38.xml.rels><?xml version="1.0" encoding="UTF-8" standalone="yes"?>
<Relationships xmlns="http://schemas.openxmlformats.org/package/2006/relationships"><Relationship Id="rId2" Type="http://schemas.openxmlformats.org/officeDocument/2006/relationships/comments" Target="../comments36.xml"/><Relationship Id="rId1" Type="http://schemas.openxmlformats.org/officeDocument/2006/relationships/vmlDrawing" Target="../drawings/vmlDrawing36.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15"/>
  <sheetViews>
    <sheetView showGridLines="0" tabSelected="1" workbookViewId="0">
      <selection activeCell="F4" sqref="F4"/>
    </sheetView>
  </sheetViews>
  <sheetFormatPr baseColWidth="10" defaultColWidth="0" defaultRowHeight="15" zeroHeight="1" x14ac:dyDescent="0.25"/>
  <cols>
    <col min="1" max="1" width="3.5703125" style="1" customWidth="1"/>
    <col min="2" max="2" width="14.42578125" style="7" hidden="1" customWidth="1"/>
    <col min="3" max="3" width="58.42578125" style="58" customWidth="1"/>
    <col min="4" max="4" width="25.140625" style="58" customWidth="1"/>
    <col min="5" max="5" width="5.85546875" style="82" customWidth="1"/>
    <col min="6" max="6" width="57.42578125" style="58" customWidth="1"/>
    <col min="7" max="7" width="24.7109375" style="58" customWidth="1"/>
    <col min="8" max="8" width="5.42578125" style="5" customWidth="1"/>
    <col min="9" max="16384" width="0" style="5" hidden="1"/>
  </cols>
  <sheetData>
    <row r="1" spans="1:9" ht="15.75" x14ac:dyDescent="0.25">
      <c r="B1" s="2"/>
      <c r="C1" s="313" t="s">
        <v>0</v>
      </c>
      <c r="D1" s="314"/>
      <c r="E1" s="315" t="str">
        <f>[1]Presentacion!C2</f>
        <v>Asoc. Española</v>
      </c>
      <c r="F1" s="315"/>
      <c r="G1" s="3"/>
      <c r="H1" s="4"/>
    </row>
    <row r="2" spans="1:9" ht="15.75" x14ac:dyDescent="0.25">
      <c r="B2" s="6"/>
      <c r="C2" s="313" t="s">
        <v>1</v>
      </c>
      <c r="D2" s="314"/>
      <c r="E2" s="315" t="str">
        <f>[1]Presentacion!C3</f>
        <v>Montevideo</v>
      </c>
      <c r="F2" s="315"/>
      <c r="G2" s="3"/>
      <c r="H2" s="4"/>
    </row>
    <row r="3" spans="1:9" ht="15.75" x14ac:dyDescent="0.25">
      <c r="B3" s="6"/>
      <c r="C3" s="313" t="s">
        <v>2</v>
      </c>
      <c r="D3" s="316"/>
      <c r="E3" s="317" t="s">
        <v>3</v>
      </c>
      <c r="F3" s="317"/>
      <c r="G3" s="3"/>
      <c r="H3" s="4"/>
    </row>
    <row r="4" spans="1:9" ht="15.75" thickBot="1" x14ac:dyDescent="0.3">
      <c r="C4" s="287"/>
      <c r="D4" s="8"/>
      <c r="E4" s="9"/>
      <c r="F4" s="10"/>
      <c r="G4" s="11"/>
    </row>
    <row r="5" spans="1:9" ht="16.5" thickBot="1" x14ac:dyDescent="0.3">
      <c r="B5" s="12"/>
      <c r="C5" s="13" t="s">
        <v>4</v>
      </c>
      <c r="D5" s="284" t="s">
        <v>5</v>
      </c>
      <c r="E5" s="14"/>
      <c r="F5" s="13" t="s">
        <v>6</v>
      </c>
      <c r="G5" s="284" t="s">
        <v>5</v>
      </c>
      <c r="I5" s="15"/>
    </row>
    <row r="6" spans="1:9" ht="16.5" thickBot="1" x14ac:dyDescent="0.3">
      <c r="B6" s="12"/>
      <c r="C6" s="16" t="s">
        <v>7</v>
      </c>
      <c r="D6" s="290">
        <f>+[1]E.S.P.!D6</f>
        <v>2020</v>
      </c>
      <c r="E6" s="18"/>
      <c r="F6" s="16" t="s">
        <v>8</v>
      </c>
      <c r="G6" s="290">
        <f>+D6</f>
        <v>2020</v>
      </c>
      <c r="H6" s="15"/>
    </row>
    <row r="7" spans="1:9" x14ac:dyDescent="0.25">
      <c r="B7" s="6" t="s">
        <v>9</v>
      </c>
      <c r="C7" s="19" t="s">
        <v>10</v>
      </c>
      <c r="D7" s="20">
        <v>317114855</v>
      </c>
      <c r="E7" s="21" t="s">
        <v>11</v>
      </c>
      <c r="F7" s="22" t="s">
        <v>12</v>
      </c>
      <c r="G7" s="23">
        <v>30378755</v>
      </c>
    </row>
    <row r="8" spans="1:9" x14ac:dyDescent="0.25">
      <c r="B8" s="6" t="s">
        <v>13</v>
      </c>
      <c r="C8" s="19" t="s">
        <v>14</v>
      </c>
      <c r="D8" s="20">
        <v>110078947</v>
      </c>
      <c r="E8" s="21" t="s">
        <v>15</v>
      </c>
      <c r="F8" s="19" t="s">
        <v>16</v>
      </c>
      <c r="G8" s="24">
        <v>604581307</v>
      </c>
    </row>
    <row r="9" spans="1:9" x14ac:dyDescent="0.25">
      <c r="B9" s="6" t="s">
        <v>17</v>
      </c>
      <c r="C9" s="19" t="s">
        <v>18</v>
      </c>
      <c r="D9" s="20">
        <v>5926176034</v>
      </c>
      <c r="E9" s="21" t="s">
        <v>19</v>
      </c>
      <c r="F9" s="19" t="s">
        <v>20</v>
      </c>
      <c r="G9" s="20">
        <v>94998501</v>
      </c>
    </row>
    <row r="10" spans="1:9" x14ac:dyDescent="0.25">
      <c r="B10" s="6" t="s">
        <v>21</v>
      </c>
      <c r="C10" s="19" t="s">
        <v>22</v>
      </c>
      <c r="D10" s="20">
        <v>418923695</v>
      </c>
      <c r="E10" s="21" t="s">
        <v>23</v>
      </c>
      <c r="F10" s="19" t="s">
        <v>24</v>
      </c>
      <c r="G10" s="20">
        <v>1659394686</v>
      </c>
    </row>
    <row r="11" spans="1:9" x14ac:dyDescent="0.25">
      <c r="B11" s="6" t="s">
        <v>25</v>
      </c>
      <c r="C11" s="19" t="s">
        <v>26</v>
      </c>
      <c r="D11" s="20">
        <v>108401267</v>
      </c>
      <c r="E11" s="21" t="s">
        <v>27</v>
      </c>
      <c r="F11" s="19" t="s">
        <v>28</v>
      </c>
      <c r="G11" s="20">
        <v>241049971</v>
      </c>
    </row>
    <row r="12" spans="1:9" x14ac:dyDescent="0.25">
      <c r="B12" s="6" t="s">
        <v>29</v>
      </c>
      <c r="C12" s="19" t="s">
        <v>30</v>
      </c>
      <c r="D12" s="20">
        <v>251699914</v>
      </c>
      <c r="E12" s="21" t="s">
        <v>31</v>
      </c>
      <c r="F12" s="19" t="s">
        <v>32</v>
      </c>
      <c r="G12" s="20">
        <v>636696525</v>
      </c>
    </row>
    <row r="13" spans="1:9" x14ac:dyDescent="0.25">
      <c r="B13" s="6" t="s">
        <v>33</v>
      </c>
      <c r="C13" s="19" t="s">
        <v>34</v>
      </c>
      <c r="D13" s="20"/>
      <c r="E13" s="21" t="s">
        <v>35</v>
      </c>
      <c r="F13" s="19" t="s">
        <v>36</v>
      </c>
      <c r="G13" s="20">
        <v>42111488</v>
      </c>
    </row>
    <row r="14" spans="1:9" x14ac:dyDescent="0.25">
      <c r="A14" s="25"/>
      <c r="B14" s="6" t="s">
        <v>37</v>
      </c>
      <c r="C14" s="19" t="s">
        <v>38</v>
      </c>
      <c r="D14" s="20"/>
      <c r="E14" s="21" t="s">
        <v>39</v>
      </c>
      <c r="F14" s="19" t="s">
        <v>40</v>
      </c>
      <c r="G14" s="20">
        <v>1138932661</v>
      </c>
    </row>
    <row r="15" spans="1:9" x14ac:dyDescent="0.25">
      <c r="B15" s="6" t="s">
        <v>41</v>
      </c>
      <c r="C15" s="26" t="s">
        <v>42</v>
      </c>
      <c r="D15" s="20"/>
      <c r="E15" s="21" t="s">
        <v>43</v>
      </c>
      <c r="F15" s="19" t="s">
        <v>44</v>
      </c>
      <c r="G15" s="20">
        <v>498396156</v>
      </c>
    </row>
    <row r="16" spans="1:9" x14ac:dyDescent="0.25">
      <c r="B16" s="6" t="s">
        <v>45</v>
      </c>
      <c r="C16" s="19" t="s">
        <v>46</v>
      </c>
      <c r="D16" s="20"/>
      <c r="E16" s="21" t="s">
        <v>47</v>
      </c>
      <c r="F16" s="19" t="s">
        <v>48</v>
      </c>
      <c r="G16" s="20">
        <v>371675476</v>
      </c>
    </row>
    <row r="17" spans="1:7" x14ac:dyDescent="0.25">
      <c r="B17" s="6" t="s">
        <v>49</v>
      </c>
      <c r="C17" s="19" t="s">
        <v>50</v>
      </c>
      <c r="D17" s="20"/>
      <c r="E17" s="21" t="s">
        <v>51</v>
      </c>
      <c r="F17" s="19" t="s">
        <v>52</v>
      </c>
      <c r="G17" s="20"/>
    </row>
    <row r="18" spans="1:7" x14ac:dyDescent="0.25">
      <c r="A18" s="25"/>
      <c r="B18" s="6" t="s">
        <v>53</v>
      </c>
      <c r="C18" s="19" t="s">
        <v>54</v>
      </c>
      <c r="D18" s="20">
        <v>247847809</v>
      </c>
      <c r="E18" s="21" t="s">
        <v>55</v>
      </c>
      <c r="F18" s="19" t="s">
        <v>56</v>
      </c>
      <c r="G18" s="27">
        <v>221253085</v>
      </c>
    </row>
    <row r="19" spans="1:7" ht="15.75" thickBot="1" x14ac:dyDescent="0.3">
      <c r="A19" s="25"/>
      <c r="B19" s="6" t="s">
        <v>57</v>
      </c>
      <c r="C19" s="19" t="s">
        <v>58</v>
      </c>
      <c r="D19" s="20">
        <v>303633504</v>
      </c>
      <c r="E19" s="21"/>
      <c r="F19" s="28" t="s">
        <v>59</v>
      </c>
      <c r="G19" s="29">
        <f>SUM(G7:G18)</f>
        <v>5539468611</v>
      </c>
    </row>
    <row r="20" spans="1:7" ht="15.75" thickBot="1" x14ac:dyDescent="0.3">
      <c r="B20" s="6"/>
      <c r="C20" s="28" t="s">
        <v>60</v>
      </c>
      <c r="D20" s="29">
        <f>SUM(D7:D19)</f>
        <v>7683876025</v>
      </c>
      <c r="E20" s="21" t="s">
        <v>61</v>
      </c>
      <c r="F20" s="22" t="s">
        <v>62</v>
      </c>
      <c r="G20" s="23">
        <v>9523676</v>
      </c>
    </row>
    <row r="21" spans="1:7" x14ac:dyDescent="0.25">
      <c r="B21" s="6"/>
      <c r="C21" s="30" t="s">
        <v>63</v>
      </c>
      <c r="D21" s="31">
        <f>SUM(D22:D28)</f>
        <v>122640413</v>
      </c>
      <c r="E21" s="21" t="s">
        <v>64</v>
      </c>
      <c r="F21" s="19" t="s">
        <v>65</v>
      </c>
      <c r="G21" s="20">
        <v>140172628</v>
      </c>
    </row>
    <row r="22" spans="1:7" x14ac:dyDescent="0.25">
      <c r="B22" s="6" t="s">
        <v>66</v>
      </c>
      <c r="C22" s="19" t="s">
        <v>67</v>
      </c>
      <c r="D22" s="20">
        <v>58938454</v>
      </c>
      <c r="E22" s="21" t="s">
        <v>68</v>
      </c>
      <c r="F22" s="19" t="s">
        <v>69</v>
      </c>
      <c r="G22" s="20">
        <v>129146073</v>
      </c>
    </row>
    <row r="23" spans="1:7" x14ac:dyDescent="0.25">
      <c r="B23" s="6" t="s">
        <v>70</v>
      </c>
      <c r="C23" s="19" t="s">
        <v>71</v>
      </c>
      <c r="D23" s="20">
        <v>13054955</v>
      </c>
      <c r="E23" s="21" t="s">
        <v>72</v>
      </c>
      <c r="F23" s="19" t="s">
        <v>73</v>
      </c>
      <c r="G23" s="20"/>
    </row>
    <row r="24" spans="1:7" x14ac:dyDescent="0.25">
      <c r="B24" s="6" t="s">
        <v>74</v>
      </c>
      <c r="C24" s="19" t="s">
        <v>75</v>
      </c>
      <c r="D24" s="20">
        <v>21216621</v>
      </c>
      <c r="E24" s="21" t="s">
        <v>76</v>
      </c>
      <c r="F24" s="19" t="s">
        <v>77</v>
      </c>
      <c r="G24" s="20"/>
    </row>
    <row r="25" spans="1:7" x14ac:dyDescent="0.25">
      <c r="B25" s="6" t="s">
        <v>78</v>
      </c>
      <c r="C25" s="19" t="s">
        <v>79</v>
      </c>
      <c r="D25" s="20">
        <v>12813517</v>
      </c>
      <c r="E25" s="21" t="s">
        <v>80</v>
      </c>
      <c r="F25" s="19" t="s">
        <v>81</v>
      </c>
      <c r="G25" s="20">
        <v>43848452</v>
      </c>
    </row>
    <row r="26" spans="1:7" x14ac:dyDescent="0.25">
      <c r="B26" s="6" t="s">
        <v>82</v>
      </c>
      <c r="C26" s="19" t="s">
        <v>83</v>
      </c>
      <c r="D26" s="20">
        <v>3960023</v>
      </c>
      <c r="E26" s="21" t="s">
        <v>84</v>
      </c>
      <c r="F26" s="19" t="s">
        <v>85</v>
      </c>
      <c r="G26" s="27">
        <v>13477884</v>
      </c>
    </row>
    <row r="27" spans="1:7" ht="15.75" thickBot="1" x14ac:dyDescent="0.3">
      <c r="B27" s="6" t="s">
        <v>86</v>
      </c>
      <c r="C27" s="19" t="s">
        <v>87</v>
      </c>
      <c r="D27" s="20">
        <v>7141811</v>
      </c>
      <c r="E27" s="21"/>
      <c r="F27" s="28" t="s">
        <v>88</v>
      </c>
      <c r="G27" s="29">
        <f>SUM(G20:G26)</f>
        <v>336168713</v>
      </c>
    </row>
    <row r="28" spans="1:7" x14ac:dyDescent="0.25">
      <c r="B28" s="6" t="s">
        <v>89</v>
      </c>
      <c r="C28" s="19" t="s">
        <v>90</v>
      </c>
      <c r="D28" s="20">
        <v>5515032</v>
      </c>
      <c r="E28" s="21" t="s">
        <v>91</v>
      </c>
      <c r="F28" s="22" t="s">
        <v>92</v>
      </c>
      <c r="G28" s="23">
        <v>77936355</v>
      </c>
    </row>
    <row r="29" spans="1:7" x14ac:dyDescent="0.25">
      <c r="B29" s="6"/>
      <c r="C29" s="32" t="s">
        <v>93</v>
      </c>
      <c r="D29" s="31">
        <f>SUM(D30:D34)</f>
        <v>723636574</v>
      </c>
      <c r="E29" s="21" t="s">
        <v>94</v>
      </c>
      <c r="F29" s="19" t="s">
        <v>95</v>
      </c>
      <c r="G29" s="20"/>
    </row>
    <row r="30" spans="1:7" x14ac:dyDescent="0.25">
      <c r="B30" s="6" t="s">
        <v>96</v>
      </c>
      <c r="C30" s="19" t="s">
        <v>97</v>
      </c>
      <c r="D30" s="20">
        <v>490025282</v>
      </c>
      <c r="E30" s="21" t="s">
        <v>98</v>
      </c>
      <c r="F30" s="19" t="s">
        <v>99</v>
      </c>
      <c r="G30" s="20"/>
    </row>
    <row r="31" spans="1:7" x14ac:dyDescent="0.25">
      <c r="B31" s="6" t="s">
        <v>100</v>
      </c>
      <c r="C31" s="19" t="s">
        <v>101</v>
      </c>
      <c r="D31" s="20">
        <v>102255086</v>
      </c>
      <c r="E31" s="21" t="s">
        <v>102</v>
      </c>
      <c r="F31" s="19" t="s">
        <v>103</v>
      </c>
      <c r="G31" s="27">
        <v>3511579</v>
      </c>
    </row>
    <row r="32" spans="1:7" ht="15.75" thickBot="1" x14ac:dyDescent="0.3">
      <c r="B32" s="6" t="s">
        <v>104</v>
      </c>
      <c r="C32" s="19" t="s">
        <v>105</v>
      </c>
      <c r="D32" s="20">
        <v>75680253</v>
      </c>
      <c r="E32" s="21"/>
      <c r="F32" s="28" t="s">
        <v>106</v>
      </c>
      <c r="G32" s="29">
        <f>SUM(G28:G31)</f>
        <v>81447934</v>
      </c>
    </row>
    <row r="33" spans="2:7" x14ac:dyDescent="0.25">
      <c r="B33" s="6" t="s">
        <v>107</v>
      </c>
      <c r="C33" s="19" t="s">
        <v>108</v>
      </c>
      <c r="D33" s="20">
        <v>24917456</v>
      </c>
      <c r="E33" s="21"/>
      <c r="F33" s="32" t="s">
        <v>109</v>
      </c>
      <c r="G33" s="31">
        <f>SUM(G34:G39)</f>
        <v>755853074</v>
      </c>
    </row>
    <row r="34" spans="2:7" x14ac:dyDescent="0.25">
      <c r="B34" s="6" t="s">
        <v>110</v>
      </c>
      <c r="C34" s="19" t="s">
        <v>111</v>
      </c>
      <c r="D34" s="20">
        <v>30758497</v>
      </c>
      <c r="E34" s="21" t="s">
        <v>112</v>
      </c>
      <c r="F34" s="19" t="s">
        <v>113</v>
      </c>
      <c r="G34" s="20">
        <v>37071837</v>
      </c>
    </row>
    <row r="35" spans="2:7" ht="15.75" thickBot="1" x14ac:dyDescent="0.3">
      <c r="B35" s="6"/>
      <c r="C35" s="28" t="s">
        <v>114</v>
      </c>
      <c r="D35" s="29">
        <f>+D21+D29</f>
        <v>846276987</v>
      </c>
      <c r="E35" s="21" t="s">
        <v>115</v>
      </c>
      <c r="F35" s="19" t="s">
        <v>116</v>
      </c>
      <c r="G35" s="20">
        <v>28778978</v>
      </c>
    </row>
    <row r="36" spans="2:7" x14ac:dyDescent="0.25">
      <c r="B36" s="6" t="s">
        <v>117</v>
      </c>
      <c r="C36" s="19" t="s">
        <v>118</v>
      </c>
      <c r="D36" s="20">
        <v>109510490</v>
      </c>
      <c r="E36" s="21" t="s">
        <v>119</v>
      </c>
      <c r="F36" s="19" t="s">
        <v>120</v>
      </c>
      <c r="G36" s="20">
        <v>12543536</v>
      </c>
    </row>
    <row r="37" spans="2:7" x14ac:dyDescent="0.25">
      <c r="B37" s="6" t="s">
        <v>121</v>
      </c>
      <c r="C37" s="19" t="s">
        <v>122</v>
      </c>
      <c r="D37" s="20">
        <v>62897596</v>
      </c>
      <c r="E37" s="21" t="s">
        <v>123</v>
      </c>
      <c r="F37" s="19" t="s">
        <v>124</v>
      </c>
      <c r="G37" s="20">
        <v>56792431</v>
      </c>
    </row>
    <row r="38" spans="2:7" x14ac:dyDescent="0.25">
      <c r="B38" s="6" t="s">
        <v>125</v>
      </c>
      <c r="C38" s="19" t="s">
        <v>126</v>
      </c>
      <c r="D38" s="20">
        <v>1265508</v>
      </c>
      <c r="E38" s="21" t="s">
        <v>127</v>
      </c>
      <c r="F38" s="19" t="s">
        <v>128</v>
      </c>
      <c r="G38" s="20">
        <v>91885674</v>
      </c>
    </row>
    <row r="39" spans="2:7" x14ac:dyDescent="0.25">
      <c r="B39" s="6" t="s">
        <v>129</v>
      </c>
      <c r="C39" s="19" t="s">
        <v>130</v>
      </c>
      <c r="D39" s="20">
        <v>1000463</v>
      </c>
      <c r="E39" s="21" t="s">
        <v>131</v>
      </c>
      <c r="F39" s="19" t="s">
        <v>132</v>
      </c>
      <c r="G39" s="20">
        <v>528780618</v>
      </c>
    </row>
    <row r="40" spans="2:7" x14ac:dyDescent="0.25">
      <c r="B40" s="6" t="s">
        <v>133</v>
      </c>
      <c r="C40" s="19" t="s">
        <v>134</v>
      </c>
      <c r="D40" s="20"/>
      <c r="E40" s="21"/>
      <c r="F40" s="33" t="s">
        <v>135</v>
      </c>
      <c r="G40" s="34">
        <f>SUM(G41:G46)</f>
        <v>105959077</v>
      </c>
    </row>
    <row r="41" spans="2:7" x14ac:dyDescent="0.25">
      <c r="B41" s="6" t="s">
        <v>136</v>
      </c>
      <c r="C41" s="19" t="s">
        <v>137</v>
      </c>
      <c r="D41" s="20">
        <v>459082730</v>
      </c>
      <c r="E41" s="21" t="s">
        <v>138</v>
      </c>
      <c r="F41" s="19" t="s">
        <v>139</v>
      </c>
      <c r="G41" s="20">
        <v>237636</v>
      </c>
    </row>
    <row r="42" spans="2:7" x14ac:dyDescent="0.25">
      <c r="B42" s="6" t="s">
        <v>140</v>
      </c>
      <c r="C42" s="19" t="s">
        <v>141</v>
      </c>
      <c r="D42" s="20">
        <v>171967827</v>
      </c>
      <c r="E42" s="21" t="s">
        <v>142</v>
      </c>
      <c r="F42" s="19" t="s">
        <v>143</v>
      </c>
      <c r="G42" s="20">
        <v>182825</v>
      </c>
    </row>
    <row r="43" spans="2:7" x14ac:dyDescent="0.25">
      <c r="B43" s="6" t="s">
        <v>144</v>
      </c>
      <c r="C43" s="19" t="s">
        <v>145</v>
      </c>
      <c r="D43" s="20">
        <v>508872</v>
      </c>
      <c r="E43" s="21" t="s">
        <v>146</v>
      </c>
      <c r="F43" s="19" t="s">
        <v>147</v>
      </c>
      <c r="G43" s="20">
        <v>15636317</v>
      </c>
    </row>
    <row r="44" spans="2:7" x14ac:dyDescent="0.25">
      <c r="B44" s="6" t="s">
        <v>148</v>
      </c>
      <c r="C44" s="19" t="s">
        <v>149</v>
      </c>
      <c r="D44" s="20"/>
      <c r="E44" s="21" t="s">
        <v>150</v>
      </c>
      <c r="F44" s="19" t="s">
        <v>151</v>
      </c>
      <c r="G44" s="20">
        <v>3501022</v>
      </c>
    </row>
    <row r="45" spans="2:7" x14ac:dyDescent="0.25">
      <c r="B45" s="6" t="s">
        <v>152</v>
      </c>
      <c r="C45" s="19" t="s">
        <v>153</v>
      </c>
      <c r="D45" s="20">
        <v>560758029</v>
      </c>
      <c r="E45" s="21" t="s">
        <v>154</v>
      </c>
      <c r="F45" s="19" t="s">
        <v>155</v>
      </c>
      <c r="G45" s="20">
        <v>7204734</v>
      </c>
    </row>
    <row r="46" spans="2:7" x14ac:dyDescent="0.25">
      <c r="B46" s="6" t="s">
        <v>156</v>
      </c>
      <c r="C46" s="19" t="s">
        <v>157</v>
      </c>
      <c r="D46" s="20">
        <v>61108228</v>
      </c>
      <c r="E46" s="21" t="s">
        <v>158</v>
      </c>
      <c r="F46" s="19" t="s">
        <v>159</v>
      </c>
      <c r="G46" s="20">
        <f>78531736+664807</f>
        <v>79196543</v>
      </c>
    </row>
    <row r="47" spans="2:7" ht="15.75" thickBot="1" x14ac:dyDescent="0.3">
      <c r="B47" s="6"/>
      <c r="C47" s="28" t="s">
        <v>160</v>
      </c>
      <c r="D47" s="29">
        <f>SUM(D36:D46)</f>
        <v>1428099743</v>
      </c>
      <c r="E47" s="21" t="s">
        <v>161</v>
      </c>
      <c r="F47" s="19" t="s">
        <v>162</v>
      </c>
      <c r="G47" s="27">
        <f>56280859</f>
        <v>56280859</v>
      </c>
    </row>
    <row r="48" spans="2:7" ht="15.75" thickBot="1" x14ac:dyDescent="0.3">
      <c r="B48" s="6"/>
      <c r="C48" s="35" t="s">
        <v>163</v>
      </c>
      <c r="D48" s="36"/>
      <c r="E48" s="21"/>
      <c r="F48" s="28" t="s">
        <v>164</v>
      </c>
      <c r="G48" s="37">
        <f>+G33+G40+G47</f>
        <v>918093010</v>
      </c>
    </row>
    <row r="49" spans="2:7" x14ac:dyDescent="0.25">
      <c r="B49" s="6" t="s">
        <v>165</v>
      </c>
      <c r="C49" s="38" t="s">
        <v>166</v>
      </c>
      <c r="D49" s="39"/>
      <c r="E49" s="21" t="s">
        <v>167</v>
      </c>
      <c r="F49" s="22" t="s">
        <v>168</v>
      </c>
      <c r="G49" s="23">
        <v>196008469</v>
      </c>
    </row>
    <row r="50" spans="2:7" x14ac:dyDescent="0.25">
      <c r="B50" s="6" t="s">
        <v>169</v>
      </c>
      <c r="C50" s="19" t="s">
        <v>163</v>
      </c>
      <c r="D50" s="20">
        <v>318392312</v>
      </c>
      <c r="E50" s="21" t="s">
        <v>170</v>
      </c>
      <c r="F50" s="19" t="s">
        <v>171</v>
      </c>
      <c r="G50" s="20">
        <v>225478730</v>
      </c>
    </row>
    <row r="51" spans="2:7" x14ac:dyDescent="0.25">
      <c r="B51" s="6" t="s">
        <v>172</v>
      </c>
      <c r="C51" s="19" t="s">
        <v>173</v>
      </c>
      <c r="D51" s="27">
        <v>21991958</v>
      </c>
      <c r="E51" s="21" t="s">
        <v>174</v>
      </c>
      <c r="F51" s="19" t="s">
        <v>175</v>
      </c>
      <c r="G51" s="20">
        <v>11954408</v>
      </c>
    </row>
    <row r="52" spans="2:7" ht="15.75" thickBot="1" x14ac:dyDescent="0.3">
      <c r="B52" s="12"/>
      <c r="C52" s="28" t="s">
        <v>176</v>
      </c>
      <c r="D52" s="29">
        <f>SUM(D49:D51)</f>
        <v>340384270</v>
      </c>
      <c r="E52" s="21" t="s">
        <v>177</v>
      </c>
      <c r="F52" s="19" t="s">
        <v>178</v>
      </c>
      <c r="G52" s="20"/>
    </row>
    <row r="53" spans="2:7" ht="15.75" thickBot="1" x14ac:dyDescent="0.3">
      <c r="B53" s="6"/>
      <c r="C53" s="40" t="s">
        <v>179</v>
      </c>
      <c r="D53" s="41">
        <f>D20+D35+D47+D52</f>
        <v>10298637025</v>
      </c>
      <c r="E53" s="21" t="s">
        <v>180</v>
      </c>
      <c r="F53" s="19" t="s">
        <v>181</v>
      </c>
      <c r="G53" s="20">
        <v>50521235</v>
      </c>
    </row>
    <row r="54" spans="2:7" x14ac:dyDescent="0.25">
      <c r="C54" s="42"/>
      <c r="D54" s="43"/>
      <c r="E54" s="21" t="s">
        <v>182</v>
      </c>
      <c r="F54" s="19" t="s">
        <v>183</v>
      </c>
      <c r="G54" s="20">
        <v>24697883</v>
      </c>
    </row>
    <row r="55" spans="2:7" x14ac:dyDescent="0.25">
      <c r="C55" s="44" t="s">
        <v>184</v>
      </c>
      <c r="D55" s="45"/>
      <c r="E55" s="21" t="s">
        <v>185</v>
      </c>
      <c r="F55" s="19" t="s">
        <v>186</v>
      </c>
      <c r="G55" s="20">
        <v>36682380</v>
      </c>
    </row>
    <row r="56" spans="2:7" x14ac:dyDescent="0.25">
      <c r="B56" s="6" t="s">
        <v>187</v>
      </c>
      <c r="C56" s="46" t="s">
        <v>188</v>
      </c>
      <c r="D56" s="20"/>
      <c r="E56" s="21" t="s">
        <v>189</v>
      </c>
      <c r="F56" s="19" t="s">
        <v>190</v>
      </c>
      <c r="G56" s="27">
        <v>76572675</v>
      </c>
    </row>
    <row r="57" spans="2:7" ht="15.75" thickBot="1" x14ac:dyDescent="0.3">
      <c r="B57" s="6" t="s">
        <v>191</v>
      </c>
      <c r="C57" s="46" t="s">
        <v>192</v>
      </c>
      <c r="D57" s="20"/>
      <c r="E57" s="21"/>
      <c r="F57" s="28" t="s">
        <v>193</v>
      </c>
      <c r="G57" s="29">
        <f>SUM(G49:G56)</f>
        <v>621915780</v>
      </c>
    </row>
    <row r="58" spans="2:7" x14ac:dyDescent="0.25">
      <c r="B58" s="6" t="s">
        <v>194</v>
      </c>
      <c r="C58" s="46" t="s">
        <v>195</v>
      </c>
      <c r="D58" s="20"/>
      <c r="E58" s="21" t="s">
        <v>196</v>
      </c>
      <c r="F58" s="22" t="s">
        <v>197</v>
      </c>
      <c r="G58" s="23"/>
    </row>
    <row r="59" spans="2:7" x14ac:dyDescent="0.25">
      <c r="B59" s="6" t="s">
        <v>198</v>
      </c>
      <c r="C59" s="19" t="s">
        <v>199</v>
      </c>
      <c r="D59" s="27"/>
      <c r="E59" s="21" t="s">
        <v>200</v>
      </c>
      <c r="F59" s="19" t="s">
        <v>201</v>
      </c>
      <c r="G59" s="20">
        <v>2594305</v>
      </c>
    </row>
    <row r="60" spans="2:7" ht="15.75" thickBot="1" x14ac:dyDescent="0.3">
      <c r="B60" s="6"/>
      <c r="C60" s="28" t="s">
        <v>202</v>
      </c>
      <c r="D60" s="29">
        <f>SUM(D56:D59)</f>
        <v>0</v>
      </c>
      <c r="E60" s="21" t="s">
        <v>203</v>
      </c>
      <c r="F60" s="19" t="s">
        <v>204</v>
      </c>
      <c r="G60" s="20"/>
    </row>
    <row r="61" spans="2:7" ht="16.5" thickBot="1" x14ac:dyDescent="0.3">
      <c r="B61" s="47"/>
      <c r="C61" s="48" t="s">
        <v>205</v>
      </c>
      <c r="D61" s="49">
        <f>D53+D60</f>
        <v>10298637025</v>
      </c>
      <c r="E61" s="21" t="s">
        <v>206</v>
      </c>
      <c r="F61" s="19" t="s">
        <v>207</v>
      </c>
      <c r="G61" s="20"/>
    </row>
    <row r="62" spans="2:7" x14ac:dyDescent="0.25">
      <c r="B62" s="50"/>
      <c r="C62" s="51"/>
      <c r="D62" s="51"/>
      <c r="E62" s="21" t="s">
        <v>208</v>
      </c>
      <c r="F62" s="19" t="s">
        <v>209</v>
      </c>
      <c r="G62" s="20"/>
    </row>
    <row r="63" spans="2:7" x14ac:dyDescent="0.25">
      <c r="B63" s="52"/>
      <c r="C63" s="53" t="s">
        <v>8</v>
      </c>
      <c r="D63" s="53"/>
      <c r="E63" s="21" t="s">
        <v>210</v>
      </c>
      <c r="F63" s="19" t="s">
        <v>211</v>
      </c>
      <c r="G63" s="20">
        <v>10218423</v>
      </c>
    </row>
    <row r="64" spans="2:7" x14ac:dyDescent="0.25">
      <c r="B64" s="54" t="s">
        <v>212</v>
      </c>
      <c r="C64" s="55" t="s">
        <v>213</v>
      </c>
      <c r="D64" s="55">
        <f>[1]Amortizaciones!D6</f>
        <v>76506650</v>
      </c>
      <c r="E64" s="21" t="s">
        <v>214</v>
      </c>
      <c r="F64" s="19" t="s">
        <v>215</v>
      </c>
      <c r="G64" s="20">
        <v>48791676</v>
      </c>
    </row>
    <row r="65" spans="2:7" x14ac:dyDescent="0.25">
      <c r="B65" s="54" t="s">
        <v>216</v>
      </c>
      <c r="C65" s="55" t="s">
        <v>217</v>
      </c>
      <c r="D65" s="55">
        <f>[1]Amortizaciones!D7</f>
        <v>2650729</v>
      </c>
      <c r="E65" s="21" t="s">
        <v>218</v>
      </c>
      <c r="F65" s="19" t="s">
        <v>219</v>
      </c>
      <c r="G65" s="20">
        <v>4684845</v>
      </c>
    </row>
    <row r="66" spans="2:7" x14ac:dyDescent="0.25">
      <c r="B66" s="54" t="s">
        <v>220</v>
      </c>
      <c r="C66" s="55" t="s">
        <v>221</v>
      </c>
      <c r="D66" s="55">
        <f>[1]Amortizaciones!D8</f>
        <v>44233582</v>
      </c>
      <c r="E66" s="21" t="s">
        <v>222</v>
      </c>
      <c r="F66" s="19" t="s">
        <v>223</v>
      </c>
      <c r="G66" s="20">
        <v>1147169</v>
      </c>
    </row>
    <row r="67" spans="2:7" x14ac:dyDescent="0.25">
      <c r="B67" s="54" t="s">
        <v>224</v>
      </c>
      <c r="C67" s="55" t="s">
        <v>225</v>
      </c>
      <c r="D67" s="55">
        <f>[1]Amortizaciones!D9</f>
        <v>0</v>
      </c>
      <c r="E67" s="21" t="s">
        <v>226</v>
      </c>
      <c r="F67" s="19" t="s">
        <v>227</v>
      </c>
      <c r="G67" s="20">
        <v>3653076</v>
      </c>
    </row>
    <row r="68" spans="2:7" x14ac:dyDescent="0.25">
      <c r="B68" s="54" t="s">
        <v>228</v>
      </c>
      <c r="C68" s="55" t="s">
        <v>229</v>
      </c>
      <c r="D68" s="55">
        <f>[1]Amortizaciones!D10</f>
        <v>3679538</v>
      </c>
      <c r="E68" s="21" t="s">
        <v>230</v>
      </c>
      <c r="F68" s="19" t="s">
        <v>231</v>
      </c>
      <c r="G68" s="20"/>
    </row>
    <row r="69" spans="2:7" x14ac:dyDescent="0.25">
      <c r="B69" s="54" t="s">
        <v>232</v>
      </c>
      <c r="C69" s="55" t="s">
        <v>233</v>
      </c>
      <c r="D69" s="55">
        <f>[1]Amortizaciones!D11</f>
        <v>7229287</v>
      </c>
      <c r="E69" s="21" t="s">
        <v>234</v>
      </c>
      <c r="F69" s="19" t="s">
        <v>235</v>
      </c>
      <c r="G69" s="20"/>
    </row>
    <row r="70" spans="2:7" x14ac:dyDescent="0.25">
      <c r="B70" s="54" t="s">
        <v>236</v>
      </c>
      <c r="C70" s="55" t="s">
        <v>237</v>
      </c>
      <c r="D70" s="55">
        <f>[1]Amortizaciones!D12</f>
        <v>0</v>
      </c>
      <c r="E70" s="21" t="s">
        <v>238</v>
      </c>
      <c r="F70" s="19" t="s">
        <v>239</v>
      </c>
      <c r="G70" s="20"/>
    </row>
    <row r="71" spans="2:7" x14ac:dyDescent="0.25">
      <c r="B71" s="54" t="s">
        <v>240</v>
      </c>
      <c r="C71" s="55" t="s">
        <v>241</v>
      </c>
      <c r="D71" s="55">
        <f>[1]Amortizaciones!D13</f>
        <v>6023588</v>
      </c>
      <c r="E71" s="21" t="s">
        <v>242</v>
      </c>
      <c r="F71" s="19" t="s">
        <v>243</v>
      </c>
      <c r="G71" s="20">
        <v>744285</v>
      </c>
    </row>
    <row r="72" spans="2:7" x14ac:dyDescent="0.25">
      <c r="B72" s="54" t="s">
        <v>244</v>
      </c>
      <c r="C72" s="55" t="s">
        <v>245</v>
      </c>
      <c r="D72" s="55">
        <f>[1]Amortizaciones!D14</f>
        <v>29442877</v>
      </c>
      <c r="E72" s="21" t="s">
        <v>246</v>
      </c>
      <c r="F72" s="19" t="s">
        <v>247</v>
      </c>
      <c r="G72" s="20"/>
    </row>
    <row r="73" spans="2:7" x14ac:dyDescent="0.25">
      <c r="B73" s="54" t="s">
        <v>248</v>
      </c>
      <c r="C73" s="55" t="s">
        <v>249</v>
      </c>
      <c r="D73" s="55">
        <f>[1]Amortizaciones!D15</f>
        <v>2163624</v>
      </c>
      <c r="E73" s="21" t="s">
        <v>250</v>
      </c>
      <c r="F73" s="19" t="s">
        <v>251</v>
      </c>
      <c r="G73" s="20"/>
    </row>
    <row r="74" spans="2:7" x14ac:dyDescent="0.25">
      <c r="B74" s="54" t="s">
        <v>252</v>
      </c>
      <c r="C74" s="55" t="s">
        <v>253</v>
      </c>
      <c r="D74" s="55">
        <f>[1]Amortizaciones!D16</f>
        <v>0</v>
      </c>
      <c r="E74" s="21" t="s">
        <v>254</v>
      </c>
      <c r="F74" s="19" t="s">
        <v>255</v>
      </c>
      <c r="G74" s="20">
        <v>19725079</v>
      </c>
    </row>
    <row r="75" spans="2:7" x14ac:dyDescent="0.25">
      <c r="B75" s="54" t="s">
        <v>256</v>
      </c>
      <c r="C75" s="55" t="s">
        <v>257</v>
      </c>
      <c r="D75" s="55">
        <f>[1]Amortizaciones!D17</f>
        <v>0</v>
      </c>
      <c r="E75" s="21" t="s">
        <v>258</v>
      </c>
      <c r="F75" s="19" t="s">
        <v>259</v>
      </c>
      <c r="G75" s="20">
        <v>63554265</v>
      </c>
    </row>
    <row r="76" spans="2:7" x14ac:dyDescent="0.25">
      <c r="B76" s="54" t="s">
        <v>260</v>
      </c>
      <c r="C76" s="55" t="s">
        <v>261</v>
      </c>
      <c r="D76" s="55">
        <f>[1]Amortizaciones!D18</f>
        <v>0</v>
      </c>
      <c r="E76" s="21" t="s">
        <v>262</v>
      </c>
      <c r="F76" s="19" t="s">
        <v>263</v>
      </c>
      <c r="G76" s="20">
        <v>118803835</v>
      </c>
    </row>
    <row r="77" spans="2:7" x14ac:dyDescent="0.25">
      <c r="B77" s="54" t="s">
        <v>264</v>
      </c>
      <c r="C77" s="55" t="s">
        <v>265</v>
      </c>
      <c r="D77" s="55">
        <f>SUM(D64:D76)</f>
        <v>171929875</v>
      </c>
      <c r="E77" s="21" t="s">
        <v>266</v>
      </c>
      <c r="F77" s="19" t="s">
        <v>267</v>
      </c>
      <c r="G77" s="20">
        <v>558985100</v>
      </c>
    </row>
    <row r="78" spans="2:7" x14ac:dyDescent="0.25">
      <c r="B78" s="54"/>
      <c r="C78" s="55"/>
      <c r="D78" s="55"/>
      <c r="E78" s="21" t="s">
        <v>268</v>
      </c>
      <c r="F78" s="19" t="s">
        <v>269</v>
      </c>
      <c r="G78" s="27">
        <v>36512982</v>
      </c>
    </row>
    <row r="79" spans="2:7" ht="15.75" thickBot="1" x14ac:dyDescent="0.3">
      <c r="B79" s="54"/>
      <c r="C79" s="53" t="s">
        <v>270</v>
      </c>
      <c r="D79" s="56"/>
      <c r="E79" s="21"/>
      <c r="F79" s="28" t="s">
        <v>271</v>
      </c>
      <c r="G79" s="29">
        <f>SUM(G58:G78)</f>
        <v>869415040</v>
      </c>
    </row>
    <row r="80" spans="2:7" x14ac:dyDescent="0.25">
      <c r="B80" s="54" t="s">
        <v>272</v>
      </c>
      <c r="C80" s="55" t="s">
        <v>237</v>
      </c>
      <c r="D80" s="55">
        <f>[1]Amortizaciones!D22</f>
        <v>27042260</v>
      </c>
      <c r="E80" s="21" t="s">
        <v>273</v>
      </c>
      <c r="F80" s="22" t="s">
        <v>274</v>
      </c>
      <c r="G80" s="23"/>
    </row>
    <row r="81" spans="2:7" x14ac:dyDescent="0.25">
      <c r="B81" s="54" t="s">
        <v>275</v>
      </c>
      <c r="C81" s="55" t="s">
        <v>241</v>
      </c>
      <c r="D81" s="55">
        <f>[1]Amortizaciones!D23</f>
        <v>0</v>
      </c>
      <c r="E81" s="21" t="s">
        <v>276</v>
      </c>
      <c r="F81" s="19" t="s">
        <v>277</v>
      </c>
      <c r="G81" s="20">
        <v>120462881</v>
      </c>
    </row>
    <row r="82" spans="2:7" x14ac:dyDescent="0.25">
      <c r="B82" s="54" t="s">
        <v>278</v>
      </c>
      <c r="C82" s="55" t="s">
        <v>245</v>
      </c>
      <c r="D82" s="55">
        <f>[1]Amortizaciones!D24</f>
        <v>5608167</v>
      </c>
      <c r="E82" s="21" t="s">
        <v>279</v>
      </c>
      <c r="F82" s="19" t="s">
        <v>280</v>
      </c>
      <c r="G82" s="20">
        <v>21313061</v>
      </c>
    </row>
    <row r="83" spans="2:7" x14ac:dyDescent="0.25">
      <c r="B83" s="54" t="s">
        <v>281</v>
      </c>
      <c r="C83" s="55" t="s">
        <v>249</v>
      </c>
      <c r="D83" s="55">
        <f>[1]Amortizaciones!D25</f>
        <v>66842</v>
      </c>
      <c r="E83" s="21" t="s">
        <v>282</v>
      </c>
      <c r="F83" s="19" t="s">
        <v>283</v>
      </c>
      <c r="G83" s="20">
        <v>19346934</v>
      </c>
    </row>
    <row r="84" spans="2:7" x14ac:dyDescent="0.25">
      <c r="B84" s="54" t="s">
        <v>284</v>
      </c>
      <c r="C84" s="55" t="s">
        <v>285</v>
      </c>
      <c r="D84" s="55">
        <v>0</v>
      </c>
      <c r="E84" s="21" t="s">
        <v>286</v>
      </c>
      <c r="F84" s="19" t="s">
        <v>287</v>
      </c>
      <c r="G84" s="20">
        <v>50634492</v>
      </c>
    </row>
    <row r="85" spans="2:7" x14ac:dyDescent="0.25">
      <c r="B85" s="54" t="s">
        <v>288</v>
      </c>
      <c r="C85" s="55" t="s">
        <v>289</v>
      </c>
      <c r="D85" s="55">
        <f>[1]Amortizaciones!D27</f>
        <v>0</v>
      </c>
      <c r="E85" s="21" t="s">
        <v>290</v>
      </c>
      <c r="F85" s="19" t="s">
        <v>291</v>
      </c>
      <c r="G85" s="20">
        <v>42299565</v>
      </c>
    </row>
    <row r="86" spans="2:7" x14ac:dyDescent="0.25">
      <c r="B86" s="54" t="s">
        <v>292</v>
      </c>
      <c r="C86" s="55" t="s">
        <v>293</v>
      </c>
      <c r="D86" s="55">
        <f>[1]Amortizaciones!D28</f>
        <v>0</v>
      </c>
      <c r="E86" s="21" t="s">
        <v>294</v>
      </c>
      <c r="F86" s="19" t="s">
        <v>295</v>
      </c>
      <c r="G86" s="20">
        <v>7497542</v>
      </c>
    </row>
    <row r="87" spans="2:7" x14ac:dyDescent="0.25">
      <c r="B87" s="54" t="s">
        <v>296</v>
      </c>
      <c r="C87" s="55" t="s">
        <v>297</v>
      </c>
      <c r="D87" s="55">
        <f>[1]Amortizaciones!D29</f>
        <v>0</v>
      </c>
      <c r="E87" s="21" t="s">
        <v>298</v>
      </c>
      <c r="F87" s="19" t="s">
        <v>299</v>
      </c>
      <c r="G87" s="20">
        <v>5710182</v>
      </c>
    </row>
    <row r="88" spans="2:7" x14ac:dyDescent="0.25">
      <c r="B88" s="54" t="s">
        <v>300</v>
      </c>
      <c r="C88" s="55" t="s">
        <v>301</v>
      </c>
      <c r="D88" s="55">
        <f>[1]Amortizaciones!D30</f>
        <v>31559113</v>
      </c>
      <c r="E88" s="21" t="s">
        <v>302</v>
      </c>
      <c r="F88" s="19" t="s">
        <v>303</v>
      </c>
      <c r="G88" s="20"/>
    </row>
    <row r="89" spans="2:7" x14ac:dyDescent="0.25">
      <c r="B89" s="54" t="s">
        <v>304</v>
      </c>
      <c r="C89" s="55" t="s">
        <v>213</v>
      </c>
      <c r="D89" s="55">
        <f>[1]Amortizaciones!D31</f>
        <v>4877535</v>
      </c>
      <c r="E89" s="21" t="s">
        <v>305</v>
      </c>
      <c r="F89" s="19" t="s">
        <v>306</v>
      </c>
      <c r="G89" s="20"/>
    </row>
    <row r="90" spans="2:7" x14ac:dyDescent="0.25">
      <c r="B90" s="54" t="s">
        <v>307</v>
      </c>
      <c r="C90" s="55" t="s">
        <v>229</v>
      </c>
      <c r="D90" s="55">
        <f>[1]Amortizaciones!D32</f>
        <v>0</v>
      </c>
      <c r="E90" s="21" t="s">
        <v>308</v>
      </c>
      <c r="F90" s="19" t="s">
        <v>309</v>
      </c>
      <c r="G90" s="20"/>
    </row>
    <row r="91" spans="2:7" x14ac:dyDescent="0.25">
      <c r="B91" s="54" t="s">
        <v>310</v>
      </c>
      <c r="C91" s="55" t="s">
        <v>311</v>
      </c>
      <c r="D91" s="55">
        <f>SUM(D80:D90)</f>
        <v>69153917</v>
      </c>
      <c r="E91" s="52" t="s">
        <v>312</v>
      </c>
      <c r="F91" s="19" t="s">
        <v>313</v>
      </c>
      <c r="G91" s="20"/>
    </row>
    <row r="92" spans="2:7" x14ac:dyDescent="0.25">
      <c r="B92" s="54"/>
      <c r="C92" s="57" t="s">
        <v>314</v>
      </c>
      <c r="D92" s="55">
        <f>D77+D91</f>
        <v>241083792</v>
      </c>
      <c r="E92" s="52" t="s">
        <v>315</v>
      </c>
      <c r="F92" s="19" t="s">
        <v>316</v>
      </c>
      <c r="G92" s="20"/>
    </row>
    <row r="93" spans="2:7" x14ac:dyDescent="0.25">
      <c r="E93" s="52" t="s">
        <v>317</v>
      </c>
      <c r="F93" s="19" t="s">
        <v>318</v>
      </c>
      <c r="G93" s="20">
        <v>3176284</v>
      </c>
    </row>
    <row r="94" spans="2:7" x14ac:dyDescent="0.25">
      <c r="E94" s="52" t="s">
        <v>319</v>
      </c>
      <c r="F94" s="19" t="s">
        <v>320</v>
      </c>
      <c r="G94" s="27">
        <v>10392065</v>
      </c>
    </row>
    <row r="95" spans="2:7" ht="13.5" customHeight="1" thickBot="1" x14ac:dyDescent="0.3">
      <c r="E95" s="21"/>
      <c r="F95" s="28" t="s">
        <v>321</v>
      </c>
      <c r="G95" s="29">
        <f>SUM(G80:G94)</f>
        <v>280833006</v>
      </c>
    </row>
    <row r="96" spans="2:7" x14ac:dyDescent="0.25">
      <c r="E96" s="52" t="s">
        <v>322</v>
      </c>
      <c r="F96" s="22" t="s">
        <v>323</v>
      </c>
      <c r="G96" s="23">
        <v>17449259</v>
      </c>
    </row>
    <row r="97" spans="2:7" x14ac:dyDescent="0.25">
      <c r="E97" s="52" t="s">
        <v>324</v>
      </c>
      <c r="F97" s="19" t="s">
        <v>325</v>
      </c>
      <c r="G97" s="20">
        <v>36122072</v>
      </c>
    </row>
    <row r="98" spans="2:7" x14ac:dyDescent="0.25">
      <c r="E98" s="52" t="s">
        <v>326</v>
      </c>
      <c r="F98" s="19" t="s">
        <v>327</v>
      </c>
      <c r="G98" s="20">
        <v>917861</v>
      </c>
    </row>
    <row r="99" spans="2:7" x14ac:dyDescent="0.25">
      <c r="E99" s="52" t="s">
        <v>328</v>
      </c>
      <c r="F99" s="19" t="s">
        <v>329</v>
      </c>
      <c r="G99" s="20">
        <v>60734410</v>
      </c>
    </row>
    <row r="100" spans="2:7" x14ac:dyDescent="0.25">
      <c r="E100" s="52" t="s">
        <v>330</v>
      </c>
      <c r="F100" s="19" t="s">
        <v>331</v>
      </c>
      <c r="G100" s="27">
        <v>4947746</v>
      </c>
    </row>
    <row r="101" spans="2:7" ht="15.75" thickBot="1" x14ac:dyDescent="0.3">
      <c r="E101" s="21"/>
      <c r="F101" s="28" t="s">
        <v>332</v>
      </c>
      <c r="G101" s="29">
        <f>SUM(G96:G100)</f>
        <v>120171348</v>
      </c>
    </row>
    <row r="102" spans="2:7" ht="15.75" thickBot="1" x14ac:dyDescent="0.3">
      <c r="E102" s="52"/>
      <c r="F102" s="59" t="s">
        <v>333</v>
      </c>
      <c r="G102" s="60">
        <f>[1]Amortizaciones!D19</f>
        <v>171929875</v>
      </c>
    </row>
    <row r="103" spans="2:7" x14ac:dyDescent="0.25">
      <c r="E103" s="52" t="s">
        <v>334</v>
      </c>
      <c r="F103" s="19" t="s">
        <v>335</v>
      </c>
      <c r="G103" s="23"/>
    </row>
    <row r="104" spans="2:7" x14ac:dyDescent="0.25">
      <c r="E104" s="52" t="s">
        <v>336</v>
      </c>
      <c r="F104" s="61" t="s">
        <v>337</v>
      </c>
      <c r="G104" s="20"/>
    </row>
    <row r="105" spans="2:7" ht="15.75" thickBot="1" x14ac:dyDescent="0.3">
      <c r="E105" s="21"/>
      <c r="F105" s="28" t="s">
        <v>338</v>
      </c>
      <c r="G105" s="29">
        <f>SUM(G103:G104)</f>
        <v>0</v>
      </c>
    </row>
    <row r="106" spans="2:7" ht="13.7" customHeight="1" thickBot="1" x14ac:dyDescent="0.3">
      <c r="B106" s="6"/>
      <c r="C106" s="62"/>
      <c r="D106" s="62"/>
      <c r="E106" s="52"/>
      <c r="F106" s="48" t="s">
        <v>339</v>
      </c>
      <c r="G106" s="49">
        <f>G19+G27+G32+G48+G57+G79+G95+G101+G102+G105</f>
        <v>8939443317</v>
      </c>
    </row>
    <row r="107" spans="2:7" ht="13.7" customHeight="1" x14ac:dyDescent="0.25">
      <c r="B107" s="6"/>
      <c r="C107" s="62"/>
      <c r="D107" s="62"/>
      <c r="E107" s="21"/>
      <c r="F107" s="63"/>
      <c r="G107" s="64"/>
    </row>
    <row r="108" spans="2:7" ht="13.7" customHeight="1" thickBot="1" x14ac:dyDescent="0.3">
      <c r="B108" s="6"/>
      <c r="C108" s="62"/>
      <c r="D108" s="62"/>
      <c r="E108" s="21"/>
    </row>
    <row r="109" spans="2:7" ht="13.7" customHeight="1" thickBot="1" x14ac:dyDescent="0.3">
      <c r="B109" s="6"/>
      <c r="C109" s="62"/>
      <c r="D109" s="62"/>
      <c r="E109" s="21"/>
      <c r="F109" s="13" t="s">
        <v>340</v>
      </c>
      <c r="G109" s="65">
        <f>D61-G106</f>
        <v>1359193708</v>
      </c>
    </row>
    <row r="110" spans="2:7" ht="13.7" customHeight="1" thickBot="1" x14ac:dyDescent="0.3">
      <c r="B110" s="6"/>
      <c r="C110" s="62"/>
      <c r="D110" s="62"/>
      <c r="E110" s="21"/>
    </row>
    <row r="111" spans="2:7" ht="13.7" customHeight="1" thickBot="1" x14ac:dyDescent="0.3">
      <c r="C111" s="48" t="s">
        <v>270</v>
      </c>
      <c r="D111" s="17">
        <f>+[1]E.S.P.!D6</f>
        <v>2020</v>
      </c>
      <c r="E111" s="52"/>
      <c r="F111" s="48" t="s">
        <v>341</v>
      </c>
      <c r="G111" s="17">
        <f>+[1]E.S.P.!D6</f>
        <v>2020</v>
      </c>
    </row>
    <row r="112" spans="2:7" ht="13.7" customHeight="1" x14ac:dyDescent="0.25">
      <c r="B112" s="6" t="s">
        <v>342</v>
      </c>
      <c r="C112" s="66" t="s">
        <v>343</v>
      </c>
      <c r="D112" s="67">
        <v>58643062</v>
      </c>
      <c r="E112" s="21" t="s">
        <v>344</v>
      </c>
      <c r="F112" s="66" t="s">
        <v>309</v>
      </c>
      <c r="G112" s="67"/>
    </row>
    <row r="113" spans="2:7" ht="13.7" customHeight="1" x14ac:dyDescent="0.25">
      <c r="B113" s="6" t="s">
        <v>345</v>
      </c>
      <c r="C113" s="68" t="s">
        <v>346</v>
      </c>
      <c r="D113" s="69">
        <v>418189528</v>
      </c>
      <c r="E113" s="21" t="s">
        <v>347</v>
      </c>
      <c r="F113" s="68" t="s">
        <v>348</v>
      </c>
      <c r="G113" s="69"/>
    </row>
    <row r="114" spans="2:7" ht="13.7" customHeight="1" x14ac:dyDescent="0.25">
      <c r="B114" s="6" t="s">
        <v>349</v>
      </c>
      <c r="C114" s="68" t="s">
        <v>48</v>
      </c>
      <c r="D114" s="69"/>
      <c r="E114" s="21" t="s">
        <v>350</v>
      </c>
      <c r="F114" s="68" t="s">
        <v>351</v>
      </c>
      <c r="G114" s="69">
        <v>183947321</v>
      </c>
    </row>
    <row r="115" spans="2:7" ht="13.7" customHeight="1" x14ac:dyDescent="0.25">
      <c r="B115" s="6" t="s">
        <v>352</v>
      </c>
      <c r="C115" s="68" t="s">
        <v>353</v>
      </c>
      <c r="D115" s="69">
        <v>2768440</v>
      </c>
      <c r="E115" s="21" t="s">
        <v>354</v>
      </c>
      <c r="F115" s="68" t="s">
        <v>355</v>
      </c>
      <c r="G115" s="69"/>
    </row>
    <row r="116" spans="2:7" ht="13.7" customHeight="1" x14ac:dyDescent="0.25">
      <c r="B116" s="6" t="s">
        <v>356</v>
      </c>
      <c r="C116" s="68" t="s">
        <v>357</v>
      </c>
      <c r="D116" s="69">
        <v>26139814</v>
      </c>
      <c r="E116" s="21" t="s">
        <v>358</v>
      </c>
      <c r="F116" s="68" t="s">
        <v>359</v>
      </c>
      <c r="G116" s="69">
        <v>42560069</v>
      </c>
    </row>
    <row r="117" spans="2:7" ht="13.7" customHeight="1" x14ac:dyDescent="0.25">
      <c r="B117" s="6" t="s">
        <v>360</v>
      </c>
      <c r="C117" s="68" t="s">
        <v>361</v>
      </c>
      <c r="D117" s="69"/>
      <c r="E117" s="21" t="s">
        <v>362</v>
      </c>
      <c r="F117" s="68" t="s">
        <v>363</v>
      </c>
      <c r="G117" s="69"/>
    </row>
    <row r="118" spans="2:7" ht="13.7" customHeight="1" x14ac:dyDescent="0.25">
      <c r="B118" s="6" t="s">
        <v>364</v>
      </c>
      <c r="C118" s="68" t="s">
        <v>365</v>
      </c>
      <c r="D118" s="69"/>
      <c r="E118" s="21" t="s">
        <v>366</v>
      </c>
      <c r="F118" s="68" t="s">
        <v>367</v>
      </c>
      <c r="G118" s="69"/>
    </row>
    <row r="119" spans="2:7" ht="13.7" customHeight="1" x14ac:dyDescent="0.25">
      <c r="B119" s="6" t="s">
        <v>368</v>
      </c>
      <c r="C119" s="68" t="s">
        <v>369</v>
      </c>
      <c r="D119" s="69">
        <v>7934780</v>
      </c>
      <c r="E119" s="21" t="s">
        <v>370</v>
      </c>
      <c r="F119" s="68" t="s">
        <v>371</v>
      </c>
      <c r="G119" s="69"/>
    </row>
    <row r="120" spans="2:7" ht="13.7" customHeight="1" x14ac:dyDescent="0.25">
      <c r="B120" s="6" t="s">
        <v>372</v>
      </c>
      <c r="C120" s="68" t="s">
        <v>373</v>
      </c>
      <c r="D120" s="69"/>
      <c r="E120" s="21" t="s">
        <v>374</v>
      </c>
      <c r="F120" s="68" t="s">
        <v>375</v>
      </c>
      <c r="G120" s="69"/>
    </row>
    <row r="121" spans="2:7" ht="13.7" customHeight="1" x14ac:dyDescent="0.25">
      <c r="B121" s="6" t="s">
        <v>376</v>
      </c>
      <c r="C121" s="19" t="s">
        <v>377</v>
      </c>
      <c r="D121" s="69">
        <v>40909753</v>
      </c>
      <c r="E121" s="21" t="s">
        <v>378</v>
      </c>
      <c r="F121" s="68" t="s">
        <v>379</v>
      </c>
      <c r="G121" s="69">
        <f>88356552</f>
        <v>88356552</v>
      </c>
    </row>
    <row r="122" spans="2:7" ht="13.7" customHeight="1" thickBot="1" x14ac:dyDescent="0.3">
      <c r="B122" s="6"/>
      <c r="C122" s="28" t="s">
        <v>380</v>
      </c>
      <c r="D122" s="37">
        <f>SUM(D112:D121)</f>
        <v>554585377</v>
      </c>
      <c r="E122" s="21" t="s">
        <v>381</v>
      </c>
      <c r="F122" s="19" t="s">
        <v>382</v>
      </c>
      <c r="G122" s="20">
        <v>10946492</v>
      </c>
    </row>
    <row r="123" spans="2:7" ht="13.7" customHeight="1" thickBot="1" x14ac:dyDescent="0.3">
      <c r="B123" s="6" t="s">
        <v>383</v>
      </c>
      <c r="C123" s="70" t="s">
        <v>309</v>
      </c>
      <c r="D123" s="67">
        <v>60427222</v>
      </c>
      <c r="E123" s="52"/>
      <c r="F123" s="28" t="s">
        <v>384</v>
      </c>
      <c r="G123" s="37">
        <f>SUM(G112:G122)</f>
        <v>325810434</v>
      </c>
    </row>
    <row r="124" spans="2:7" ht="13.7" customHeight="1" x14ac:dyDescent="0.25">
      <c r="B124" s="6" t="s">
        <v>385</v>
      </c>
      <c r="C124" s="68" t="s">
        <v>313</v>
      </c>
      <c r="D124" s="69">
        <v>428997315</v>
      </c>
      <c r="E124" s="21" t="s">
        <v>386</v>
      </c>
      <c r="F124" s="68" t="s">
        <v>387</v>
      </c>
      <c r="G124" s="69">
        <v>90700638</v>
      </c>
    </row>
    <row r="125" spans="2:7" ht="13.7" customHeight="1" x14ac:dyDescent="0.25">
      <c r="B125" s="6" t="s">
        <v>388</v>
      </c>
      <c r="C125" s="19" t="s">
        <v>389</v>
      </c>
      <c r="D125" s="69">
        <v>20468801</v>
      </c>
      <c r="E125" s="21" t="s">
        <v>390</v>
      </c>
      <c r="F125" s="68" t="s">
        <v>391</v>
      </c>
      <c r="G125" s="69"/>
    </row>
    <row r="126" spans="2:7" ht="13.7" customHeight="1" thickBot="1" x14ac:dyDescent="0.3">
      <c r="B126" s="6"/>
      <c r="C126" s="28" t="s">
        <v>392</v>
      </c>
      <c r="D126" s="37">
        <f>SUM(D123:D125)</f>
        <v>509893338</v>
      </c>
      <c r="E126" s="21" t="s">
        <v>393</v>
      </c>
      <c r="F126" s="68" t="s">
        <v>394</v>
      </c>
      <c r="G126" s="69">
        <v>73172761</v>
      </c>
    </row>
    <row r="127" spans="2:7" ht="13.7" customHeight="1" x14ac:dyDescent="0.25">
      <c r="B127" s="6" t="s">
        <v>395</v>
      </c>
      <c r="C127" s="66" t="s">
        <v>274</v>
      </c>
      <c r="D127" s="67"/>
      <c r="E127" s="21" t="s">
        <v>396</v>
      </c>
      <c r="F127" s="68" t="s">
        <v>397</v>
      </c>
      <c r="G127" s="69"/>
    </row>
    <row r="128" spans="2:7" ht="13.7" customHeight="1" x14ac:dyDescent="0.25">
      <c r="B128" s="6" t="s">
        <v>398</v>
      </c>
      <c r="C128" s="68" t="s">
        <v>399</v>
      </c>
      <c r="D128" s="69">
        <v>11122229</v>
      </c>
      <c r="E128" s="21" t="s">
        <v>400</v>
      </c>
      <c r="F128" s="68" t="s">
        <v>401</v>
      </c>
      <c r="G128" s="69">
        <v>5063119</v>
      </c>
    </row>
    <row r="129" spans="2:7" ht="13.7" customHeight="1" x14ac:dyDescent="0.25">
      <c r="B129" s="6" t="s">
        <v>402</v>
      </c>
      <c r="C129" s="68" t="s">
        <v>277</v>
      </c>
      <c r="D129" s="69"/>
      <c r="E129" s="21" t="s">
        <v>403</v>
      </c>
      <c r="F129" s="68" t="s">
        <v>404</v>
      </c>
      <c r="G129" s="69"/>
    </row>
    <row r="130" spans="2:7" ht="13.7" customHeight="1" x14ac:dyDescent="0.25">
      <c r="B130" s="6" t="s">
        <v>405</v>
      </c>
      <c r="C130" s="68" t="s">
        <v>283</v>
      </c>
      <c r="D130" s="69"/>
      <c r="E130" s="21" t="s">
        <v>406</v>
      </c>
      <c r="F130" s="68" t="s">
        <v>407</v>
      </c>
      <c r="G130" s="69"/>
    </row>
    <row r="131" spans="2:7" ht="13.7" customHeight="1" x14ac:dyDescent="0.25">
      <c r="B131" s="6" t="s">
        <v>408</v>
      </c>
      <c r="C131" s="68" t="s">
        <v>287</v>
      </c>
      <c r="D131" s="69"/>
      <c r="E131" s="21" t="s">
        <v>409</v>
      </c>
      <c r="F131" s="68" t="s">
        <v>410</v>
      </c>
      <c r="G131" s="69"/>
    </row>
    <row r="132" spans="2:7" ht="13.7" customHeight="1" x14ac:dyDescent="0.25">
      <c r="B132" s="6" t="s">
        <v>411</v>
      </c>
      <c r="C132" s="68" t="s">
        <v>291</v>
      </c>
      <c r="D132" s="69"/>
      <c r="E132" s="21" t="s">
        <v>412</v>
      </c>
      <c r="F132" s="68" t="s">
        <v>413</v>
      </c>
      <c r="G132" s="69"/>
    </row>
    <row r="133" spans="2:7" ht="13.7" customHeight="1" x14ac:dyDescent="0.25">
      <c r="B133" s="6" t="s">
        <v>414</v>
      </c>
      <c r="C133" s="68" t="s">
        <v>295</v>
      </c>
      <c r="D133" s="69"/>
      <c r="E133" s="21" t="s">
        <v>415</v>
      </c>
      <c r="F133" s="68" t="s">
        <v>416</v>
      </c>
      <c r="G133" s="69"/>
    </row>
    <row r="134" spans="2:7" ht="13.7" customHeight="1" x14ac:dyDescent="0.25">
      <c r="B134" s="6" t="s">
        <v>417</v>
      </c>
      <c r="C134" s="68" t="s">
        <v>418</v>
      </c>
      <c r="D134" s="69">
        <v>89047585</v>
      </c>
      <c r="E134" s="21" t="s">
        <v>419</v>
      </c>
      <c r="F134" s="68" t="s">
        <v>420</v>
      </c>
      <c r="G134" s="69"/>
    </row>
    <row r="135" spans="2:7" ht="13.7" customHeight="1" x14ac:dyDescent="0.25">
      <c r="B135" s="6" t="s">
        <v>421</v>
      </c>
      <c r="C135" s="68" t="s">
        <v>422</v>
      </c>
      <c r="D135" s="69"/>
      <c r="E135" s="21" t="s">
        <v>423</v>
      </c>
      <c r="F135" s="68" t="s">
        <v>424</v>
      </c>
      <c r="G135" s="69"/>
    </row>
    <row r="136" spans="2:7" ht="13.7" customHeight="1" x14ac:dyDescent="0.25">
      <c r="B136" s="6" t="s">
        <v>425</v>
      </c>
      <c r="C136" s="68" t="s">
        <v>318</v>
      </c>
      <c r="D136" s="69">
        <v>11113731</v>
      </c>
      <c r="E136" s="21" t="s">
        <v>426</v>
      </c>
      <c r="F136" s="68" t="s">
        <v>427</v>
      </c>
      <c r="G136" s="69">
        <v>1847457</v>
      </c>
    </row>
    <row r="137" spans="2:7" ht="13.7" customHeight="1" x14ac:dyDescent="0.25">
      <c r="B137" s="6" t="s">
        <v>428</v>
      </c>
      <c r="C137" s="19" t="s">
        <v>320</v>
      </c>
      <c r="D137" s="71">
        <v>5836980</v>
      </c>
      <c r="E137" s="21" t="s">
        <v>429</v>
      </c>
      <c r="F137" s="68" t="s">
        <v>430</v>
      </c>
      <c r="G137" s="69">
        <v>191615837</v>
      </c>
    </row>
    <row r="138" spans="2:7" ht="13.7" customHeight="1" thickBot="1" x14ac:dyDescent="0.3">
      <c r="B138" s="6"/>
      <c r="C138" s="28" t="s">
        <v>321</v>
      </c>
      <c r="D138" s="37">
        <f>SUM(D127:D137)</f>
        <v>117120525</v>
      </c>
      <c r="E138" s="21" t="s">
        <v>431</v>
      </c>
      <c r="F138" s="19" t="s">
        <v>432</v>
      </c>
      <c r="G138" s="20">
        <v>16395237</v>
      </c>
    </row>
    <row r="139" spans="2:7" ht="13.7" customHeight="1" thickBot="1" x14ac:dyDescent="0.3">
      <c r="B139" s="6" t="s">
        <v>433</v>
      </c>
      <c r="C139" s="66" t="s">
        <v>327</v>
      </c>
      <c r="D139" s="67"/>
      <c r="E139" s="7"/>
      <c r="F139" s="28" t="s">
        <v>434</v>
      </c>
      <c r="G139" s="37">
        <f>SUM(G124:G138)</f>
        <v>378795049</v>
      </c>
    </row>
    <row r="140" spans="2:7" ht="13.7" customHeight="1" thickBot="1" x14ac:dyDescent="0.3">
      <c r="B140" s="6" t="s">
        <v>435</v>
      </c>
      <c r="C140" s="68" t="s">
        <v>329</v>
      </c>
      <c r="D140" s="69"/>
      <c r="E140" s="7"/>
      <c r="F140" s="48" t="s">
        <v>436</v>
      </c>
      <c r="G140" s="72">
        <f>G123-G139</f>
        <v>-52984615</v>
      </c>
    </row>
    <row r="141" spans="2:7" ht="13.7" customHeight="1" x14ac:dyDescent="0.25">
      <c r="B141" s="6" t="s">
        <v>437</v>
      </c>
      <c r="C141" s="19" t="s">
        <v>331</v>
      </c>
      <c r="D141" s="71"/>
      <c r="E141" s="73"/>
    </row>
    <row r="142" spans="2:7" ht="13.7" customHeight="1" thickBot="1" x14ac:dyDescent="0.3">
      <c r="B142" s="6"/>
      <c r="C142" s="28" t="s">
        <v>332</v>
      </c>
      <c r="D142" s="37">
        <f>SUM(D139:D141)</f>
        <v>0</v>
      </c>
      <c r="E142" s="73"/>
    </row>
    <row r="143" spans="2:7" ht="13.7" customHeight="1" thickBot="1" x14ac:dyDescent="0.3">
      <c r="B143" s="6"/>
      <c r="C143" s="59" t="s">
        <v>438</v>
      </c>
      <c r="D143" s="74">
        <f>[1]Amortizaciones!D33</f>
        <v>69153917</v>
      </c>
      <c r="E143" s="21"/>
      <c r="F143" s="48" t="s">
        <v>439</v>
      </c>
      <c r="G143" s="17">
        <f>+[1]E.S.P.!D6</f>
        <v>2020</v>
      </c>
    </row>
    <row r="144" spans="2:7" ht="13.7" customHeight="1" x14ac:dyDescent="0.25">
      <c r="B144" s="6" t="s">
        <v>440</v>
      </c>
      <c r="C144" s="66" t="s">
        <v>441</v>
      </c>
      <c r="D144" s="67"/>
      <c r="E144" s="21" t="s">
        <v>442</v>
      </c>
      <c r="F144" s="66" t="s">
        <v>443</v>
      </c>
      <c r="G144" s="67">
        <v>3592127</v>
      </c>
    </row>
    <row r="145" spans="2:7" ht="13.7" customHeight="1" x14ac:dyDescent="0.25">
      <c r="B145" s="6" t="s">
        <v>444</v>
      </c>
      <c r="C145" s="68" t="s">
        <v>445</v>
      </c>
      <c r="D145" s="69"/>
      <c r="E145" s="21" t="s">
        <v>446</v>
      </c>
      <c r="F145" s="68" t="s">
        <v>447</v>
      </c>
      <c r="G145" s="69">
        <v>15316436</v>
      </c>
    </row>
    <row r="146" spans="2:7" ht="13.7" customHeight="1" x14ac:dyDescent="0.25">
      <c r="B146" s="6" t="s">
        <v>448</v>
      </c>
      <c r="C146" s="75" t="s">
        <v>449</v>
      </c>
      <c r="D146" s="69"/>
      <c r="E146" s="21" t="s">
        <v>450</v>
      </c>
      <c r="F146" s="68" t="s">
        <v>451</v>
      </c>
      <c r="G146" s="69">
        <v>23301207</v>
      </c>
    </row>
    <row r="147" spans="2:7" ht="13.7" customHeight="1" x14ac:dyDescent="0.25">
      <c r="B147" s="6" t="s">
        <v>452</v>
      </c>
      <c r="C147" s="19" t="s">
        <v>453</v>
      </c>
      <c r="D147" s="71"/>
      <c r="E147" s="21" t="s">
        <v>454</v>
      </c>
      <c r="F147" s="68" t="s">
        <v>455</v>
      </c>
      <c r="G147" s="69"/>
    </row>
    <row r="148" spans="2:7" ht="13.7" customHeight="1" thickBot="1" x14ac:dyDescent="0.3">
      <c r="B148" s="6"/>
      <c r="C148" s="28" t="s">
        <v>456</v>
      </c>
      <c r="D148" s="37">
        <f>SUM(D144:D147)</f>
        <v>0</v>
      </c>
      <c r="E148" s="21" t="s">
        <v>457</v>
      </c>
      <c r="F148" s="68" t="s">
        <v>458</v>
      </c>
      <c r="G148" s="69"/>
    </row>
    <row r="149" spans="2:7" ht="13.7" customHeight="1" x14ac:dyDescent="0.25">
      <c r="B149" s="6" t="s">
        <v>459</v>
      </c>
      <c r="C149" s="66" t="s">
        <v>460</v>
      </c>
      <c r="D149" s="67"/>
      <c r="E149" s="21" t="s">
        <v>461</v>
      </c>
      <c r="F149" s="68" t="s">
        <v>462</v>
      </c>
      <c r="G149" s="69"/>
    </row>
    <row r="150" spans="2:7" ht="13.7" customHeight="1" x14ac:dyDescent="0.25">
      <c r="B150" s="6" t="s">
        <v>463</v>
      </c>
      <c r="C150" s="68" t="s">
        <v>464</v>
      </c>
      <c r="D150" s="69">
        <f>65825354+34021725</f>
        <v>99847079</v>
      </c>
      <c r="E150" s="21" t="s">
        <v>465</v>
      </c>
      <c r="F150" s="68" t="s">
        <v>466</v>
      </c>
      <c r="G150" s="69"/>
    </row>
    <row r="151" spans="2:7" ht="13.7" customHeight="1" x14ac:dyDescent="0.25">
      <c r="B151" s="6" t="s">
        <v>467</v>
      </c>
      <c r="C151" s="19" t="s">
        <v>468</v>
      </c>
      <c r="D151" s="71">
        <v>1477357</v>
      </c>
      <c r="E151" s="21" t="s">
        <v>469</v>
      </c>
      <c r="F151" s="68" t="s">
        <v>470</v>
      </c>
      <c r="G151" s="69">
        <v>239753399</v>
      </c>
    </row>
    <row r="152" spans="2:7" ht="13.7" customHeight="1" thickBot="1" x14ac:dyDescent="0.3">
      <c r="B152" s="6"/>
      <c r="C152" s="28" t="s">
        <v>471</v>
      </c>
      <c r="D152" s="37">
        <f>SUM(D149:D151)</f>
        <v>101324436</v>
      </c>
      <c r="E152" s="21" t="s">
        <v>472</v>
      </c>
      <c r="F152" s="68" t="s">
        <v>473</v>
      </c>
      <c r="G152" s="69"/>
    </row>
    <row r="153" spans="2:7" ht="13.7" customHeight="1" thickBot="1" x14ac:dyDescent="0.3">
      <c r="B153" s="6"/>
      <c r="C153" s="48" t="s">
        <v>474</v>
      </c>
      <c r="D153" s="76">
        <f>D122+D126+D138+D142+D143+D148+D152</f>
        <v>1352077593</v>
      </c>
      <c r="E153" s="21" t="s">
        <v>475</v>
      </c>
      <c r="F153" s="19" t="s">
        <v>476</v>
      </c>
      <c r="G153" s="20">
        <v>7374382</v>
      </c>
    </row>
    <row r="154" spans="2:7" ht="13.7" customHeight="1" thickBot="1" x14ac:dyDescent="0.3">
      <c r="B154" s="6"/>
      <c r="E154" s="21"/>
      <c r="F154" s="28" t="s">
        <v>477</v>
      </c>
      <c r="G154" s="37">
        <f>SUM(G144:G153)</f>
        <v>289337551</v>
      </c>
    </row>
    <row r="155" spans="2:7" ht="13.7" customHeight="1" thickBot="1" x14ac:dyDescent="0.3">
      <c r="B155" s="6"/>
      <c r="C155" s="77" t="s">
        <v>478</v>
      </c>
      <c r="D155" s="65">
        <f>G109-D153</f>
        <v>7116115</v>
      </c>
      <c r="E155" s="21" t="s">
        <v>479</v>
      </c>
      <c r="F155" s="66" t="s">
        <v>480</v>
      </c>
      <c r="G155" s="67">
        <v>42597020</v>
      </c>
    </row>
    <row r="156" spans="2:7" ht="13.7" customHeight="1" x14ac:dyDescent="0.25">
      <c r="E156" s="21" t="s">
        <v>481</v>
      </c>
      <c r="F156" s="68" t="s">
        <v>482</v>
      </c>
      <c r="G156" s="69">
        <v>15961444</v>
      </c>
    </row>
    <row r="157" spans="2:7" ht="13.7" customHeight="1" x14ac:dyDescent="0.25">
      <c r="E157" s="21" t="s">
        <v>483</v>
      </c>
      <c r="F157" s="68" t="s">
        <v>484</v>
      </c>
      <c r="G157" s="69">
        <v>13012723</v>
      </c>
    </row>
    <row r="158" spans="2:7" ht="13.7" customHeight="1" x14ac:dyDescent="0.25">
      <c r="E158" s="21" t="s">
        <v>485</v>
      </c>
      <c r="F158" s="68" t="s">
        <v>486</v>
      </c>
      <c r="G158" s="69"/>
    </row>
    <row r="159" spans="2:7" ht="13.7" customHeight="1" x14ac:dyDescent="0.25">
      <c r="E159" s="21" t="s">
        <v>487</v>
      </c>
      <c r="F159" s="68" t="s">
        <v>488</v>
      </c>
      <c r="G159" s="69"/>
    </row>
    <row r="160" spans="2:7" ht="13.7" customHeight="1" x14ac:dyDescent="0.25">
      <c r="E160" s="21" t="s">
        <v>489</v>
      </c>
      <c r="F160" s="68" t="s">
        <v>490</v>
      </c>
      <c r="G160" s="69"/>
    </row>
    <row r="161" spans="5:7" ht="13.7" customHeight="1" x14ac:dyDescent="0.25">
      <c r="E161" s="21" t="s">
        <v>491</v>
      </c>
      <c r="F161" s="68" t="s">
        <v>492</v>
      </c>
      <c r="G161" s="69">
        <v>296166429</v>
      </c>
    </row>
    <row r="162" spans="5:7" ht="13.7" customHeight="1" x14ac:dyDescent="0.25">
      <c r="E162" s="21" t="s">
        <v>493</v>
      </c>
      <c r="F162" s="68" t="s">
        <v>494</v>
      </c>
      <c r="G162" s="69"/>
    </row>
    <row r="163" spans="5:7" ht="13.7" customHeight="1" x14ac:dyDescent="0.25">
      <c r="E163" s="21" t="s">
        <v>495</v>
      </c>
      <c r="F163" s="68" t="s">
        <v>496</v>
      </c>
      <c r="G163" s="69"/>
    </row>
    <row r="164" spans="5:7" ht="13.7" customHeight="1" x14ac:dyDescent="0.25">
      <c r="E164" s="21" t="s">
        <v>497</v>
      </c>
      <c r="F164" s="68" t="s">
        <v>498</v>
      </c>
      <c r="G164" s="69"/>
    </row>
    <row r="165" spans="5:7" ht="13.7" customHeight="1" x14ac:dyDescent="0.25">
      <c r="E165" s="21" t="s">
        <v>499</v>
      </c>
      <c r="F165" s="68" t="s">
        <v>500</v>
      </c>
      <c r="G165" s="69"/>
    </row>
    <row r="166" spans="5:7" ht="13.7" customHeight="1" x14ac:dyDescent="0.25">
      <c r="E166" s="21" t="s">
        <v>501</v>
      </c>
      <c r="F166" s="68" t="s">
        <v>502</v>
      </c>
      <c r="G166" s="69">
        <v>42180842</v>
      </c>
    </row>
    <row r="167" spans="5:7" ht="13.7" customHeight="1" x14ac:dyDescent="0.25">
      <c r="E167" s="21" t="s">
        <v>503</v>
      </c>
      <c r="F167" s="19" t="s">
        <v>504</v>
      </c>
      <c r="G167" s="20">
        <v>31913715</v>
      </c>
    </row>
    <row r="168" spans="5:7" ht="13.7" customHeight="1" thickBot="1" x14ac:dyDescent="0.3">
      <c r="E168" s="21"/>
      <c r="F168" s="28" t="s">
        <v>505</v>
      </c>
      <c r="G168" s="37">
        <f>SUM(G155:G167)</f>
        <v>441832173</v>
      </c>
    </row>
    <row r="169" spans="5:7" ht="13.7" customHeight="1" thickBot="1" x14ac:dyDescent="0.3">
      <c r="E169" s="21"/>
      <c r="F169" s="48" t="s">
        <v>506</v>
      </c>
      <c r="G169" s="72">
        <f>G154-G168</f>
        <v>-152494622</v>
      </c>
    </row>
    <row r="170" spans="5:7" ht="13.7" customHeight="1" thickBot="1" x14ac:dyDescent="0.3">
      <c r="E170" s="21"/>
      <c r="F170" s="78"/>
      <c r="G170" s="78"/>
    </row>
    <row r="171" spans="5:7" ht="13.7" customHeight="1" thickBot="1" x14ac:dyDescent="0.3">
      <c r="E171" s="21"/>
      <c r="F171" s="77" t="s">
        <v>507</v>
      </c>
      <c r="G171" s="79"/>
    </row>
    <row r="172" spans="5:7" ht="13.7" customHeight="1" thickBot="1" x14ac:dyDescent="0.3">
      <c r="E172" s="21"/>
      <c r="F172" s="80"/>
      <c r="G172" s="81">
        <f>+D155+G140+G169</f>
        <v>-198363122</v>
      </c>
    </row>
    <row r="173" spans="5:7" ht="13.7" customHeight="1" thickBot="1" x14ac:dyDescent="0.3">
      <c r="E173" s="21"/>
      <c r="F173" s="5"/>
      <c r="G173" s="5"/>
    </row>
    <row r="174" spans="5:7" ht="13.7" customHeight="1" thickBot="1" x14ac:dyDescent="0.3">
      <c r="E174" s="21"/>
      <c r="F174" s="48" t="s">
        <v>508</v>
      </c>
      <c r="G174" s="17">
        <f>+G143</f>
        <v>2020</v>
      </c>
    </row>
    <row r="175" spans="5:7" ht="13.7" customHeight="1" x14ac:dyDescent="0.25">
      <c r="E175" s="21"/>
      <c r="F175" s="66" t="s">
        <v>509</v>
      </c>
      <c r="G175" s="67"/>
    </row>
    <row r="176" spans="5:7" ht="13.7" customHeight="1" x14ac:dyDescent="0.25">
      <c r="E176" s="21"/>
      <c r="F176" s="68" t="s">
        <v>510</v>
      </c>
      <c r="G176" s="69"/>
    </row>
    <row r="177" spans="1:8" ht="13.7" customHeight="1" thickBot="1" x14ac:dyDescent="0.3">
      <c r="F177" s="68" t="s">
        <v>511</v>
      </c>
      <c r="G177" s="69"/>
    </row>
    <row r="178" spans="1:8" ht="13.7" customHeight="1" thickBot="1" x14ac:dyDescent="0.3">
      <c r="F178" s="48" t="s">
        <v>512</v>
      </c>
      <c r="G178" s="72">
        <f>SUM(G175:G177)</f>
        <v>0</v>
      </c>
    </row>
    <row r="179" spans="1:8" ht="13.7" customHeight="1" thickBot="1" x14ac:dyDescent="0.3"/>
    <row r="180" spans="1:8" ht="13.7" customHeight="1" thickBot="1" x14ac:dyDescent="0.3">
      <c r="F180" s="77" t="s">
        <v>513</v>
      </c>
      <c r="G180" s="79"/>
    </row>
    <row r="181" spans="1:8" ht="13.7" customHeight="1" thickBot="1" x14ac:dyDescent="0.3">
      <c r="F181" s="83"/>
      <c r="G181" s="81">
        <f>+G172+G178</f>
        <v>-198363122</v>
      </c>
    </row>
    <row r="182" spans="1:8" ht="13.7" customHeight="1" x14ac:dyDescent="0.25"/>
    <row r="183" spans="1:8" ht="13.5" customHeight="1" x14ac:dyDescent="0.25"/>
    <row r="184" spans="1:8" ht="13.7" customHeight="1" x14ac:dyDescent="0.25">
      <c r="E184" s="84"/>
      <c r="F184" s="84"/>
      <c r="G184" s="84"/>
      <c r="H184" s="84"/>
    </row>
    <row r="185" spans="1:8" s="84" customFormat="1" ht="13.7" customHeight="1" x14ac:dyDescent="0.25">
      <c r="A185" s="85"/>
      <c r="E185" s="82"/>
      <c r="F185" s="86"/>
      <c r="G185" s="86"/>
    </row>
    <row r="186" spans="1:8" s="84" customFormat="1" ht="12.75" x14ac:dyDescent="0.25">
      <c r="A186" s="85"/>
      <c r="E186" s="82"/>
      <c r="F186" s="86"/>
      <c r="G186" s="86"/>
    </row>
    <row r="187" spans="1:8" s="84" customFormat="1" ht="12.75" hidden="1" x14ac:dyDescent="0.25">
      <c r="A187" s="85"/>
      <c r="E187" s="82"/>
      <c r="F187" s="86"/>
      <c r="G187" s="86"/>
    </row>
    <row r="188" spans="1:8" s="84" customFormat="1" ht="12.75" hidden="1" x14ac:dyDescent="0.25">
      <c r="A188" s="85"/>
      <c r="E188" s="82"/>
      <c r="F188" s="86"/>
      <c r="G188" s="86"/>
    </row>
    <row r="189" spans="1:8" s="84" customFormat="1" ht="12.75" hidden="1" x14ac:dyDescent="0.25">
      <c r="A189" s="85"/>
      <c r="E189" s="82"/>
      <c r="F189" s="86"/>
      <c r="G189" s="86"/>
    </row>
    <row r="190" spans="1:8" s="84" customFormat="1" ht="12.75" hidden="1" x14ac:dyDescent="0.25">
      <c r="A190" s="85"/>
      <c r="E190" s="82"/>
      <c r="F190" s="86"/>
      <c r="G190" s="86"/>
    </row>
    <row r="191" spans="1:8" s="84" customFormat="1" ht="12.75" hidden="1" x14ac:dyDescent="0.25">
      <c r="A191" s="85"/>
      <c r="E191" s="82"/>
      <c r="F191" s="86"/>
      <c r="G191" s="86"/>
    </row>
    <row r="192" spans="1:8" s="84" customFormat="1" ht="12.75" hidden="1" x14ac:dyDescent="0.25">
      <c r="A192" s="85"/>
      <c r="E192" s="82"/>
      <c r="F192" s="86"/>
      <c r="G192" s="86"/>
    </row>
    <row r="193" spans="5:7" s="84" customFormat="1" ht="12.75" hidden="1" x14ac:dyDescent="0.25">
      <c r="E193" s="82"/>
      <c r="F193" s="86"/>
      <c r="G193" s="86"/>
    </row>
    <row r="194" spans="5:7" s="84" customFormat="1" ht="12.75" hidden="1" x14ac:dyDescent="0.25">
      <c r="E194" s="82"/>
      <c r="F194" s="86"/>
      <c r="G194" s="86"/>
    </row>
    <row r="195" spans="5:7" s="84" customFormat="1" ht="12.75" hidden="1" x14ac:dyDescent="0.25">
      <c r="E195" s="82"/>
      <c r="F195" s="86"/>
      <c r="G195" s="86"/>
    </row>
    <row r="196" spans="5:7" s="84" customFormat="1" ht="12.75" hidden="1" x14ac:dyDescent="0.25">
      <c r="E196" s="82"/>
      <c r="F196" s="86"/>
      <c r="G196" s="86"/>
    </row>
    <row r="197" spans="5:7" s="84" customFormat="1" ht="12.75" hidden="1" x14ac:dyDescent="0.25">
      <c r="E197" s="82"/>
      <c r="F197" s="86"/>
      <c r="G197" s="86"/>
    </row>
    <row r="198" spans="5:7" s="84" customFormat="1" ht="12.75" hidden="1" x14ac:dyDescent="0.25">
      <c r="E198" s="82"/>
      <c r="F198" s="86"/>
      <c r="G198" s="86"/>
    </row>
    <row r="199" spans="5:7" s="84" customFormat="1" ht="12.75" hidden="1" x14ac:dyDescent="0.25">
      <c r="E199" s="82"/>
      <c r="F199" s="86"/>
      <c r="G199" s="86"/>
    </row>
    <row r="200" spans="5:7" s="84" customFormat="1" ht="12.75" hidden="1" x14ac:dyDescent="0.25">
      <c r="E200" s="82"/>
      <c r="F200" s="86"/>
      <c r="G200" s="86"/>
    </row>
    <row r="201" spans="5:7" s="84" customFormat="1" ht="12.75" hidden="1" x14ac:dyDescent="0.25">
      <c r="E201" s="82"/>
      <c r="F201" s="86"/>
      <c r="G201" s="86"/>
    </row>
    <row r="202" spans="5:7" s="84" customFormat="1" ht="12.75" hidden="1" x14ac:dyDescent="0.25">
      <c r="E202" s="82"/>
      <c r="F202" s="86"/>
      <c r="G202" s="86"/>
    </row>
    <row r="203" spans="5:7" s="84" customFormat="1" ht="12.75" hidden="1" x14ac:dyDescent="0.25">
      <c r="E203" s="82"/>
      <c r="F203" s="86"/>
      <c r="G203" s="86"/>
    </row>
    <row r="204" spans="5:7" s="84" customFormat="1" ht="12.75" hidden="1" x14ac:dyDescent="0.25">
      <c r="E204" s="82"/>
      <c r="F204" s="86"/>
      <c r="G204" s="86"/>
    </row>
    <row r="205" spans="5:7" s="84" customFormat="1" ht="12.75" hidden="1" x14ac:dyDescent="0.25">
      <c r="E205" s="82"/>
      <c r="F205" s="86"/>
      <c r="G205" s="86"/>
    </row>
    <row r="206" spans="5:7" s="84" customFormat="1" ht="12.75" hidden="1" x14ac:dyDescent="0.25">
      <c r="E206" s="82"/>
      <c r="F206" s="86"/>
      <c r="G206" s="86"/>
    </row>
    <row r="207" spans="5:7" s="84" customFormat="1" ht="12.75" hidden="1" x14ac:dyDescent="0.25">
      <c r="E207" s="82"/>
      <c r="F207" s="86"/>
      <c r="G207" s="86"/>
    </row>
    <row r="208" spans="5:7" s="84" customFormat="1" ht="12.75" hidden="1" x14ac:dyDescent="0.25">
      <c r="E208" s="82"/>
      <c r="F208" s="86"/>
      <c r="G208" s="86"/>
    </row>
    <row r="209" spans="3:8" s="84" customFormat="1" ht="12.75" hidden="1" x14ac:dyDescent="0.25">
      <c r="E209" s="82"/>
      <c r="F209" s="86"/>
      <c r="G209" s="86"/>
    </row>
    <row r="210" spans="3:8" s="84" customFormat="1" ht="12.75" hidden="1" x14ac:dyDescent="0.25">
      <c r="E210" s="82"/>
      <c r="F210" s="86"/>
      <c r="G210" s="86"/>
    </row>
    <row r="211" spans="3:8" s="84" customFormat="1" ht="12.75" hidden="1" x14ac:dyDescent="0.25">
      <c r="E211" s="82"/>
      <c r="F211" s="86"/>
      <c r="G211" s="86"/>
    </row>
    <row r="212" spans="3:8" s="84" customFormat="1" ht="12.75" hidden="1" x14ac:dyDescent="0.25">
      <c r="E212" s="82"/>
      <c r="F212" s="86"/>
      <c r="G212" s="86"/>
    </row>
    <row r="213" spans="3:8" s="84" customFormat="1" ht="12.75" hidden="1" x14ac:dyDescent="0.25">
      <c r="E213" s="82"/>
      <c r="F213" s="86"/>
      <c r="G213" s="86"/>
    </row>
    <row r="214" spans="3:8" s="84" customFormat="1" hidden="1" x14ac:dyDescent="0.25">
      <c r="E214" s="82"/>
      <c r="F214" s="87"/>
      <c r="G214" s="58"/>
      <c r="H214" s="5"/>
    </row>
    <row r="215" spans="3:8" hidden="1" x14ac:dyDescent="0.25">
      <c r="C215" s="86"/>
      <c r="D215" s="86"/>
      <c r="F215" s="87"/>
    </row>
  </sheetData>
  <mergeCells count="6">
    <mergeCell ref="C1:D1"/>
    <mergeCell ref="E1:F1"/>
    <mergeCell ref="C2:D2"/>
    <mergeCell ref="E2:F2"/>
    <mergeCell ref="C3:D3"/>
    <mergeCell ref="E3:F3"/>
  </mergeCells>
  <conditionalFormatting sqref="D7:D12">
    <cfRule type="cellIs" dxfId="467" priority="2" stopIfTrue="1" operator="greaterThan">
      <formula>50</formula>
    </cfRule>
    <cfRule type="cellIs" dxfId="466" priority="11" stopIfTrue="1" operator="equal">
      <formula>0</formula>
    </cfRule>
  </conditionalFormatting>
  <conditionalFormatting sqref="D7:D61">
    <cfRule type="cellIs" dxfId="465" priority="9" stopIfTrue="1" operator="between">
      <formula>-0.1</formula>
      <formula>-50</formula>
    </cfRule>
    <cfRule type="cellIs" dxfId="464" priority="10" stopIfTrue="1" operator="between">
      <formula>0.1</formula>
      <formula>50</formula>
    </cfRule>
  </conditionalFormatting>
  <conditionalFormatting sqref="G152:G181 G7:G150">
    <cfRule type="cellIs" dxfId="463" priority="7" stopIfTrue="1" operator="between">
      <formula>-0.1</formula>
      <formula>-50</formula>
    </cfRule>
    <cfRule type="cellIs" dxfId="462" priority="8" stopIfTrue="1" operator="between">
      <formula>0.1</formula>
      <formula>50</formula>
    </cfRule>
  </conditionalFormatting>
  <conditionalFormatting sqref="D111:D155">
    <cfRule type="cellIs" dxfId="461" priority="5" stopIfTrue="1" operator="between">
      <formula>-0.1</formula>
      <formula>-50</formula>
    </cfRule>
    <cfRule type="cellIs" dxfId="460" priority="6" stopIfTrue="1" operator="between">
      <formula>0.1</formula>
      <formula>50</formula>
    </cfRule>
  </conditionalFormatting>
  <conditionalFormatting sqref="G165">
    <cfRule type="expression" dxfId="459" priority="4" stopIfTrue="1">
      <formula>AND($G$165&gt;0,$G$151&gt;0)</formula>
    </cfRule>
  </conditionalFormatting>
  <conditionalFormatting sqref="G151">
    <cfRule type="expression" dxfId="458" priority="1" stopIfTrue="1">
      <formula>AND($G$151&gt;0,$G$165&gt;0)</formula>
    </cfRule>
  </conditionalFormatting>
  <dataValidations count="11">
    <dataValidation type="custom" operator="greaterThan" showInputMessage="1" showErrorMessage="1" errorTitle="RDM" error="No se admite ingresar RDM como ingresos y egresos a la vez. Tampoco se admiten valores menores a $50._x000a_" sqref="G151">
      <formula1>AND(OR(G151=0, G151&gt;50),G165=0)</formula1>
    </dataValidation>
    <dataValidation type="whole" operator="greaterThan" allowBlank="1" showInputMessage="1" showErrorMessage="1" sqref="D8:D12">
      <formula1>50</formula1>
    </dataValidation>
    <dataValidation type="whole" operator="greaterThan" showInputMessage="1" showErrorMessage="1" errorTitle="eee" error="Valores mayores a $50" sqref="D7">
      <formula1>50</formula1>
    </dataValidation>
    <dataValidation type="custom" operator="greaterThan" showInputMessage="1" showErrorMessage="1" errorTitle="eee" sqref="D56">
      <formula1>OR(D56=0, D56&lt;50)</formula1>
    </dataValidation>
    <dataValidation type="custom" operator="greaterThan" showInputMessage="1" showErrorMessage="1" errorTitle="eee" sqref="D57:D61">
      <formula1>OR(D57=0, D57&lt;0)</formula1>
    </dataValidation>
    <dataValidation type="custom" operator="greaterThan" showInputMessage="1" showErrorMessage="1" errorTitle="eee" sqref="G7:G140 D62:D155 G152:G164 G166:G181 G144:G150 D13:D55">
      <formula1>OR(D7=0, D7&gt;50)</formula1>
    </dataValidation>
    <dataValidation type="whole" allowBlank="1" showErrorMessage="1" errorTitle="Error de datos" error="Debe ingresar un valor entre 1 y 12" sqref="G1:G3">
      <formula1>1</formula1>
      <formula2>12</formula2>
    </dataValidation>
    <dataValidation allowBlank="1" errorTitle="Error de datos" error="Debe introducir una fecha válida" sqref="E3"/>
    <dataValidation allowBlank="1" sqref="G204"/>
    <dataValidation operator="greaterThanOrEqual" allowBlank="1" errorTitle="Error de datos" error="Debe ingresar un valor entero positivo" sqref="F6:F107 F203 C13:C47 C106:C153 F171 F174:F178 F180 F111:F119 C7:C10 F121:F140 F143:F169 C49:C62 C155 F109"/>
    <dataValidation type="custom" operator="greaterThan" showInputMessage="1" showErrorMessage="1" errorTitle="rdm2" error="No se admite ingresar a la vez RDM como ingresos y como egresos. Tampoco se admiten valores negattivos o positivos menores de 50" sqref="G165">
      <formula1>AND(OR(G165=0, G165&gt;50),G151=0)</formula1>
    </dataValidation>
  </dataValidations>
  <pageMargins left="0.7" right="0.7" top="0.75" bottom="0.75" header="0.3" footer="0.3"/>
  <ignoredErrors>
    <ignoredError sqref="E7:E181" numberStoredAsText="1"/>
    <ignoredError sqref="G46:G47 D150" unlockedFormula="1"/>
  </ignoredErrors>
  <legacy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26"/>
  <sheetViews>
    <sheetView showGridLines="0" workbookViewId="0">
      <selection activeCell="F4" sqref="F4"/>
    </sheetView>
  </sheetViews>
  <sheetFormatPr baseColWidth="10" defaultColWidth="0" defaultRowHeight="15" zeroHeight="1" x14ac:dyDescent="0.25"/>
  <cols>
    <col min="1" max="1" width="3.7109375" style="1" customWidth="1"/>
    <col min="2" max="2" width="14.28515625" style="7" hidden="1" customWidth="1"/>
    <col min="3" max="3" width="58.5703125" style="58" customWidth="1"/>
    <col min="4" max="4" width="25.140625" style="58" customWidth="1"/>
    <col min="5" max="5" width="5.85546875" style="82" customWidth="1"/>
    <col min="6" max="6" width="57.28515625" style="58" customWidth="1"/>
    <col min="7" max="7" width="24.7109375" style="58" customWidth="1"/>
    <col min="8" max="8" width="5.42578125" style="5" customWidth="1"/>
    <col min="9" max="16384" width="0" style="5" hidden="1"/>
  </cols>
  <sheetData>
    <row r="1" spans="1:9" ht="15.75" x14ac:dyDescent="0.25">
      <c r="B1" s="2"/>
      <c r="C1" s="313" t="s">
        <v>0</v>
      </c>
      <c r="D1" s="314"/>
      <c r="E1" s="315" t="str">
        <f>[9]Presentacion!C2</f>
        <v>SMI</v>
      </c>
      <c r="F1" s="315"/>
      <c r="G1" s="3"/>
      <c r="H1" s="4"/>
    </row>
    <row r="2" spans="1:9" ht="15.75" x14ac:dyDescent="0.25">
      <c r="B2" s="6"/>
      <c r="C2" s="313" t="s">
        <v>1</v>
      </c>
      <c r="D2" s="314"/>
      <c r="E2" s="315" t="str">
        <f>[9]Presentacion!C3</f>
        <v>Montevideo</v>
      </c>
      <c r="F2" s="315"/>
      <c r="G2" s="3"/>
      <c r="H2" s="4"/>
    </row>
    <row r="3" spans="1:9" ht="15.75" x14ac:dyDescent="0.25">
      <c r="B3" s="6"/>
      <c r="C3" s="313" t="s">
        <v>2</v>
      </c>
      <c r="D3" s="316"/>
      <c r="E3" s="317" t="s">
        <v>3</v>
      </c>
      <c r="F3" s="317"/>
      <c r="G3" s="3"/>
      <c r="H3" s="4"/>
    </row>
    <row r="4" spans="1:9" ht="15.75" thickBot="1" x14ac:dyDescent="0.3">
      <c r="C4" s="287"/>
      <c r="D4" s="8"/>
      <c r="E4" s="9"/>
      <c r="F4" s="10"/>
      <c r="G4" s="11"/>
    </row>
    <row r="5" spans="1:9" ht="16.5" thickBot="1" x14ac:dyDescent="0.3">
      <c r="B5" s="12"/>
      <c r="C5" s="13" t="s">
        <v>4</v>
      </c>
      <c r="D5" s="284" t="s">
        <v>5</v>
      </c>
      <c r="E5" s="14"/>
      <c r="F5" s="13" t="s">
        <v>6</v>
      </c>
      <c r="G5" s="284" t="s">
        <v>5</v>
      </c>
      <c r="I5" s="15"/>
    </row>
    <row r="6" spans="1:9" ht="16.5" thickBot="1" x14ac:dyDescent="0.3">
      <c r="B6" s="12"/>
      <c r="C6" s="16" t="s">
        <v>7</v>
      </c>
      <c r="D6" s="290">
        <f>+[9]E.S.P.!D6</f>
        <v>2020</v>
      </c>
      <c r="E6" s="18"/>
      <c r="F6" s="16" t="s">
        <v>8</v>
      </c>
      <c r="G6" s="290">
        <f>+D6</f>
        <v>2020</v>
      </c>
      <c r="H6" s="15"/>
    </row>
    <row r="7" spans="1:9" x14ac:dyDescent="0.25">
      <c r="B7" s="6" t="s">
        <v>9</v>
      </c>
      <c r="C7" s="19" t="s">
        <v>10</v>
      </c>
      <c r="D7" s="20">
        <v>101282653</v>
      </c>
      <c r="E7" s="21" t="s">
        <v>11</v>
      </c>
      <c r="F7" s="22" t="s">
        <v>12</v>
      </c>
      <c r="G7" s="23">
        <v>61308757</v>
      </c>
    </row>
    <row r="8" spans="1:9" x14ac:dyDescent="0.25">
      <c r="B8" s="6" t="s">
        <v>13</v>
      </c>
      <c r="C8" s="19" t="s">
        <v>14</v>
      </c>
      <c r="D8" s="20">
        <v>12416444</v>
      </c>
      <c r="E8" s="21" t="s">
        <v>15</v>
      </c>
      <c r="F8" s="19" t="s">
        <v>16</v>
      </c>
      <c r="G8" s="24">
        <v>47734153</v>
      </c>
    </row>
    <row r="9" spans="1:9" x14ac:dyDescent="0.25">
      <c r="B9" s="6" t="s">
        <v>17</v>
      </c>
      <c r="C9" s="19" t="s">
        <v>18</v>
      </c>
      <c r="D9" s="20">
        <v>3617636303</v>
      </c>
      <c r="E9" s="21" t="s">
        <v>19</v>
      </c>
      <c r="F9" s="19" t="s">
        <v>20</v>
      </c>
      <c r="G9" s="20">
        <v>229244678</v>
      </c>
    </row>
    <row r="10" spans="1:9" x14ac:dyDescent="0.25">
      <c r="B10" s="6" t="s">
        <v>21</v>
      </c>
      <c r="C10" s="19" t="s">
        <v>22</v>
      </c>
      <c r="D10" s="20">
        <v>381276007</v>
      </c>
      <c r="E10" s="21" t="s">
        <v>23</v>
      </c>
      <c r="F10" s="19" t="s">
        <v>24</v>
      </c>
      <c r="G10" s="20">
        <v>471340845</v>
      </c>
    </row>
    <row r="11" spans="1:9" x14ac:dyDescent="0.25">
      <c r="B11" s="6" t="s">
        <v>25</v>
      </c>
      <c r="C11" s="19" t="s">
        <v>26</v>
      </c>
      <c r="D11" s="20">
        <v>68929434</v>
      </c>
      <c r="E11" s="21" t="s">
        <v>27</v>
      </c>
      <c r="F11" s="19" t="s">
        <v>28</v>
      </c>
      <c r="G11" s="20">
        <v>446976914</v>
      </c>
    </row>
    <row r="12" spans="1:9" x14ac:dyDescent="0.25">
      <c r="B12" s="6" t="s">
        <v>29</v>
      </c>
      <c r="C12" s="19" t="s">
        <v>30</v>
      </c>
      <c r="D12" s="20">
        <v>78264199</v>
      </c>
      <c r="E12" s="21" t="s">
        <v>31</v>
      </c>
      <c r="F12" s="19" t="s">
        <v>32</v>
      </c>
      <c r="G12" s="20">
        <v>205102322</v>
      </c>
    </row>
    <row r="13" spans="1:9" x14ac:dyDescent="0.25">
      <c r="B13" s="6" t="s">
        <v>33</v>
      </c>
      <c r="C13" s="19" t="s">
        <v>34</v>
      </c>
      <c r="D13" s="20">
        <v>0</v>
      </c>
      <c r="E13" s="21" t="s">
        <v>35</v>
      </c>
      <c r="F13" s="19" t="s">
        <v>36</v>
      </c>
      <c r="G13" s="20">
        <v>66990146</v>
      </c>
    </row>
    <row r="14" spans="1:9" x14ac:dyDescent="0.25">
      <c r="A14" s="25"/>
      <c r="B14" s="6" t="s">
        <v>37</v>
      </c>
      <c r="C14" s="19" t="s">
        <v>38</v>
      </c>
      <c r="D14" s="20">
        <v>1661475</v>
      </c>
      <c r="E14" s="21" t="s">
        <v>39</v>
      </c>
      <c r="F14" s="19" t="s">
        <v>40</v>
      </c>
      <c r="G14" s="20">
        <v>688120918</v>
      </c>
    </row>
    <row r="15" spans="1:9" x14ac:dyDescent="0.25">
      <c r="B15" s="6" t="s">
        <v>41</v>
      </c>
      <c r="C15" s="26" t="s">
        <v>42</v>
      </c>
      <c r="D15" s="20">
        <v>0</v>
      </c>
      <c r="E15" s="21" t="s">
        <v>43</v>
      </c>
      <c r="F15" s="19" t="s">
        <v>44</v>
      </c>
      <c r="G15" s="20">
        <v>372320403</v>
      </c>
    </row>
    <row r="16" spans="1:9" x14ac:dyDescent="0.25">
      <c r="B16" s="6" t="s">
        <v>45</v>
      </c>
      <c r="C16" s="19" t="s">
        <v>46</v>
      </c>
      <c r="D16" s="20">
        <v>0</v>
      </c>
      <c r="E16" s="21" t="s">
        <v>47</v>
      </c>
      <c r="F16" s="19" t="s">
        <v>48</v>
      </c>
      <c r="G16" s="20">
        <v>239767938</v>
      </c>
    </row>
    <row r="17" spans="1:7" x14ac:dyDescent="0.25">
      <c r="B17" s="6" t="s">
        <v>49</v>
      </c>
      <c r="C17" s="19" t="s">
        <v>50</v>
      </c>
      <c r="D17" s="20">
        <v>2382</v>
      </c>
      <c r="E17" s="21" t="s">
        <v>51</v>
      </c>
      <c r="F17" s="19" t="s">
        <v>52</v>
      </c>
      <c r="G17" s="20">
        <v>0</v>
      </c>
    </row>
    <row r="18" spans="1:7" x14ac:dyDescent="0.25">
      <c r="A18" s="25"/>
      <c r="B18" s="6" t="s">
        <v>53</v>
      </c>
      <c r="C18" s="19" t="s">
        <v>54</v>
      </c>
      <c r="D18" s="20">
        <v>216835176</v>
      </c>
      <c r="E18" s="21" t="s">
        <v>55</v>
      </c>
      <c r="F18" s="19" t="s">
        <v>56</v>
      </c>
      <c r="G18" s="27">
        <v>124765460</v>
      </c>
    </row>
    <row r="19" spans="1:7" ht="15.75" thickBot="1" x14ac:dyDescent="0.3">
      <c r="A19" s="25"/>
      <c r="B19" s="6" t="s">
        <v>57</v>
      </c>
      <c r="C19" s="19" t="s">
        <v>58</v>
      </c>
      <c r="D19" s="20">
        <v>191330982</v>
      </c>
      <c r="E19" s="21"/>
      <c r="F19" s="28" t="s">
        <v>59</v>
      </c>
      <c r="G19" s="29">
        <f>SUM(G7:G18)</f>
        <v>2953672534</v>
      </c>
    </row>
    <row r="20" spans="1:7" ht="15.75" thickBot="1" x14ac:dyDescent="0.3">
      <c r="B20" s="6"/>
      <c r="C20" s="28" t="s">
        <v>60</v>
      </c>
      <c r="D20" s="29">
        <f>SUM(D7:D19)</f>
        <v>4669635055</v>
      </c>
      <c r="E20" s="21" t="s">
        <v>61</v>
      </c>
      <c r="F20" s="22" t="s">
        <v>62</v>
      </c>
      <c r="G20" s="23">
        <v>3416309</v>
      </c>
    </row>
    <row r="21" spans="1:7" x14ac:dyDescent="0.25">
      <c r="B21" s="6"/>
      <c r="C21" s="30" t="s">
        <v>63</v>
      </c>
      <c r="D21" s="31">
        <f>SUM(D22:D28)</f>
        <v>48864780</v>
      </c>
      <c r="E21" s="21" t="s">
        <v>64</v>
      </c>
      <c r="F21" s="19" t="s">
        <v>65</v>
      </c>
      <c r="G21" s="20">
        <v>64229859</v>
      </c>
    </row>
    <row r="22" spans="1:7" x14ac:dyDescent="0.25">
      <c r="B22" s="6" t="s">
        <v>66</v>
      </c>
      <c r="C22" s="19" t="s">
        <v>67</v>
      </c>
      <c r="D22" s="20">
        <v>31063478</v>
      </c>
      <c r="E22" s="21" t="s">
        <v>68</v>
      </c>
      <c r="F22" s="19" t="s">
        <v>69</v>
      </c>
      <c r="G22" s="20">
        <v>11454734</v>
      </c>
    </row>
    <row r="23" spans="1:7" x14ac:dyDescent="0.25">
      <c r="B23" s="6" t="s">
        <v>70</v>
      </c>
      <c r="C23" s="19" t="s">
        <v>71</v>
      </c>
      <c r="D23" s="20">
        <v>1947423</v>
      </c>
      <c r="E23" s="21" t="s">
        <v>72</v>
      </c>
      <c r="F23" s="19" t="s">
        <v>73</v>
      </c>
      <c r="G23" s="20">
        <v>58737760</v>
      </c>
    </row>
    <row r="24" spans="1:7" x14ac:dyDescent="0.25">
      <c r="B24" s="6" t="s">
        <v>74</v>
      </c>
      <c r="C24" s="19" t="s">
        <v>75</v>
      </c>
      <c r="D24" s="20">
        <v>9750973</v>
      </c>
      <c r="E24" s="21" t="s">
        <v>76</v>
      </c>
      <c r="F24" s="19" t="s">
        <v>77</v>
      </c>
      <c r="G24" s="20">
        <v>0</v>
      </c>
    </row>
    <row r="25" spans="1:7" x14ac:dyDescent="0.25">
      <c r="B25" s="6" t="s">
        <v>78</v>
      </c>
      <c r="C25" s="19" t="s">
        <v>79</v>
      </c>
      <c r="D25" s="20">
        <v>521447</v>
      </c>
      <c r="E25" s="21" t="s">
        <v>80</v>
      </c>
      <c r="F25" s="19" t="s">
        <v>81</v>
      </c>
      <c r="G25" s="20">
        <v>25826454</v>
      </c>
    </row>
    <row r="26" spans="1:7" x14ac:dyDescent="0.25">
      <c r="B26" s="6" t="s">
        <v>82</v>
      </c>
      <c r="C26" s="19" t="s">
        <v>83</v>
      </c>
      <c r="D26" s="20">
        <v>390057</v>
      </c>
      <c r="E26" s="21" t="s">
        <v>84</v>
      </c>
      <c r="F26" s="19" t="s">
        <v>85</v>
      </c>
      <c r="G26" s="27">
        <v>7243625</v>
      </c>
    </row>
    <row r="27" spans="1:7" ht="15.75" thickBot="1" x14ac:dyDescent="0.3">
      <c r="B27" s="6" t="s">
        <v>86</v>
      </c>
      <c r="C27" s="19" t="s">
        <v>87</v>
      </c>
      <c r="D27" s="20">
        <v>2836793</v>
      </c>
      <c r="E27" s="21"/>
      <c r="F27" s="28" t="s">
        <v>88</v>
      </c>
      <c r="G27" s="29">
        <f>SUM(G20:G26)</f>
        <v>170908741</v>
      </c>
    </row>
    <row r="28" spans="1:7" x14ac:dyDescent="0.25">
      <c r="B28" s="6" t="s">
        <v>89</v>
      </c>
      <c r="C28" s="19" t="s">
        <v>90</v>
      </c>
      <c r="D28" s="20">
        <v>2354609</v>
      </c>
      <c r="E28" s="21" t="s">
        <v>91</v>
      </c>
      <c r="F28" s="22" t="s">
        <v>92</v>
      </c>
      <c r="G28" s="23">
        <v>75249065</v>
      </c>
    </row>
    <row r="29" spans="1:7" x14ac:dyDescent="0.25">
      <c r="B29" s="6"/>
      <c r="C29" s="32" t="s">
        <v>93</v>
      </c>
      <c r="D29" s="31">
        <f>SUM(D30:D34)</f>
        <v>390594620</v>
      </c>
      <c r="E29" s="21" t="s">
        <v>94</v>
      </c>
      <c r="F29" s="19" t="s">
        <v>95</v>
      </c>
      <c r="G29" s="20">
        <v>102396335</v>
      </c>
    </row>
    <row r="30" spans="1:7" x14ac:dyDescent="0.25">
      <c r="B30" s="6" t="s">
        <v>96</v>
      </c>
      <c r="C30" s="19" t="s">
        <v>97</v>
      </c>
      <c r="D30" s="20">
        <v>300241129</v>
      </c>
      <c r="E30" s="21" t="s">
        <v>98</v>
      </c>
      <c r="F30" s="19" t="s">
        <v>99</v>
      </c>
      <c r="G30" s="20">
        <v>51615339</v>
      </c>
    </row>
    <row r="31" spans="1:7" x14ac:dyDescent="0.25">
      <c r="B31" s="6" t="s">
        <v>100</v>
      </c>
      <c r="C31" s="19" t="s">
        <v>101</v>
      </c>
      <c r="D31" s="20">
        <v>25631490</v>
      </c>
      <c r="E31" s="21" t="s">
        <v>102</v>
      </c>
      <c r="F31" s="19" t="s">
        <v>103</v>
      </c>
      <c r="G31" s="27">
        <v>10442283</v>
      </c>
    </row>
    <row r="32" spans="1:7" ht="15.75" thickBot="1" x14ac:dyDescent="0.3">
      <c r="B32" s="6" t="s">
        <v>104</v>
      </c>
      <c r="C32" s="19" t="s">
        <v>105</v>
      </c>
      <c r="D32" s="20">
        <v>37801675</v>
      </c>
      <c r="E32" s="21"/>
      <c r="F32" s="28" t="s">
        <v>106</v>
      </c>
      <c r="G32" s="29">
        <f>SUM(G28:G31)</f>
        <v>239703022</v>
      </c>
    </row>
    <row r="33" spans="2:7" x14ac:dyDescent="0.25">
      <c r="B33" s="6" t="s">
        <v>107</v>
      </c>
      <c r="C33" s="19" t="s">
        <v>108</v>
      </c>
      <c r="D33" s="20">
        <v>10901365</v>
      </c>
      <c r="E33" s="21"/>
      <c r="F33" s="32" t="s">
        <v>109</v>
      </c>
      <c r="G33" s="31">
        <f>SUM(G34:G39)</f>
        <v>340536764</v>
      </c>
    </row>
    <row r="34" spans="2:7" x14ac:dyDescent="0.25">
      <c r="B34" s="6" t="s">
        <v>110</v>
      </c>
      <c r="C34" s="19" t="s">
        <v>111</v>
      </c>
      <c r="D34" s="20">
        <v>16018961</v>
      </c>
      <c r="E34" s="21" t="s">
        <v>112</v>
      </c>
      <c r="F34" s="19" t="s">
        <v>113</v>
      </c>
      <c r="G34" s="20">
        <v>19954341</v>
      </c>
    </row>
    <row r="35" spans="2:7" ht="15.75" thickBot="1" x14ac:dyDescent="0.3">
      <c r="B35" s="6"/>
      <c r="C35" s="28" t="s">
        <v>114</v>
      </c>
      <c r="D35" s="29">
        <f>+D21+D29</f>
        <v>439459400</v>
      </c>
      <c r="E35" s="21" t="s">
        <v>115</v>
      </c>
      <c r="F35" s="19" t="s">
        <v>116</v>
      </c>
      <c r="G35" s="20">
        <v>34921272</v>
      </c>
    </row>
    <row r="36" spans="2:7" x14ac:dyDescent="0.25">
      <c r="B36" s="6" t="s">
        <v>117</v>
      </c>
      <c r="C36" s="19" t="s">
        <v>118</v>
      </c>
      <c r="D36" s="20">
        <v>167091979</v>
      </c>
      <c r="E36" s="21" t="s">
        <v>119</v>
      </c>
      <c r="F36" s="19" t="s">
        <v>120</v>
      </c>
      <c r="G36" s="20">
        <v>8967793</v>
      </c>
    </row>
    <row r="37" spans="2:7" x14ac:dyDescent="0.25">
      <c r="B37" s="6" t="s">
        <v>121</v>
      </c>
      <c r="C37" s="19" t="s">
        <v>122</v>
      </c>
      <c r="D37" s="20">
        <v>11379304</v>
      </c>
      <c r="E37" s="21" t="s">
        <v>123</v>
      </c>
      <c r="F37" s="19" t="s">
        <v>124</v>
      </c>
      <c r="G37" s="20">
        <v>25181500</v>
      </c>
    </row>
    <row r="38" spans="2:7" x14ac:dyDescent="0.25">
      <c r="B38" s="6" t="s">
        <v>125</v>
      </c>
      <c r="C38" s="19" t="s">
        <v>126</v>
      </c>
      <c r="D38" s="20">
        <v>2681733</v>
      </c>
      <c r="E38" s="21" t="s">
        <v>127</v>
      </c>
      <c r="F38" s="19" t="s">
        <v>128</v>
      </c>
      <c r="G38" s="20">
        <v>53948484</v>
      </c>
    </row>
    <row r="39" spans="2:7" x14ac:dyDescent="0.25">
      <c r="B39" s="6" t="s">
        <v>129</v>
      </c>
      <c r="C39" s="19" t="s">
        <v>130</v>
      </c>
      <c r="D39" s="20">
        <v>472154</v>
      </c>
      <c r="E39" s="21" t="s">
        <v>131</v>
      </c>
      <c r="F39" s="19" t="s">
        <v>132</v>
      </c>
      <c r="G39" s="20">
        <v>197563374</v>
      </c>
    </row>
    <row r="40" spans="2:7" x14ac:dyDescent="0.25">
      <c r="B40" s="6" t="s">
        <v>133</v>
      </c>
      <c r="C40" s="19" t="s">
        <v>134</v>
      </c>
      <c r="D40" s="20">
        <v>2725149</v>
      </c>
      <c r="E40" s="21"/>
      <c r="F40" s="33" t="s">
        <v>135</v>
      </c>
      <c r="G40" s="34">
        <f>SUM(G41:G46)</f>
        <v>132331175</v>
      </c>
    </row>
    <row r="41" spans="2:7" x14ac:dyDescent="0.25">
      <c r="B41" s="6" t="s">
        <v>136</v>
      </c>
      <c r="C41" s="19" t="s">
        <v>137</v>
      </c>
      <c r="D41" s="20">
        <v>138552795</v>
      </c>
      <c r="E41" s="21" t="s">
        <v>138</v>
      </c>
      <c r="F41" s="19" t="s">
        <v>139</v>
      </c>
      <c r="G41" s="20">
        <v>31486462</v>
      </c>
    </row>
    <row r="42" spans="2:7" x14ac:dyDescent="0.25">
      <c r="B42" s="6" t="s">
        <v>140</v>
      </c>
      <c r="C42" s="19" t="s">
        <v>141</v>
      </c>
      <c r="D42" s="20">
        <v>0</v>
      </c>
      <c r="E42" s="21" t="s">
        <v>142</v>
      </c>
      <c r="F42" s="19" t="s">
        <v>143</v>
      </c>
      <c r="G42" s="20">
        <v>469896</v>
      </c>
    </row>
    <row r="43" spans="2:7" x14ac:dyDescent="0.25">
      <c r="B43" s="6" t="s">
        <v>144</v>
      </c>
      <c r="C43" s="19" t="s">
        <v>145</v>
      </c>
      <c r="D43" s="20">
        <v>8070754</v>
      </c>
      <c r="E43" s="21" t="s">
        <v>146</v>
      </c>
      <c r="F43" s="19" t="s">
        <v>147</v>
      </c>
      <c r="G43" s="20">
        <v>9199953</v>
      </c>
    </row>
    <row r="44" spans="2:7" x14ac:dyDescent="0.25">
      <c r="B44" s="6" t="s">
        <v>148</v>
      </c>
      <c r="C44" s="19" t="s">
        <v>149</v>
      </c>
      <c r="D44" s="20">
        <v>0</v>
      </c>
      <c r="E44" s="21" t="s">
        <v>150</v>
      </c>
      <c r="F44" s="19" t="s">
        <v>151</v>
      </c>
      <c r="G44" s="20">
        <v>3129598</v>
      </c>
    </row>
    <row r="45" spans="2:7" x14ac:dyDescent="0.25">
      <c r="B45" s="6" t="s">
        <v>152</v>
      </c>
      <c r="C45" s="19" t="s">
        <v>153</v>
      </c>
      <c r="D45" s="20">
        <v>2150</v>
      </c>
      <c r="E45" s="21" t="s">
        <v>154</v>
      </c>
      <c r="F45" s="19" t="s">
        <v>155</v>
      </c>
      <c r="G45" s="20">
        <v>4389165</v>
      </c>
    </row>
    <row r="46" spans="2:7" x14ac:dyDescent="0.25">
      <c r="B46" s="6" t="s">
        <v>156</v>
      </c>
      <c r="C46" s="19" t="s">
        <v>157</v>
      </c>
      <c r="D46" s="20">
        <v>15428749</v>
      </c>
      <c r="E46" s="21" t="s">
        <v>158</v>
      </c>
      <c r="F46" s="19" t="s">
        <v>159</v>
      </c>
      <c r="G46" s="20">
        <v>83656101</v>
      </c>
    </row>
    <row r="47" spans="2:7" ht="15.75" thickBot="1" x14ac:dyDescent="0.3">
      <c r="B47" s="6"/>
      <c r="C47" s="28" t="s">
        <v>160</v>
      </c>
      <c r="D47" s="29">
        <f>SUM(D36:D46)</f>
        <v>346404767</v>
      </c>
      <c r="E47" s="21" t="s">
        <v>161</v>
      </c>
      <c r="F47" s="19" t="s">
        <v>162</v>
      </c>
      <c r="G47" s="27">
        <v>19704453</v>
      </c>
    </row>
    <row r="48" spans="2:7" ht="15.75" thickBot="1" x14ac:dyDescent="0.3">
      <c r="B48" s="6"/>
      <c r="C48" s="35" t="s">
        <v>163</v>
      </c>
      <c r="D48" s="36"/>
      <c r="E48" s="21"/>
      <c r="F48" s="28" t="s">
        <v>164</v>
      </c>
      <c r="G48" s="37">
        <f>+G33+G40+G47</f>
        <v>492572392</v>
      </c>
    </row>
    <row r="49" spans="2:7" x14ac:dyDescent="0.25">
      <c r="B49" s="6" t="s">
        <v>165</v>
      </c>
      <c r="C49" s="38" t="s">
        <v>166</v>
      </c>
      <c r="D49" s="39">
        <v>0</v>
      </c>
      <c r="E49" s="21" t="s">
        <v>167</v>
      </c>
      <c r="F49" s="22" t="s">
        <v>168</v>
      </c>
      <c r="G49" s="23">
        <v>57085969</v>
      </c>
    </row>
    <row r="50" spans="2:7" x14ac:dyDescent="0.25">
      <c r="B50" s="6" t="s">
        <v>169</v>
      </c>
      <c r="C50" s="19" t="s">
        <v>163</v>
      </c>
      <c r="D50" s="20">
        <v>0</v>
      </c>
      <c r="E50" s="21" t="s">
        <v>170</v>
      </c>
      <c r="F50" s="19" t="s">
        <v>171</v>
      </c>
      <c r="G50" s="20">
        <v>156920887</v>
      </c>
    </row>
    <row r="51" spans="2:7" x14ac:dyDescent="0.25">
      <c r="B51" s="6" t="s">
        <v>172</v>
      </c>
      <c r="C51" s="19" t="s">
        <v>173</v>
      </c>
      <c r="D51" s="27">
        <v>0</v>
      </c>
      <c r="E51" s="21" t="s">
        <v>174</v>
      </c>
      <c r="F51" s="19" t="s">
        <v>175</v>
      </c>
      <c r="G51" s="20">
        <v>15708321</v>
      </c>
    </row>
    <row r="52" spans="2:7" ht="15.75" thickBot="1" x14ac:dyDescent="0.3">
      <c r="B52" s="12"/>
      <c r="C52" s="28" t="s">
        <v>176</v>
      </c>
      <c r="D52" s="29">
        <f>SUM(D49:D51)</f>
        <v>0</v>
      </c>
      <c r="E52" s="21" t="s">
        <v>177</v>
      </c>
      <c r="F52" s="19" t="s">
        <v>178</v>
      </c>
      <c r="G52" s="20">
        <v>0</v>
      </c>
    </row>
    <row r="53" spans="2:7" ht="15.75" thickBot="1" x14ac:dyDescent="0.3">
      <c r="B53" s="6"/>
      <c r="C53" s="40" t="s">
        <v>179</v>
      </c>
      <c r="D53" s="41">
        <f>D20+D35+D47+D52</f>
        <v>5455499222</v>
      </c>
      <c r="E53" s="21" t="s">
        <v>180</v>
      </c>
      <c r="F53" s="19" t="s">
        <v>181</v>
      </c>
      <c r="G53" s="20">
        <v>33007945</v>
      </c>
    </row>
    <row r="54" spans="2:7" x14ac:dyDescent="0.25">
      <c r="C54" s="42"/>
      <c r="D54" s="43"/>
      <c r="E54" s="21" t="s">
        <v>182</v>
      </c>
      <c r="F54" s="19" t="s">
        <v>183</v>
      </c>
      <c r="G54" s="20">
        <v>223975</v>
      </c>
    </row>
    <row r="55" spans="2:7" x14ac:dyDescent="0.25">
      <c r="C55" s="44" t="s">
        <v>184</v>
      </c>
      <c r="D55" s="45"/>
      <c r="E55" s="21" t="s">
        <v>185</v>
      </c>
      <c r="F55" s="19" t="s">
        <v>186</v>
      </c>
      <c r="G55" s="20">
        <v>4489979</v>
      </c>
    </row>
    <row r="56" spans="2:7" x14ac:dyDescent="0.25">
      <c r="B56" s="6" t="s">
        <v>187</v>
      </c>
      <c r="C56" s="46" t="s">
        <v>188</v>
      </c>
      <c r="D56" s="20">
        <v>0</v>
      </c>
      <c r="E56" s="21" t="s">
        <v>189</v>
      </c>
      <c r="F56" s="19" t="s">
        <v>190</v>
      </c>
      <c r="G56" s="27">
        <v>11364887</v>
      </c>
    </row>
    <row r="57" spans="2:7" ht="15.75" thickBot="1" x14ac:dyDescent="0.3">
      <c r="B57" s="6" t="s">
        <v>191</v>
      </c>
      <c r="C57" s="46" t="s">
        <v>192</v>
      </c>
      <c r="D57" s="20">
        <v>0</v>
      </c>
      <c r="E57" s="21"/>
      <c r="F57" s="28" t="s">
        <v>193</v>
      </c>
      <c r="G57" s="29">
        <f>SUM(G49:G56)</f>
        <v>278801963</v>
      </c>
    </row>
    <row r="58" spans="2:7" x14ac:dyDescent="0.25">
      <c r="B58" s="6" t="s">
        <v>194</v>
      </c>
      <c r="C58" s="46" t="s">
        <v>195</v>
      </c>
      <c r="D58" s="20">
        <v>0</v>
      </c>
      <c r="E58" s="21" t="s">
        <v>196</v>
      </c>
      <c r="F58" s="22" t="s">
        <v>197</v>
      </c>
      <c r="G58" s="23">
        <v>171798560</v>
      </c>
    </row>
    <row r="59" spans="2:7" x14ac:dyDescent="0.25">
      <c r="B59" s="6" t="s">
        <v>198</v>
      </c>
      <c r="C59" s="19" t="s">
        <v>199</v>
      </c>
      <c r="D59" s="27">
        <v>0</v>
      </c>
      <c r="E59" s="21" t="s">
        <v>200</v>
      </c>
      <c r="F59" s="19" t="s">
        <v>201</v>
      </c>
      <c r="G59" s="20">
        <v>46224009</v>
      </c>
    </row>
    <row r="60" spans="2:7" ht="15.75" thickBot="1" x14ac:dyDescent="0.3">
      <c r="B60" s="6"/>
      <c r="C60" s="28" t="s">
        <v>202</v>
      </c>
      <c r="D60" s="29">
        <f>SUM(D56:D59)</f>
        <v>0</v>
      </c>
      <c r="E60" s="21" t="s">
        <v>203</v>
      </c>
      <c r="F60" s="19" t="s">
        <v>204</v>
      </c>
      <c r="G60" s="20">
        <v>0</v>
      </c>
    </row>
    <row r="61" spans="2:7" ht="16.5" thickBot="1" x14ac:dyDescent="0.3">
      <c r="B61" s="47"/>
      <c r="C61" s="48" t="s">
        <v>205</v>
      </c>
      <c r="D61" s="49">
        <f>D53+D60</f>
        <v>5455499222</v>
      </c>
      <c r="E61" s="21" t="s">
        <v>206</v>
      </c>
      <c r="F61" s="19" t="s">
        <v>207</v>
      </c>
      <c r="G61" s="20">
        <v>0</v>
      </c>
    </row>
    <row r="62" spans="2:7" x14ac:dyDescent="0.25">
      <c r="B62" s="50"/>
      <c r="C62" s="51"/>
      <c r="D62" s="51"/>
      <c r="E62" s="21" t="s">
        <v>208</v>
      </c>
      <c r="F62" s="19" t="s">
        <v>209</v>
      </c>
      <c r="G62" s="20">
        <v>0</v>
      </c>
    </row>
    <row r="63" spans="2:7" x14ac:dyDescent="0.25">
      <c r="B63" s="52"/>
      <c r="C63" s="53" t="s">
        <v>8</v>
      </c>
      <c r="D63" s="53"/>
      <c r="E63" s="21" t="s">
        <v>210</v>
      </c>
      <c r="F63" s="19" t="s">
        <v>211</v>
      </c>
      <c r="G63" s="20">
        <v>127121633</v>
      </c>
    </row>
    <row r="64" spans="2:7" x14ac:dyDescent="0.25">
      <c r="B64" s="54" t="s">
        <v>212</v>
      </c>
      <c r="C64" s="55" t="s">
        <v>213</v>
      </c>
      <c r="D64" s="55">
        <f>[9]Amortizaciones!D6</f>
        <v>55044695</v>
      </c>
      <c r="E64" s="21" t="s">
        <v>214</v>
      </c>
      <c r="F64" s="19" t="s">
        <v>215</v>
      </c>
      <c r="G64" s="20">
        <v>10669493</v>
      </c>
    </row>
    <row r="65" spans="2:7" x14ac:dyDescent="0.25">
      <c r="B65" s="54" t="s">
        <v>216</v>
      </c>
      <c r="C65" s="55" t="s">
        <v>217</v>
      </c>
      <c r="D65" s="55">
        <f>[9]Amortizaciones!D7</f>
        <v>0</v>
      </c>
      <c r="E65" s="21" t="s">
        <v>218</v>
      </c>
      <c r="F65" s="19" t="s">
        <v>219</v>
      </c>
      <c r="G65" s="20">
        <v>24397917</v>
      </c>
    </row>
    <row r="66" spans="2:7" x14ac:dyDescent="0.25">
      <c r="B66" s="54" t="s">
        <v>220</v>
      </c>
      <c r="C66" s="55" t="s">
        <v>221</v>
      </c>
      <c r="D66" s="55">
        <f>[9]Amortizaciones!D8</f>
        <v>15713671</v>
      </c>
      <c r="E66" s="21" t="s">
        <v>222</v>
      </c>
      <c r="F66" s="19" t="s">
        <v>223</v>
      </c>
      <c r="G66" s="20">
        <v>57895465</v>
      </c>
    </row>
    <row r="67" spans="2:7" x14ac:dyDescent="0.25">
      <c r="B67" s="54" t="s">
        <v>224</v>
      </c>
      <c r="C67" s="55" t="s">
        <v>225</v>
      </c>
      <c r="D67" s="55">
        <f>[9]Amortizaciones!D9</f>
        <v>614005</v>
      </c>
      <c r="E67" s="21" t="s">
        <v>226</v>
      </c>
      <c r="F67" s="19" t="s">
        <v>227</v>
      </c>
      <c r="G67" s="20">
        <v>31152464</v>
      </c>
    </row>
    <row r="68" spans="2:7" x14ac:dyDescent="0.25">
      <c r="B68" s="54" t="s">
        <v>228</v>
      </c>
      <c r="C68" s="55" t="s">
        <v>229</v>
      </c>
      <c r="D68" s="55">
        <f>[9]Amortizaciones!D10</f>
        <v>6379997</v>
      </c>
      <c r="E68" s="21" t="s">
        <v>230</v>
      </c>
      <c r="F68" s="19" t="s">
        <v>231</v>
      </c>
      <c r="G68" s="20">
        <v>0</v>
      </c>
    </row>
    <row r="69" spans="2:7" x14ac:dyDescent="0.25">
      <c r="B69" s="54" t="s">
        <v>232</v>
      </c>
      <c r="C69" s="55" t="s">
        <v>233</v>
      </c>
      <c r="D69" s="55">
        <f>[9]Amortizaciones!D11</f>
        <v>1571087</v>
      </c>
      <c r="E69" s="21" t="s">
        <v>234</v>
      </c>
      <c r="F69" s="19" t="s">
        <v>235</v>
      </c>
      <c r="G69" s="20">
        <v>7552579</v>
      </c>
    </row>
    <row r="70" spans="2:7" x14ac:dyDescent="0.25">
      <c r="B70" s="54" t="s">
        <v>236</v>
      </c>
      <c r="C70" s="55" t="s">
        <v>237</v>
      </c>
      <c r="D70" s="55">
        <f>[9]Amortizaciones!D12</f>
        <v>0</v>
      </c>
      <c r="E70" s="21" t="s">
        <v>238</v>
      </c>
      <c r="F70" s="19" t="s">
        <v>239</v>
      </c>
      <c r="G70" s="20">
        <v>8342592</v>
      </c>
    </row>
    <row r="71" spans="2:7" x14ac:dyDescent="0.25">
      <c r="B71" s="54" t="s">
        <v>240</v>
      </c>
      <c r="C71" s="55" t="s">
        <v>241</v>
      </c>
      <c r="D71" s="55">
        <f>[9]Amortizaciones!D13</f>
        <v>0</v>
      </c>
      <c r="E71" s="21" t="s">
        <v>242</v>
      </c>
      <c r="F71" s="19" t="s">
        <v>243</v>
      </c>
      <c r="G71" s="20">
        <v>0</v>
      </c>
    </row>
    <row r="72" spans="2:7" x14ac:dyDescent="0.25">
      <c r="B72" s="54" t="s">
        <v>244</v>
      </c>
      <c r="C72" s="55" t="s">
        <v>245</v>
      </c>
      <c r="D72" s="55">
        <f>[9]Amortizaciones!D14</f>
        <v>6554316</v>
      </c>
      <c r="E72" s="21" t="s">
        <v>246</v>
      </c>
      <c r="F72" s="19" t="s">
        <v>247</v>
      </c>
      <c r="G72" s="20">
        <v>0</v>
      </c>
    </row>
    <row r="73" spans="2:7" x14ac:dyDescent="0.25">
      <c r="B73" s="54" t="s">
        <v>248</v>
      </c>
      <c r="C73" s="55" t="s">
        <v>249</v>
      </c>
      <c r="D73" s="55">
        <f>[9]Amortizaciones!D15</f>
        <v>142263</v>
      </c>
      <c r="E73" s="21" t="s">
        <v>250</v>
      </c>
      <c r="F73" s="19" t="s">
        <v>251</v>
      </c>
      <c r="G73" s="20">
        <v>7722878</v>
      </c>
    </row>
    <row r="74" spans="2:7" x14ac:dyDescent="0.25">
      <c r="B74" s="54" t="s">
        <v>252</v>
      </c>
      <c r="C74" s="55" t="s">
        <v>253</v>
      </c>
      <c r="D74" s="55">
        <f>[9]Amortizaciones!D16</f>
        <v>0</v>
      </c>
      <c r="E74" s="21" t="s">
        <v>254</v>
      </c>
      <c r="F74" s="19" t="s">
        <v>255</v>
      </c>
      <c r="G74" s="20">
        <v>19866746</v>
      </c>
    </row>
    <row r="75" spans="2:7" x14ac:dyDescent="0.25">
      <c r="B75" s="54" t="s">
        <v>256</v>
      </c>
      <c r="C75" s="55" t="s">
        <v>257</v>
      </c>
      <c r="D75" s="55">
        <f>[9]Amortizaciones!D17</f>
        <v>0</v>
      </c>
      <c r="E75" s="21" t="s">
        <v>258</v>
      </c>
      <c r="F75" s="19" t="s">
        <v>259</v>
      </c>
      <c r="G75" s="20">
        <v>14505416</v>
      </c>
    </row>
    <row r="76" spans="2:7" x14ac:dyDescent="0.25">
      <c r="B76" s="54" t="s">
        <v>260</v>
      </c>
      <c r="C76" s="55" t="s">
        <v>261</v>
      </c>
      <c r="D76" s="55">
        <f>[9]Amortizaciones!D18</f>
        <v>0</v>
      </c>
      <c r="E76" s="21" t="s">
        <v>262</v>
      </c>
      <c r="F76" s="19" t="s">
        <v>263</v>
      </c>
      <c r="G76" s="20">
        <v>76217113</v>
      </c>
    </row>
    <row r="77" spans="2:7" x14ac:dyDescent="0.25">
      <c r="B77" s="54" t="s">
        <v>264</v>
      </c>
      <c r="C77" s="55" t="s">
        <v>265</v>
      </c>
      <c r="D77" s="55">
        <f>SUM(D64:D76)</f>
        <v>86020034</v>
      </c>
      <c r="E77" s="21" t="s">
        <v>266</v>
      </c>
      <c r="F77" s="19" t="s">
        <v>267</v>
      </c>
      <c r="G77" s="20">
        <v>135029951</v>
      </c>
    </row>
    <row r="78" spans="2:7" x14ac:dyDescent="0.25">
      <c r="B78" s="54"/>
      <c r="C78" s="55"/>
      <c r="D78" s="55"/>
      <c r="E78" s="21" t="s">
        <v>268</v>
      </c>
      <c r="F78" s="19" t="s">
        <v>269</v>
      </c>
      <c r="G78" s="27">
        <v>32862135</v>
      </c>
    </row>
    <row r="79" spans="2:7" ht="15.75" thickBot="1" x14ac:dyDescent="0.3">
      <c r="B79" s="54"/>
      <c r="C79" s="53" t="s">
        <v>270</v>
      </c>
      <c r="D79" s="56"/>
      <c r="E79" s="21"/>
      <c r="F79" s="28" t="s">
        <v>271</v>
      </c>
      <c r="G79" s="29">
        <f>SUM(G58:G78)</f>
        <v>771358951</v>
      </c>
    </row>
    <row r="80" spans="2:7" x14ac:dyDescent="0.25">
      <c r="B80" s="54" t="s">
        <v>272</v>
      </c>
      <c r="C80" s="55" t="s">
        <v>237</v>
      </c>
      <c r="D80" s="55">
        <f>[9]Amortizaciones!D22</f>
        <v>4279448</v>
      </c>
      <c r="E80" s="21" t="s">
        <v>273</v>
      </c>
      <c r="F80" s="22" t="s">
        <v>274</v>
      </c>
      <c r="G80" s="23">
        <v>0</v>
      </c>
    </row>
    <row r="81" spans="2:7" x14ac:dyDescent="0.25">
      <c r="B81" s="54" t="s">
        <v>275</v>
      </c>
      <c r="C81" s="55" t="s">
        <v>241</v>
      </c>
      <c r="D81" s="55">
        <f>[9]Amortizaciones!D23</f>
        <v>0</v>
      </c>
      <c r="E81" s="21" t="s">
        <v>276</v>
      </c>
      <c r="F81" s="19" t="s">
        <v>277</v>
      </c>
      <c r="G81" s="20">
        <v>16497624</v>
      </c>
    </row>
    <row r="82" spans="2:7" x14ac:dyDescent="0.25">
      <c r="B82" s="54" t="s">
        <v>278</v>
      </c>
      <c r="C82" s="55" t="s">
        <v>245</v>
      </c>
      <c r="D82" s="55">
        <f>[9]Amortizaciones!D24</f>
        <v>649895</v>
      </c>
      <c r="E82" s="21" t="s">
        <v>279</v>
      </c>
      <c r="F82" s="19" t="s">
        <v>280</v>
      </c>
      <c r="G82" s="20">
        <v>13340875</v>
      </c>
    </row>
    <row r="83" spans="2:7" x14ac:dyDescent="0.25">
      <c r="B83" s="54" t="s">
        <v>281</v>
      </c>
      <c r="C83" s="55" t="s">
        <v>249</v>
      </c>
      <c r="D83" s="55">
        <f>[9]Amortizaciones!D25</f>
        <v>0</v>
      </c>
      <c r="E83" s="21" t="s">
        <v>282</v>
      </c>
      <c r="F83" s="19" t="s">
        <v>283</v>
      </c>
      <c r="G83" s="20">
        <v>9400527</v>
      </c>
    </row>
    <row r="84" spans="2:7" x14ac:dyDescent="0.25">
      <c r="B84" s="54" t="s">
        <v>284</v>
      </c>
      <c r="C84" s="55" t="s">
        <v>285</v>
      </c>
      <c r="D84" s="55">
        <v>0</v>
      </c>
      <c r="E84" s="21" t="s">
        <v>286</v>
      </c>
      <c r="F84" s="19" t="s">
        <v>287</v>
      </c>
      <c r="G84" s="20">
        <v>22101502</v>
      </c>
    </row>
    <row r="85" spans="2:7" x14ac:dyDescent="0.25">
      <c r="B85" s="54" t="s">
        <v>288</v>
      </c>
      <c r="C85" s="55" t="s">
        <v>289</v>
      </c>
      <c r="D85" s="55">
        <f>[9]Amortizaciones!D27</f>
        <v>0</v>
      </c>
      <c r="E85" s="21" t="s">
        <v>290</v>
      </c>
      <c r="F85" s="19" t="s">
        <v>291</v>
      </c>
      <c r="G85" s="20">
        <v>8014569</v>
      </c>
    </row>
    <row r="86" spans="2:7" x14ac:dyDescent="0.25">
      <c r="B86" s="54" t="s">
        <v>292</v>
      </c>
      <c r="C86" s="55" t="s">
        <v>293</v>
      </c>
      <c r="D86" s="55">
        <f>[9]Amortizaciones!D28</f>
        <v>0</v>
      </c>
      <c r="E86" s="21" t="s">
        <v>294</v>
      </c>
      <c r="F86" s="19" t="s">
        <v>295</v>
      </c>
      <c r="G86" s="20">
        <v>0</v>
      </c>
    </row>
    <row r="87" spans="2:7" x14ac:dyDescent="0.25">
      <c r="B87" s="54" t="s">
        <v>296</v>
      </c>
      <c r="C87" s="55" t="s">
        <v>297</v>
      </c>
      <c r="D87" s="55">
        <f>[9]Amortizaciones!D29</f>
        <v>0</v>
      </c>
      <c r="E87" s="21" t="s">
        <v>298</v>
      </c>
      <c r="F87" s="19" t="s">
        <v>299</v>
      </c>
      <c r="G87" s="20">
        <v>8512785</v>
      </c>
    </row>
    <row r="88" spans="2:7" x14ac:dyDescent="0.25">
      <c r="B88" s="54" t="s">
        <v>300</v>
      </c>
      <c r="C88" s="55" t="s">
        <v>301</v>
      </c>
      <c r="D88" s="55">
        <f>[9]Amortizaciones!D30</f>
        <v>0</v>
      </c>
      <c r="E88" s="21" t="s">
        <v>302</v>
      </c>
      <c r="F88" s="19" t="s">
        <v>303</v>
      </c>
      <c r="G88" s="20">
        <v>5454</v>
      </c>
    </row>
    <row r="89" spans="2:7" x14ac:dyDescent="0.25">
      <c r="B89" s="54" t="s">
        <v>304</v>
      </c>
      <c r="C89" s="55" t="s">
        <v>213</v>
      </c>
      <c r="D89" s="55">
        <f>[9]Amortizaciones!D31</f>
        <v>2711004</v>
      </c>
      <c r="E89" s="21" t="s">
        <v>305</v>
      </c>
      <c r="F89" s="19" t="s">
        <v>306</v>
      </c>
      <c r="G89" s="20">
        <v>82378219</v>
      </c>
    </row>
    <row r="90" spans="2:7" x14ac:dyDescent="0.25">
      <c r="B90" s="54" t="s">
        <v>307</v>
      </c>
      <c r="C90" s="55" t="s">
        <v>229</v>
      </c>
      <c r="D90" s="55">
        <f>[9]Amortizaciones!D32</f>
        <v>0</v>
      </c>
      <c r="E90" s="21" t="s">
        <v>308</v>
      </c>
      <c r="F90" s="19" t="s">
        <v>309</v>
      </c>
      <c r="G90" s="20">
        <v>2984498</v>
      </c>
    </row>
    <row r="91" spans="2:7" x14ac:dyDescent="0.25">
      <c r="B91" s="54" t="s">
        <v>310</v>
      </c>
      <c r="C91" s="55" t="s">
        <v>311</v>
      </c>
      <c r="D91" s="55">
        <f>SUM(D80:D90)</f>
        <v>7640347</v>
      </c>
      <c r="E91" s="52" t="s">
        <v>312</v>
      </c>
      <c r="F91" s="19" t="s">
        <v>313</v>
      </c>
      <c r="G91" s="20">
        <v>2603245</v>
      </c>
    </row>
    <row r="92" spans="2:7" x14ac:dyDescent="0.25">
      <c r="B92" s="54"/>
      <c r="C92" s="57" t="s">
        <v>314</v>
      </c>
      <c r="D92" s="55">
        <f>D77+D91</f>
        <v>93660381</v>
      </c>
      <c r="E92" s="52" t="s">
        <v>315</v>
      </c>
      <c r="F92" s="19" t="s">
        <v>316</v>
      </c>
      <c r="G92" s="20">
        <v>0</v>
      </c>
    </row>
    <row r="93" spans="2:7" x14ac:dyDescent="0.25">
      <c r="E93" s="52" t="s">
        <v>317</v>
      </c>
      <c r="F93" s="19" t="s">
        <v>318</v>
      </c>
      <c r="G93" s="20">
        <v>1525407</v>
      </c>
    </row>
    <row r="94" spans="2:7" x14ac:dyDescent="0.25">
      <c r="E94" s="52" t="s">
        <v>319</v>
      </c>
      <c r="F94" s="19" t="s">
        <v>320</v>
      </c>
      <c r="G94" s="27">
        <v>6599646</v>
      </c>
    </row>
    <row r="95" spans="2:7" ht="13.5" customHeight="1" thickBot="1" x14ac:dyDescent="0.3">
      <c r="E95" s="21"/>
      <c r="F95" s="28" t="s">
        <v>321</v>
      </c>
      <c r="G95" s="29">
        <f>SUM(G80:G94)</f>
        <v>173964351</v>
      </c>
    </row>
    <row r="96" spans="2:7" x14ac:dyDescent="0.25">
      <c r="E96" s="52" t="s">
        <v>322</v>
      </c>
      <c r="F96" s="22" t="s">
        <v>323</v>
      </c>
      <c r="G96" s="23">
        <v>23510275</v>
      </c>
    </row>
    <row r="97" spans="2:7" x14ac:dyDescent="0.25">
      <c r="E97" s="52" t="s">
        <v>324</v>
      </c>
      <c r="F97" s="19" t="s">
        <v>325</v>
      </c>
      <c r="G97" s="20">
        <v>11795110</v>
      </c>
    </row>
    <row r="98" spans="2:7" x14ac:dyDescent="0.25">
      <c r="E98" s="52" t="s">
        <v>326</v>
      </c>
      <c r="F98" s="19" t="s">
        <v>327</v>
      </c>
      <c r="G98" s="20">
        <v>0</v>
      </c>
    </row>
    <row r="99" spans="2:7" x14ac:dyDescent="0.25">
      <c r="E99" s="52" t="s">
        <v>328</v>
      </c>
      <c r="F99" s="19" t="s">
        <v>329</v>
      </c>
      <c r="G99" s="20">
        <v>16652768</v>
      </c>
    </row>
    <row r="100" spans="2:7" x14ac:dyDescent="0.25">
      <c r="E100" s="52" t="s">
        <v>330</v>
      </c>
      <c r="F100" s="19" t="s">
        <v>331</v>
      </c>
      <c r="G100" s="27">
        <v>2269379</v>
      </c>
    </row>
    <row r="101" spans="2:7" ht="15.75" thickBot="1" x14ac:dyDescent="0.3">
      <c r="E101" s="21"/>
      <c r="F101" s="28" t="s">
        <v>332</v>
      </c>
      <c r="G101" s="29">
        <f>SUM(G96:G100)</f>
        <v>54227532</v>
      </c>
    </row>
    <row r="102" spans="2:7" ht="15.75" thickBot="1" x14ac:dyDescent="0.3">
      <c r="E102" s="52"/>
      <c r="F102" s="59" t="s">
        <v>333</v>
      </c>
      <c r="G102" s="60">
        <f>[9]Amortizaciones!D19</f>
        <v>86020034</v>
      </c>
    </row>
    <row r="103" spans="2:7" x14ac:dyDescent="0.25">
      <c r="E103" s="52" t="s">
        <v>334</v>
      </c>
      <c r="F103" s="19" t="s">
        <v>335</v>
      </c>
      <c r="G103" s="23"/>
    </row>
    <row r="104" spans="2:7" x14ac:dyDescent="0.25">
      <c r="E104" s="52" t="s">
        <v>336</v>
      </c>
      <c r="F104" s="61" t="s">
        <v>337</v>
      </c>
      <c r="G104" s="20"/>
    </row>
    <row r="105" spans="2:7" ht="15.75" thickBot="1" x14ac:dyDescent="0.3">
      <c r="E105" s="21"/>
      <c r="F105" s="28" t="s">
        <v>338</v>
      </c>
      <c r="G105" s="29">
        <f>SUM(G103:G104)</f>
        <v>0</v>
      </c>
    </row>
    <row r="106" spans="2:7" ht="13.7" customHeight="1" thickBot="1" x14ac:dyDescent="0.3">
      <c r="B106" s="6"/>
      <c r="C106" s="62"/>
      <c r="D106" s="62"/>
      <c r="E106" s="52"/>
      <c r="F106" s="48" t="s">
        <v>339</v>
      </c>
      <c r="G106" s="49">
        <f>G19+G27+G32+G48+G57+G79+G95+G101+G102+G105</f>
        <v>5221229520</v>
      </c>
    </row>
    <row r="107" spans="2:7" ht="13.7" customHeight="1" x14ac:dyDescent="0.25">
      <c r="B107" s="6"/>
      <c r="C107" s="62"/>
      <c r="D107" s="62"/>
      <c r="E107" s="21"/>
      <c r="F107" s="63"/>
      <c r="G107" s="64"/>
    </row>
    <row r="108" spans="2:7" ht="13.7" customHeight="1" thickBot="1" x14ac:dyDescent="0.3">
      <c r="B108" s="6"/>
      <c r="C108" s="62"/>
      <c r="D108" s="62"/>
      <c r="E108" s="21"/>
    </row>
    <row r="109" spans="2:7" ht="13.7" customHeight="1" thickBot="1" x14ac:dyDescent="0.3">
      <c r="B109" s="6"/>
      <c r="C109" s="62"/>
      <c r="D109" s="62"/>
      <c r="E109" s="21"/>
      <c r="F109" s="13" t="s">
        <v>340</v>
      </c>
      <c r="G109" s="65">
        <f>D61-G106</f>
        <v>234269702</v>
      </c>
    </row>
    <row r="110" spans="2:7" ht="13.7" customHeight="1" thickBot="1" x14ac:dyDescent="0.3">
      <c r="B110" s="6"/>
      <c r="C110" s="62"/>
      <c r="D110" s="62"/>
      <c r="E110" s="21"/>
    </row>
    <row r="111" spans="2:7" ht="13.7" customHeight="1" thickBot="1" x14ac:dyDescent="0.3">
      <c r="C111" s="48" t="s">
        <v>270</v>
      </c>
      <c r="D111" s="17">
        <f>+[9]E.S.P.!D6</f>
        <v>2020</v>
      </c>
      <c r="E111" s="52"/>
      <c r="F111" s="48" t="s">
        <v>341</v>
      </c>
      <c r="G111" s="17">
        <f>+[9]E.S.P.!D6</f>
        <v>2020</v>
      </c>
    </row>
    <row r="112" spans="2:7" ht="13.7" customHeight="1" x14ac:dyDescent="0.25">
      <c r="B112" s="6" t="s">
        <v>342</v>
      </c>
      <c r="C112" s="66" t="s">
        <v>343</v>
      </c>
      <c r="D112" s="67">
        <v>26690276</v>
      </c>
      <c r="E112" s="21" t="s">
        <v>344</v>
      </c>
      <c r="F112" s="66" t="s">
        <v>309</v>
      </c>
      <c r="G112" s="67">
        <v>1871620</v>
      </c>
    </row>
    <row r="113" spans="2:7" ht="13.7" customHeight="1" x14ac:dyDescent="0.25">
      <c r="B113" s="6" t="s">
        <v>345</v>
      </c>
      <c r="C113" s="68" t="s">
        <v>346</v>
      </c>
      <c r="D113" s="69">
        <v>150639290</v>
      </c>
      <c r="E113" s="21" t="s">
        <v>347</v>
      </c>
      <c r="F113" s="68" t="s">
        <v>348</v>
      </c>
      <c r="G113" s="69">
        <v>0</v>
      </c>
    </row>
    <row r="114" spans="2:7" ht="13.7" customHeight="1" x14ac:dyDescent="0.25">
      <c r="B114" s="6" t="s">
        <v>349</v>
      </c>
      <c r="C114" s="68" t="s">
        <v>48</v>
      </c>
      <c r="D114" s="69">
        <v>0</v>
      </c>
      <c r="E114" s="21" t="s">
        <v>350</v>
      </c>
      <c r="F114" s="68" t="s">
        <v>351</v>
      </c>
      <c r="G114" s="69">
        <v>8856922</v>
      </c>
    </row>
    <row r="115" spans="2:7" ht="13.7" customHeight="1" x14ac:dyDescent="0.25">
      <c r="B115" s="6" t="s">
        <v>352</v>
      </c>
      <c r="C115" s="68" t="s">
        <v>353</v>
      </c>
      <c r="D115" s="69">
        <v>1134028</v>
      </c>
      <c r="E115" s="21" t="s">
        <v>354</v>
      </c>
      <c r="F115" s="68" t="s">
        <v>355</v>
      </c>
      <c r="G115" s="69">
        <v>279260</v>
      </c>
    </row>
    <row r="116" spans="2:7" ht="13.7" customHeight="1" x14ac:dyDescent="0.25">
      <c r="B116" s="6" t="s">
        <v>356</v>
      </c>
      <c r="C116" s="68" t="s">
        <v>357</v>
      </c>
      <c r="D116" s="69">
        <v>6759831</v>
      </c>
      <c r="E116" s="21" t="s">
        <v>358</v>
      </c>
      <c r="F116" s="68" t="s">
        <v>359</v>
      </c>
      <c r="G116" s="69">
        <v>23775303</v>
      </c>
    </row>
    <row r="117" spans="2:7" ht="13.7" customHeight="1" x14ac:dyDescent="0.25">
      <c r="B117" s="6" t="s">
        <v>360</v>
      </c>
      <c r="C117" s="68" t="s">
        <v>361</v>
      </c>
      <c r="D117" s="69">
        <v>0</v>
      </c>
      <c r="E117" s="21" t="s">
        <v>362</v>
      </c>
      <c r="F117" s="68" t="s">
        <v>363</v>
      </c>
      <c r="G117" s="69">
        <v>5733239</v>
      </c>
    </row>
    <row r="118" spans="2:7" ht="13.7" customHeight="1" x14ac:dyDescent="0.25">
      <c r="B118" s="6" t="s">
        <v>364</v>
      </c>
      <c r="C118" s="68" t="s">
        <v>365</v>
      </c>
      <c r="D118" s="69">
        <v>0</v>
      </c>
      <c r="E118" s="21" t="s">
        <v>366</v>
      </c>
      <c r="F118" s="68" t="s">
        <v>367</v>
      </c>
      <c r="G118" s="69">
        <v>11900</v>
      </c>
    </row>
    <row r="119" spans="2:7" ht="13.7" customHeight="1" x14ac:dyDescent="0.25">
      <c r="B119" s="6" t="s">
        <v>368</v>
      </c>
      <c r="C119" s="68" t="s">
        <v>369</v>
      </c>
      <c r="D119" s="69">
        <v>1648497</v>
      </c>
      <c r="E119" s="21" t="s">
        <v>370</v>
      </c>
      <c r="F119" s="68" t="s">
        <v>371</v>
      </c>
      <c r="G119" s="69">
        <v>0</v>
      </c>
    </row>
    <row r="120" spans="2:7" ht="13.7" customHeight="1" x14ac:dyDescent="0.25">
      <c r="B120" s="6" t="s">
        <v>372</v>
      </c>
      <c r="C120" s="68" t="s">
        <v>373</v>
      </c>
      <c r="D120" s="69">
        <v>0</v>
      </c>
      <c r="E120" s="21" t="s">
        <v>374</v>
      </c>
      <c r="F120" s="68" t="s">
        <v>375</v>
      </c>
      <c r="G120" s="69">
        <v>0</v>
      </c>
    </row>
    <row r="121" spans="2:7" ht="13.7" customHeight="1" x14ac:dyDescent="0.25">
      <c r="B121" s="6" t="s">
        <v>376</v>
      </c>
      <c r="C121" s="19" t="s">
        <v>377</v>
      </c>
      <c r="D121" s="69">
        <v>8339640</v>
      </c>
      <c r="E121" s="21" t="s">
        <v>378</v>
      </c>
      <c r="F121" s="68" t="s">
        <v>379</v>
      </c>
      <c r="G121" s="69">
        <v>11308311</v>
      </c>
    </row>
    <row r="122" spans="2:7" ht="13.7" customHeight="1" thickBot="1" x14ac:dyDescent="0.3">
      <c r="B122" s="6"/>
      <c r="C122" s="28" t="s">
        <v>380</v>
      </c>
      <c r="D122" s="37">
        <f>SUM(D112:D121)</f>
        <v>195211562</v>
      </c>
      <c r="E122" s="21" t="s">
        <v>381</v>
      </c>
      <c r="F122" s="19" t="s">
        <v>382</v>
      </c>
      <c r="G122" s="20">
        <v>2304697</v>
      </c>
    </row>
    <row r="123" spans="2:7" ht="13.7" customHeight="1" thickBot="1" x14ac:dyDescent="0.3">
      <c r="B123" s="6" t="s">
        <v>383</v>
      </c>
      <c r="C123" s="70" t="s">
        <v>309</v>
      </c>
      <c r="D123" s="67">
        <v>0</v>
      </c>
      <c r="E123" s="52"/>
      <c r="F123" s="28" t="s">
        <v>384</v>
      </c>
      <c r="G123" s="37">
        <f>SUM(G112:G122)</f>
        <v>54141252</v>
      </c>
    </row>
    <row r="124" spans="2:7" ht="13.7" customHeight="1" x14ac:dyDescent="0.25">
      <c r="B124" s="6" t="s">
        <v>385</v>
      </c>
      <c r="C124" s="68" t="s">
        <v>313</v>
      </c>
      <c r="D124" s="69">
        <v>3268952</v>
      </c>
      <c r="E124" s="21" t="s">
        <v>386</v>
      </c>
      <c r="F124" s="68" t="s">
        <v>387</v>
      </c>
      <c r="G124" s="69">
        <v>0</v>
      </c>
    </row>
    <row r="125" spans="2:7" ht="13.7" customHeight="1" x14ac:dyDescent="0.25">
      <c r="B125" s="6" t="s">
        <v>388</v>
      </c>
      <c r="C125" s="19" t="s">
        <v>389</v>
      </c>
      <c r="D125" s="69">
        <v>130410</v>
      </c>
      <c r="E125" s="21" t="s">
        <v>390</v>
      </c>
      <c r="F125" s="68" t="s">
        <v>391</v>
      </c>
      <c r="G125" s="69">
        <v>464162</v>
      </c>
    </row>
    <row r="126" spans="2:7" ht="13.7" customHeight="1" thickBot="1" x14ac:dyDescent="0.3">
      <c r="B126" s="6"/>
      <c r="C126" s="28" t="s">
        <v>392</v>
      </c>
      <c r="D126" s="37">
        <f>SUM(D123:D125)</f>
        <v>3399362</v>
      </c>
      <c r="E126" s="21" t="s">
        <v>393</v>
      </c>
      <c r="F126" s="68" t="s">
        <v>394</v>
      </c>
      <c r="G126" s="69">
        <v>6270750</v>
      </c>
    </row>
    <row r="127" spans="2:7" ht="13.7" customHeight="1" x14ac:dyDescent="0.25">
      <c r="B127" s="6" t="s">
        <v>395</v>
      </c>
      <c r="C127" s="66" t="s">
        <v>274</v>
      </c>
      <c r="D127" s="67">
        <v>4269064</v>
      </c>
      <c r="E127" s="21" t="s">
        <v>396</v>
      </c>
      <c r="F127" s="68" t="s">
        <v>397</v>
      </c>
      <c r="G127" s="69">
        <v>0</v>
      </c>
    </row>
    <row r="128" spans="2:7" ht="13.7" customHeight="1" x14ac:dyDescent="0.25">
      <c r="B128" s="6" t="s">
        <v>398</v>
      </c>
      <c r="C128" s="68" t="s">
        <v>399</v>
      </c>
      <c r="D128" s="69">
        <v>9931612</v>
      </c>
      <c r="E128" s="21" t="s">
        <v>400</v>
      </c>
      <c r="F128" s="68" t="s">
        <v>401</v>
      </c>
      <c r="G128" s="69">
        <v>0</v>
      </c>
    </row>
    <row r="129" spans="2:7" ht="13.7" customHeight="1" x14ac:dyDescent="0.25">
      <c r="B129" s="6" t="s">
        <v>402</v>
      </c>
      <c r="C129" s="68" t="s">
        <v>277</v>
      </c>
      <c r="D129" s="69">
        <v>0</v>
      </c>
      <c r="E129" s="21" t="s">
        <v>403</v>
      </c>
      <c r="F129" s="68" t="s">
        <v>404</v>
      </c>
      <c r="G129" s="69">
        <v>12796078</v>
      </c>
    </row>
    <row r="130" spans="2:7" ht="13.7" customHeight="1" x14ac:dyDescent="0.25">
      <c r="B130" s="6" t="s">
        <v>405</v>
      </c>
      <c r="C130" s="68" t="s">
        <v>283</v>
      </c>
      <c r="D130" s="69">
        <v>0</v>
      </c>
      <c r="E130" s="21" t="s">
        <v>406</v>
      </c>
      <c r="F130" s="68" t="s">
        <v>407</v>
      </c>
      <c r="G130" s="69">
        <v>0</v>
      </c>
    </row>
    <row r="131" spans="2:7" ht="13.7" customHeight="1" x14ac:dyDescent="0.25">
      <c r="B131" s="6" t="s">
        <v>408</v>
      </c>
      <c r="C131" s="68" t="s">
        <v>287</v>
      </c>
      <c r="D131" s="69">
        <v>0</v>
      </c>
      <c r="E131" s="21" t="s">
        <v>409</v>
      </c>
      <c r="F131" s="68" t="s">
        <v>410</v>
      </c>
      <c r="G131" s="69">
        <v>0</v>
      </c>
    </row>
    <row r="132" spans="2:7" ht="13.7" customHeight="1" x14ac:dyDescent="0.25">
      <c r="B132" s="6" t="s">
        <v>411</v>
      </c>
      <c r="C132" s="68" t="s">
        <v>291</v>
      </c>
      <c r="D132" s="69">
        <v>0</v>
      </c>
      <c r="E132" s="21" t="s">
        <v>412</v>
      </c>
      <c r="F132" s="68" t="s">
        <v>413</v>
      </c>
      <c r="G132" s="69">
        <v>0</v>
      </c>
    </row>
    <row r="133" spans="2:7" ht="13.7" customHeight="1" x14ac:dyDescent="0.25">
      <c r="B133" s="6" t="s">
        <v>414</v>
      </c>
      <c r="C133" s="68" t="s">
        <v>295</v>
      </c>
      <c r="D133" s="69">
        <v>1083209</v>
      </c>
      <c r="E133" s="21" t="s">
        <v>415</v>
      </c>
      <c r="F133" s="68" t="s">
        <v>416</v>
      </c>
      <c r="G133" s="69">
        <v>1696575</v>
      </c>
    </row>
    <row r="134" spans="2:7" ht="13.7" customHeight="1" x14ac:dyDescent="0.25">
      <c r="B134" s="6" t="s">
        <v>417</v>
      </c>
      <c r="C134" s="68" t="s">
        <v>418</v>
      </c>
      <c r="D134" s="69">
        <v>10206502</v>
      </c>
      <c r="E134" s="21" t="s">
        <v>419</v>
      </c>
      <c r="F134" s="68" t="s">
        <v>420</v>
      </c>
      <c r="G134" s="69">
        <v>1773075</v>
      </c>
    </row>
    <row r="135" spans="2:7" ht="13.7" customHeight="1" x14ac:dyDescent="0.25">
      <c r="B135" s="6" t="s">
        <v>421</v>
      </c>
      <c r="C135" s="68" t="s">
        <v>422</v>
      </c>
      <c r="D135" s="69">
        <v>7704584</v>
      </c>
      <c r="E135" s="21" t="s">
        <v>423</v>
      </c>
      <c r="F135" s="68" t="s">
        <v>424</v>
      </c>
      <c r="G135" s="69">
        <v>0</v>
      </c>
    </row>
    <row r="136" spans="2:7" ht="13.7" customHeight="1" x14ac:dyDescent="0.25">
      <c r="B136" s="6" t="s">
        <v>425</v>
      </c>
      <c r="C136" s="68" t="s">
        <v>318</v>
      </c>
      <c r="D136" s="69">
        <v>7322560</v>
      </c>
      <c r="E136" s="21" t="s">
        <v>426</v>
      </c>
      <c r="F136" s="68" t="s">
        <v>427</v>
      </c>
      <c r="G136" s="69">
        <v>214166</v>
      </c>
    </row>
    <row r="137" spans="2:7" ht="13.7" customHeight="1" x14ac:dyDescent="0.25">
      <c r="B137" s="6" t="s">
        <v>428</v>
      </c>
      <c r="C137" s="19" t="s">
        <v>320</v>
      </c>
      <c r="D137" s="71">
        <v>1893946</v>
      </c>
      <c r="E137" s="21" t="s">
        <v>429</v>
      </c>
      <c r="F137" s="68" t="s">
        <v>430</v>
      </c>
      <c r="G137" s="69">
        <v>5113625</v>
      </c>
    </row>
    <row r="138" spans="2:7" ht="13.7" customHeight="1" thickBot="1" x14ac:dyDescent="0.3">
      <c r="B138" s="6"/>
      <c r="C138" s="28" t="s">
        <v>321</v>
      </c>
      <c r="D138" s="37">
        <f>SUM(D127:D137)</f>
        <v>42411477</v>
      </c>
      <c r="E138" s="21" t="s">
        <v>431</v>
      </c>
      <c r="F138" s="19" t="s">
        <v>432</v>
      </c>
      <c r="G138" s="20">
        <v>1274438</v>
      </c>
    </row>
    <row r="139" spans="2:7" ht="13.7" customHeight="1" thickBot="1" x14ac:dyDescent="0.3">
      <c r="B139" s="6" t="s">
        <v>433</v>
      </c>
      <c r="C139" s="66" t="s">
        <v>327</v>
      </c>
      <c r="D139" s="67">
        <v>0</v>
      </c>
      <c r="E139" s="7"/>
      <c r="F139" s="28" t="s">
        <v>434</v>
      </c>
      <c r="G139" s="37">
        <f>SUM(G124:G138)</f>
        <v>29602869</v>
      </c>
    </row>
    <row r="140" spans="2:7" ht="13.7" customHeight="1" thickBot="1" x14ac:dyDescent="0.3">
      <c r="B140" s="6" t="s">
        <v>435</v>
      </c>
      <c r="C140" s="68" t="s">
        <v>329</v>
      </c>
      <c r="D140" s="69">
        <v>6673803</v>
      </c>
      <c r="E140" s="7"/>
      <c r="F140" s="48" t="s">
        <v>436</v>
      </c>
      <c r="G140" s="72">
        <f>G123-G139</f>
        <v>24538383</v>
      </c>
    </row>
    <row r="141" spans="2:7" ht="13.7" customHeight="1" x14ac:dyDescent="0.25">
      <c r="B141" s="6" t="s">
        <v>437</v>
      </c>
      <c r="C141" s="19" t="s">
        <v>331</v>
      </c>
      <c r="D141" s="71">
        <v>199604</v>
      </c>
      <c r="E141" s="73"/>
    </row>
    <row r="142" spans="2:7" ht="13.7" customHeight="1" thickBot="1" x14ac:dyDescent="0.3">
      <c r="B142" s="6"/>
      <c r="C142" s="28" t="s">
        <v>332</v>
      </c>
      <c r="D142" s="37">
        <f>SUM(D139:D141)</f>
        <v>6873407</v>
      </c>
      <c r="E142" s="73"/>
    </row>
    <row r="143" spans="2:7" ht="13.7" customHeight="1" thickBot="1" x14ac:dyDescent="0.3">
      <c r="B143" s="6"/>
      <c r="C143" s="59" t="s">
        <v>438</v>
      </c>
      <c r="D143" s="74">
        <f>[9]Amortizaciones!D33</f>
        <v>7640347</v>
      </c>
      <c r="E143" s="21"/>
      <c r="F143" s="48" t="s">
        <v>439</v>
      </c>
      <c r="G143" s="17">
        <f>+[9]E.S.P.!D6</f>
        <v>2020</v>
      </c>
    </row>
    <row r="144" spans="2:7" ht="13.7" customHeight="1" x14ac:dyDescent="0.25">
      <c r="B144" s="6" t="s">
        <v>440</v>
      </c>
      <c r="C144" s="66" t="s">
        <v>441</v>
      </c>
      <c r="D144" s="67">
        <v>8020197</v>
      </c>
      <c r="E144" s="21" t="s">
        <v>442</v>
      </c>
      <c r="F144" s="66" t="s">
        <v>443</v>
      </c>
      <c r="G144" s="67">
        <v>0</v>
      </c>
    </row>
    <row r="145" spans="2:7" ht="13.7" customHeight="1" x14ac:dyDescent="0.25">
      <c r="B145" s="6" t="s">
        <v>444</v>
      </c>
      <c r="C145" s="68" t="s">
        <v>445</v>
      </c>
      <c r="D145" s="69">
        <v>0</v>
      </c>
      <c r="E145" s="21" t="s">
        <v>446</v>
      </c>
      <c r="F145" s="68" t="s">
        <v>447</v>
      </c>
      <c r="G145" s="69">
        <v>23170380</v>
      </c>
    </row>
    <row r="146" spans="2:7" ht="13.7" customHeight="1" x14ac:dyDescent="0.25">
      <c r="B146" s="6" t="s">
        <v>448</v>
      </c>
      <c r="C146" s="75" t="s">
        <v>449</v>
      </c>
      <c r="D146" s="69">
        <v>0</v>
      </c>
      <c r="E146" s="21" t="s">
        <v>450</v>
      </c>
      <c r="F146" s="68" t="s">
        <v>451</v>
      </c>
      <c r="G146" s="69">
        <v>23675001</v>
      </c>
    </row>
    <row r="147" spans="2:7" ht="13.7" customHeight="1" x14ac:dyDescent="0.25">
      <c r="B147" s="6" t="s">
        <v>452</v>
      </c>
      <c r="C147" s="19" t="s">
        <v>453</v>
      </c>
      <c r="D147" s="71">
        <v>357321</v>
      </c>
      <c r="E147" s="21" t="s">
        <v>454</v>
      </c>
      <c r="F147" s="68" t="s">
        <v>455</v>
      </c>
      <c r="G147" s="69">
        <v>0</v>
      </c>
    </row>
    <row r="148" spans="2:7" ht="13.7" customHeight="1" thickBot="1" x14ac:dyDescent="0.3">
      <c r="B148" s="6"/>
      <c r="C148" s="28" t="s">
        <v>456</v>
      </c>
      <c r="D148" s="37">
        <f>SUM(D144:D147)</f>
        <v>8377518</v>
      </c>
      <c r="E148" s="21" t="s">
        <v>457</v>
      </c>
      <c r="F148" s="68" t="s">
        <v>458</v>
      </c>
      <c r="G148" s="69">
        <v>0</v>
      </c>
    </row>
    <row r="149" spans="2:7" ht="13.7" customHeight="1" x14ac:dyDescent="0.25">
      <c r="B149" s="6" t="s">
        <v>459</v>
      </c>
      <c r="C149" s="66" t="s">
        <v>460</v>
      </c>
      <c r="D149" s="67">
        <v>1139139</v>
      </c>
      <c r="E149" s="21" t="s">
        <v>461</v>
      </c>
      <c r="F149" s="68" t="s">
        <v>462</v>
      </c>
      <c r="G149" s="69">
        <v>0</v>
      </c>
    </row>
    <row r="150" spans="2:7" ht="13.7" customHeight="1" x14ac:dyDescent="0.25">
      <c r="B150" s="6" t="s">
        <v>463</v>
      </c>
      <c r="C150" s="68" t="s">
        <v>464</v>
      </c>
      <c r="D150" s="69">
        <v>0</v>
      </c>
      <c r="E150" s="21" t="s">
        <v>465</v>
      </c>
      <c r="F150" s="68" t="s">
        <v>466</v>
      </c>
      <c r="G150" s="69">
        <v>0</v>
      </c>
    </row>
    <row r="151" spans="2:7" ht="13.7" customHeight="1" x14ac:dyDescent="0.25">
      <c r="B151" s="6" t="s">
        <v>467</v>
      </c>
      <c r="C151" s="19" t="s">
        <v>468</v>
      </c>
      <c r="D151" s="71">
        <v>0</v>
      </c>
      <c r="E151" s="21" t="s">
        <v>469</v>
      </c>
      <c r="F151" s="68" t="s">
        <v>470</v>
      </c>
      <c r="G151" s="69">
        <v>85528526</v>
      </c>
    </row>
    <row r="152" spans="2:7" ht="13.7" customHeight="1" thickBot="1" x14ac:dyDescent="0.3">
      <c r="B152" s="6"/>
      <c r="C152" s="28" t="s">
        <v>471</v>
      </c>
      <c r="D152" s="37">
        <f>SUM(D149:D151)</f>
        <v>1139139</v>
      </c>
      <c r="E152" s="21" t="s">
        <v>472</v>
      </c>
      <c r="F152" s="68" t="s">
        <v>473</v>
      </c>
      <c r="G152" s="69">
        <v>268295</v>
      </c>
    </row>
    <row r="153" spans="2:7" ht="13.7" customHeight="1" thickBot="1" x14ac:dyDescent="0.3">
      <c r="B153" s="6"/>
      <c r="C153" s="48" t="s">
        <v>474</v>
      </c>
      <c r="D153" s="76">
        <f>D122+D126+D138+D142+D143+D148+D152</f>
        <v>265052812</v>
      </c>
      <c r="E153" s="21" t="s">
        <v>475</v>
      </c>
      <c r="F153" s="19" t="s">
        <v>476</v>
      </c>
      <c r="G153" s="20">
        <v>1062227</v>
      </c>
    </row>
    <row r="154" spans="2:7" ht="13.7" customHeight="1" thickBot="1" x14ac:dyDescent="0.3">
      <c r="B154" s="6"/>
      <c r="E154" s="21"/>
      <c r="F154" s="28" t="s">
        <v>477</v>
      </c>
      <c r="G154" s="37">
        <f>SUM(G144:G153)</f>
        <v>133704429</v>
      </c>
    </row>
    <row r="155" spans="2:7" ht="13.7" customHeight="1" thickBot="1" x14ac:dyDescent="0.3">
      <c r="B155" s="6"/>
      <c r="C155" s="77" t="s">
        <v>478</v>
      </c>
      <c r="D155" s="65">
        <f>G109-D153</f>
        <v>-30783110</v>
      </c>
      <c r="E155" s="21" t="s">
        <v>479</v>
      </c>
      <c r="F155" s="66" t="s">
        <v>480</v>
      </c>
      <c r="G155" s="67">
        <v>8908906</v>
      </c>
    </row>
    <row r="156" spans="2:7" ht="13.7" customHeight="1" x14ac:dyDescent="0.25">
      <c r="E156" s="21" t="s">
        <v>481</v>
      </c>
      <c r="F156" s="68" t="s">
        <v>482</v>
      </c>
      <c r="G156" s="69">
        <v>50623744</v>
      </c>
    </row>
    <row r="157" spans="2:7" ht="13.7" customHeight="1" x14ac:dyDescent="0.25">
      <c r="E157" s="21" t="s">
        <v>483</v>
      </c>
      <c r="F157" s="68" t="s">
        <v>484</v>
      </c>
      <c r="G157" s="69">
        <v>0</v>
      </c>
    </row>
    <row r="158" spans="2:7" ht="13.7" customHeight="1" x14ac:dyDescent="0.25">
      <c r="E158" s="21" t="s">
        <v>485</v>
      </c>
      <c r="F158" s="68" t="s">
        <v>486</v>
      </c>
      <c r="G158" s="69">
        <v>0</v>
      </c>
    </row>
    <row r="159" spans="2:7" ht="13.7" customHeight="1" x14ac:dyDescent="0.25">
      <c r="E159" s="21" t="s">
        <v>487</v>
      </c>
      <c r="F159" s="68" t="s">
        <v>488</v>
      </c>
      <c r="G159" s="69">
        <v>0</v>
      </c>
    </row>
    <row r="160" spans="2:7" ht="13.7" customHeight="1" x14ac:dyDescent="0.25">
      <c r="E160" s="21" t="s">
        <v>489</v>
      </c>
      <c r="F160" s="68" t="s">
        <v>490</v>
      </c>
      <c r="G160" s="69">
        <v>64934</v>
      </c>
    </row>
    <row r="161" spans="5:7" ht="13.7" customHeight="1" x14ac:dyDescent="0.25">
      <c r="E161" s="21" t="s">
        <v>491</v>
      </c>
      <c r="F161" s="68" t="s">
        <v>492</v>
      </c>
      <c r="G161" s="69">
        <v>0</v>
      </c>
    </row>
    <row r="162" spans="5:7" ht="13.7" customHeight="1" x14ac:dyDescent="0.25">
      <c r="E162" s="21" t="s">
        <v>493</v>
      </c>
      <c r="F162" s="68" t="s">
        <v>494</v>
      </c>
      <c r="G162" s="69">
        <v>0</v>
      </c>
    </row>
    <row r="163" spans="5:7" ht="13.7" customHeight="1" x14ac:dyDescent="0.25">
      <c r="E163" s="21" t="s">
        <v>495</v>
      </c>
      <c r="F163" s="68" t="s">
        <v>496</v>
      </c>
      <c r="G163" s="69">
        <v>0</v>
      </c>
    </row>
    <row r="164" spans="5:7" ht="13.7" customHeight="1" x14ac:dyDescent="0.25">
      <c r="E164" s="21" t="s">
        <v>497</v>
      </c>
      <c r="F164" s="68" t="s">
        <v>498</v>
      </c>
      <c r="G164" s="69">
        <v>0</v>
      </c>
    </row>
    <row r="165" spans="5:7" ht="13.7" customHeight="1" x14ac:dyDescent="0.25">
      <c r="E165" s="21" t="s">
        <v>499</v>
      </c>
      <c r="F165" s="68" t="s">
        <v>500</v>
      </c>
      <c r="G165" s="69">
        <v>0</v>
      </c>
    </row>
    <row r="166" spans="5:7" ht="13.7" customHeight="1" x14ac:dyDescent="0.25">
      <c r="E166" s="21" t="s">
        <v>501</v>
      </c>
      <c r="F166" s="68" t="s">
        <v>502</v>
      </c>
      <c r="G166" s="69">
        <v>1618502</v>
      </c>
    </row>
    <row r="167" spans="5:7" ht="13.7" customHeight="1" x14ac:dyDescent="0.25">
      <c r="E167" s="21" t="s">
        <v>503</v>
      </c>
      <c r="F167" s="19" t="s">
        <v>504</v>
      </c>
      <c r="G167" s="20">
        <v>444269</v>
      </c>
    </row>
    <row r="168" spans="5:7" ht="13.7" customHeight="1" thickBot="1" x14ac:dyDescent="0.3">
      <c r="E168" s="21"/>
      <c r="F168" s="28" t="s">
        <v>505</v>
      </c>
      <c r="G168" s="37">
        <f>SUM(G155:G167)</f>
        <v>61660355</v>
      </c>
    </row>
    <row r="169" spans="5:7" ht="13.7" customHeight="1" thickBot="1" x14ac:dyDescent="0.3">
      <c r="E169" s="21"/>
      <c r="F169" s="48" t="s">
        <v>506</v>
      </c>
      <c r="G169" s="72">
        <f>G154-G168</f>
        <v>72044074</v>
      </c>
    </row>
    <row r="170" spans="5:7" ht="13.7" customHeight="1" thickBot="1" x14ac:dyDescent="0.3">
      <c r="E170" s="21"/>
      <c r="F170" s="78"/>
      <c r="G170" s="78"/>
    </row>
    <row r="171" spans="5:7" ht="13.7" customHeight="1" thickBot="1" x14ac:dyDescent="0.3">
      <c r="E171" s="21"/>
      <c r="F171" s="77" t="s">
        <v>507</v>
      </c>
      <c r="G171" s="79"/>
    </row>
    <row r="172" spans="5:7" ht="13.7" customHeight="1" thickBot="1" x14ac:dyDescent="0.3">
      <c r="E172" s="21"/>
      <c r="F172" s="80"/>
      <c r="G172" s="81">
        <f>+D155+G140+G169</f>
        <v>65799347</v>
      </c>
    </row>
    <row r="173" spans="5:7" ht="13.7" customHeight="1" thickBot="1" x14ac:dyDescent="0.3">
      <c r="E173" s="21"/>
      <c r="F173" s="5"/>
      <c r="G173" s="5"/>
    </row>
    <row r="174" spans="5:7" ht="13.7" customHeight="1" thickBot="1" x14ac:dyDescent="0.3">
      <c r="E174" s="21"/>
      <c r="F174" s="48" t="s">
        <v>508</v>
      </c>
      <c r="G174" s="17">
        <f>+G143</f>
        <v>2020</v>
      </c>
    </row>
    <row r="175" spans="5:7" ht="13.7" customHeight="1" x14ac:dyDescent="0.25">
      <c r="E175" s="21"/>
      <c r="F175" s="66" t="s">
        <v>509</v>
      </c>
      <c r="G175" s="67">
        <v>0</v>
      </c>
    </row>
    <row r="176" spans="5:7" ht="13.7" customHeight="1" x14ac:dyDescent="0.25">
      <c r="E176" s="21"/>
      <c r="F176" s="68" t="s">
        <v>510</v>
      </c>
      <c r="G176" s="69">
        <v>0</v>
      </c>
    </row>
    <row r="177" spans="1:8" ht="13.7" customHeight="1" thickBot="1" x14ac:dyDescent="0.3">
      <c r="F177" s="68" t="s">
        <v>511</v>
      </c>
      <c r="G177" s="69">
        <v>0</v>
      </c>
    </row>
    <row r="178" spans="1:8" ht="13.7" customHeight="1" thickBot="1" x14ac:dyDescent="0.3">
      <c r="F178" s="48" t="s">
        <v>512</v>
      </c>
      <c r="G178" s="72">
        <f>SUM(G175:G177)</f>
        <v>0</v>
      </c>
    </row>
    <row r="179" spans="1:8" ht="13.7" customHeight="1" thickBot="1" x14ac:dyDescent="0.3"/>
    <row r="180" spans="1:8" ht="13.7" customHeight="1" thickBot="1" x14ac:dyDescent="0.3">
      <c r="F180" s="77" t="s">
        <v>513</v>
      </c>
      <c r="G180" s="79"/>
    </row>
    <row r="181" spans="1:8" ht="13.7" customHeight="1" thickBot="1" x14ac:dyDescent="0.3">
      <c r="F181" s="83"/>
      <c r="G181" s="81">
        <f>+G172+G178</f>
        <v>65799347</v>
      </c>
    </row>
    <row r="182" spans="1:8" ht="13.7" customHeight="1" x14ac:dyDescent="0.25"/>
    <row r="183" spans="1:8" ht="13.5" customHeight="1" x14ac:dyDescent="0.25"/>
    <row r="184" spans="1:8" ht="13.7" customHeight="1" x14ac:dyDescent="0.25">
      <c r="E184" s="84"/>
      <c r="F184" s="84"/>
      <c r="G184" s="84"/>
      <c r="H184" s="84"/>
    </row>
    <row r="185" spans="1:8" s="84" customFormat="1" ht="13.7" customHeight="1" x14ac:dyDescent="0.25">
      <c r="A185" s="85"/>
      <c r="E185" s="82"/>
      <c r="F185" s="86"/>
      <c r="G185" s="86"/>
    </row>
    <row r="186" spans="1:8" s="84" customFormat="1" ht="12.75" x14ac:dyDescent="0.25">
      <c r="A186" s="85"/>
      <c r="E186" s="82"/>
      <c r="F186" s="86"/>
      <c r="G186" s="86"/>
    </row>
    <row r="187" spans="1:8" s="84" customFormat="1" ht="12.75" hidden="1" x14ac:dyDescent="0.25">
      <c r="A187" s="85"/>
      <c r="E187" s="82"/>
      <c r="F187" s="86"/>
      <c r="G187" s="86"/>
    </row>
    <row r="188" spans="1:8" s="84" customFormat="1" ht="12.75" hidden="1" x14ac:dyDescent="0.25">
      <c r="A188" s="85"/>
      <c r="E188" s="82"/>
      <c r="F188" s="86"/>
      <c r="G188" s="86"/>
    </row>
    <row r="189" spans="1:8" s="84" customFormat="1" ht="12.75" hidden="1" x14ac:dyDescent="0.25">
      <c r="A189" s="85"/>
      <c r="E189" s="82"/>
      <c r="F189" s="86"/>
      <c r="G189" s="86"/>
    </row>
    <row r="190" spans="1:8" s="84" customFormat="1" ht="12.75" hidden="1" x14ac:dyDescent="0.25">
      <c r="A190" s="85"/>
      <c r="E190" s="82"/>
      <c r="F190" s="86"/>
      <c r="G190" s="86"/>
    </row>
    <row r="191" spans="1:8" s="84" customFormat="1" ht="12.75" hidden="1" x14ac:dyDescent="0.25">
      <c r="A191" s="85"/>
      <c r="E191" s="82"/>
      <c r="F191" s="86"/>
      <c r="G191" s="86"/>
    </row>
    <row r="192" spans="1:8" s="84" customFormat="1" ht="12.75" hidden="1" x14ac:dyDescent="0.25">
      <c r="A192" s="85"/>
      <c r="E192" s="82"/>
      <c r="F192" s="86"/>
      <c r="G192" s="86"/>
    </row>
    <row r="193" spans="5:7" s="84" customFormat="1" ht="12.75" hidden="1" x14ac:dyDescent="0.25">
      <c r="E193" s="82"/>
      <c r="F193" s="86"/>
      <c r="G193" s="86"/>
    </row>
    <row r="194" spans="5:7" s="84" customFormat="1" ht="12.75" hidden="1" x14ac:dyDescent="0.25">
      <c r="E194" s="82"/>
      <c r="F194" s="86"/>
      <c r="G194" s="86"/>
    </row>
    <row r="195" spans="5:7" s="84" customFormat="1" ht="12.75" hidden="1" x14ac:dyDescent="0.25">
      <c r="E195" s="82"/>
      <c r="F195" s="86"/>
      <c r="G195" s="86"/>
    </row>
    <row r="196" spans="5:7" s="84" customFormat="1" ht="12.75" hidden="1" x14ac:dyDescent="0.25">
      <c r="E196" s="82"/>
      <c r="F196" s="86"/>
      <c r="G196" s="86"/>
    </row>
    <row r="197" spans="5:7" s="84" customFormat="1" ht="12.75" hidden="1" x14ac:dyDescent="0.25">
      <c r="E197" s="82"/>
      <c r="F197" s="86"/>
      <c r="G197" s="86"/>
    </row>
    <row r="198" spans="5:7" s="84" customFormat="1" ht="12.75" hidden="1" x14ac:dyDescent="0.25">
      <c r="E198" s="82"/>
      <c r="F198" s="86"/>
      <c r="G198" s="86"/>
    </row>
    <row r="199" spans="5:7" s="84" customFormat="1" ht="12.75" hidden="1" x14ac:dyDescent="0.25">
      <c r="E199" s="82"/>
      <c r="F199" s="86"/>
      <c r="G199" s="86"/>
    </row>
    <row r="200" spans="5:7" s="84" customFormat="1" ht="12.75" hidden="1" x14ac:dyDescent="0.25">
      <c r="E200" s="82"/>
      <c r="F200" s="86"/>
      <c r="G200" s="86"/>
    </row>
    <row r="201" spans="5:7" s="84" customFormat="1" ht="12.75" hidden="1" x14ac:dyDescent="0.25">
      <c r="E201" s="82"/>
      <c r="F201" s="86"/>
      <c r="G201" s="86"/>
    </row>
    <row r="202" spans="5:7" s="84" customFormat="1" ht="12.75" hidden="1" x14ac:dyDescent="0.25">
      <c r="E202" s="82"/>
      <c r="F202" s="86"/>
      <c r="G202" s="86"/>
    </row>
    <row r="203" spans="5:7" s="84" customFormat="1" ht="12.75" hidden="1" x14ac:dyDescent="0.25">
      <c r="E203" s="82"/>
      <c r="F203" s="86"/>
      <c r="G203" s="86"/>
    </row>
    <row r="204" spans="5:7" s="84" customFormat="1" ht="12.75" hidden="1" x14ac:dyDescent="0.25">
      <c r="E204" s="82"/>
      <c r="F204" s="86"/>
      <c r="G204" s="86"/>
    </row>
    <row r="205" spans="5:7" s="84" customFormat="1" ht="12.75" hidden="1" x14ac:dyDescent="0.25">
      <c r="E205" s="82"/>
      <c r="F205" s="86"/>
      <c r="G205" s="86"/>
    </row>
    <row r="206" spans="5:7" s="84" customFormat="1" ht="12.75" hidden="1" x14ac:dyDescent="0.25">
      <c r="E206" s="82"/>
      <c r="F206" s="86"/>
      <c r="G206" s="86"/>
    </row>
    <row r="207" spans="5:7" s="84" customFormat="1" ht="12.75" hidden="1" x14ac:dyDescent="0.25">
      <c r="E207" s="82"/>
      <c r="F207" s="86"/>
      <c r="G207" s="86"/>
    </row>
    <row r="208" spans="5:7" s="84" customFormat="1" ht="12.75" hidden="1" x14ac:dyDescent="0.25">
      <c r="E208" s="82"/>
      <c r="F208" s="86"/>
      <c r="G208" s="86"/>
    </row>
    <row r="209" spans="3:8" s="84" customFormat="1" ht="12.75" hidden="1" x14ac:dyDescent="0.25">
      <c r="E209" s="82"/>
      <c r="F209" s="86"/>
      <c r="G209" s="86"/>
    </row>
    <row r="210" spans="3:8" s="84" customFormat="1" ht="12.75" hidden="1" x14ac:dyDescent="0.25">
      <c r="E210" s="82"/>
      <c r="F210" s="86"/>
      <c r="G210" s="86"/>
    </row>
    <row r="211" spans="3:8" s="84" customFormat="1" ht="12.75" hidden="1" x14ac:dyDescent="0.25">
      <c r="E211" s="82"/>
      <c r="F211" s="86"/>
      <c r="G211" s="86"/>
    </row>
    <row r="212" spans="3:8" s="84" customFormat="1" ht="12.75" hidden="1" x14ac:dyDescent="0.25">
      <c r="E212" s="82"/>
      <c r="F212" s="86"/>
      <c r="G212" s="86"/>
    </row>
    <row r="213" spans="3:8" s="84" customFormat="1" ht="12.75" hidden="1" x14ac:dyDescent="0.25">
      <c r="E213" s="82"/>
      <c r="F213" s="86"/>
      <c r="G213" s="86"/>
    </row>
    <row r="214" spans="3:8" s="84" customFormat="1" hidden="1" x14ac:dyDescent="0.25">
      <c r="E214" s="82"/>
      <c r="F214" s="87"/>
      <c r="G214" s="58"/>
      <c r="H214" s="5"/>
    </row>
    <row r="215" spans="3:8" hidden="1" x14ac:dyDescent="0.25">
      <c r="C215" s="86"/>
      <c r="D215" s="86"/>
      <c r="F215" s="87"/>
    </row>
    <row r="216" spans="3:8" hidden="1" x14ac:dyDescent="0.25"/>
    <row r="217" spans="3:8" hidden="1" x14ac:dyDescent="0.25"/>
    <row r="218" spans="3:8" hidden="1" x14ac:dyDescent="0.25"/>
    <row r="219" spans="3:8" hidden="1" x14ac:dyDescent="0.25"/>
    <row r="220" spans="3:8" hidden="1" x14ac:dyDescent="0.25"/>
    <row r="221" spans="3:8" hidden="1" x14ac:dyDescent="0.25"/>
    <row r="222" spans="3:8" hidden="1" x14ac:dyDescent="0.25"/>
    <row r="223" spans="3:8" hidden="1" x14ac:dyDescent="0.25"/>
    <row r="224" spans="3:8"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sheetData>
  <mergeCells count="6">
    <mergeCell ref="C1:D1"/>
    <mergeCell ref="E1:F1"/>
    <mergeCell ref="C2:D2"/>
    <mergeCell ref="E2:F2"/>
    <mergeCell ref="C3:D3"/>
    <mergeCell ref="E3:F3"/>
  </mergeCells>
  <conditionalFormatting sqref="D7:D12">
    <cfRule type="cellIs" dxfId="349" priority="2" stopIfTrue="1" operator="greaterThan">
      <formula>50</formula>
    </cfRule>
    <cfRule type="cellIs" dxfId="348" priority="11" stopIfTrue="1" operator="equal">
      <formula>0</formula>
    </cfRule>
  </conditionalFormatting>
  <conditionalFormatting sqref="D7:D61">
    <cfRule type="cellIs" dxfId="347" priority="9" stopIfTrue="1" operator="between">
      <formula>-0.1</formula>
      <formula>-50</formula>
    </cfRule>
    <cfRule type="cellIs" dxfId="346" priority="10" stopIfTrue="1" operator="between">
      <formula>0.1</formula>
      <formula>50</formula>
    </cfRule>
  </conditionalFormatting>
  <conditionalFormatting sqref="G152:G181 G7:G150">
    <cfRule type="cellIs" dxfId="345" priority="7" stopIfTrue="1" operator="between">
      <formula>-0.1</formula>
      <formula>-50</formula>
    </cfRule>
    <cfRule type="cellIs" dxfId="344" priority="8" stopIfTrue="1" operator="between">
      <formula>0.1</formula>
      <formula>50</formula>
    </cfRule>
  </conditionalFormatting>
  <conditionalFormatting sqref="D111:D155">
    <cfRule type="cellIs" dxfId="343" priority="5" stopIfTrue="1" operator="between">
      <formula>-0.1</formula>
      <formula>-50</formula>
    </cfRule>
    <cfRule type="cellIs" dxfId="342" priority="6" stopIfTrue="1" operator="between">
      <formula>0.1</formula>
      <formula>50</formula>
    </cfRule>
  </conditionalFormatting>
  <conditionalFormatting sqref="G165">
    <cfRule type="expression" dxfId="341" priority="4" stopIfTrue="1">
      <formula>AND($G$165&gt;0,$G$151&gt;0)</formula>
    </cfRule>
  </conditionalFormatting>
  <conditionalFormatting sqref="G151">
    <cfRule type="expression" dxfId="340" priority="1" stopIfTrue="1">
      <formula>AND($G$151&gt;0,$G$165&gt;0)</formula>
    </cfRule>
  </conditionalFormatting>
  <dataValidations count="11">
    <dataValidation type="custom" operator="greaterThan" showInputMessage="1" showErrorMessage="1" errorTitle="RDM" error="No se admite ingresar RDM como ingresos y egresos a la vez. Tampoco se admiten valores menores a $50._x000a_" sqref="G151">
      <formula1>AND(OR(G151=0, G151&gt;50),G165=0)</formula1>
    </dataValidation>
    <dataValidation type="whole" operator="greaterThan" allowBlank="1" showInputMessage="1" showErrorMessage="1" sqref="D8:D12">
      <formula1>50</formula1>
    </dataValidation>
    <dataValidation type="whole" operator="greaterThan" showInputMessage="1" showErrorMessage="1" errorTitle="eee" error="Valores mayores a $50" sqref="D7">
      <formula1>50</formula1>
    </dataValidation>
    <dataValidation type="custom" operator="greaterThan" showInputMessage="1" showErrorMessage="1" errorTitle="eee" sqref="D56">
      <formula1>OR(D56=0, D56&lt;50)</formula1>
    </dataValidation>
    <dataValidation type="custom" operator="greaterThan" showInputMessage="1" showErrorMessage="1" errorTitle="eee" sqref="D57:D61">
      <formula1>OR(D57=0, D57&lt;0)</formula1>
    </dataValidation>
    <dataValidation type="custom" operator="greaterThan" showInputMessage="1" showErrorMessage="1" errorTitle="eee" sqref="G7:G140 D62:D155 G152:G164 G166:G181 G144:G150 D13:D55">
      <formula1>OR(D7=0, D7&gt;50)</formula1>
    </dataValidation>
    <dataValidation type="whole" allowBlank="1" showErrorMessage="1" errorTitle="Error de datos" error="Debe ingresar un valor entre 1 y 12" sqref="G1:G3">
      <formula1>1</formula1>
      <formula2>12</formula2>
    </dataValidation>
    <dataValidation allowBlank="1" errorTitle="Error de datos" error="Debe introducir una fecha válida" sqref="E3"/>
    <dataValidation allowBlank="1" sqref="G204"/>
    <dataValidation operator="greaterThanOrEqual" allowBlank="1" errorTitle="Error de datos" error="Debe ingresar un valor entero positivo" sqref="F6:F107 F203 C13:C47 C106:C153 F171 F174:F178 F180 F111:F119 C7:C10 F121:F140 F143:F169 C49:C62 C155 F109"/>
    <dataValidation type="custom" operator="greaterThan" showInputMessage="1" showErrorMessage="1" errorTitle="rdm2" error="No se admite ingresar a la vez RDM como ingresos y como egresos. Tampoco se admiten valores negattivos o positivos menores de 50" sqref="G165">
      <formula1>AND(OR(G165=0, G165&gt;50),G151=0)</formula1>
    </dataValidation>
  </dataValidations>
  <pageMargins left="0.7" right="0.7" top="0.75" bottom="0.75" header="0.3" footer="0.3"/>
  <ignoredErrors>
    <ignoredError sqref="E7:E180" numberStoredAsText="1"/>
  </ignoredErrors>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15"/>
  <sheetViews>
    <sheetView showGridLines="0" workbookViewId="0">
      <selection activeCell="F4" sqref="F4"/>
    </sheetView>
  </sheetViews>
  <sheetFormatPr baseColWidth="10" defaultColWidth="0" defaultRowHeight="15" zeroHeight="1" x14ac:dyDescent="0.25"/>
  <cols>
    <col min="1" max="1" width="3.7109375" style="1" customWidth="1"/>
    <col min="2" max="2" width="14.28515625" style="7" hidden="1" customWidth="1"/>
    <col min="3" max="3" width="58.85546875" style="58" customWidth="1"/>
    <col min="4" max="4" width="25.140625" style="58" customWidth="1"/>
    <col min="5" max="5" width="5.85546875" style="82" customWidth="1"/>
    <col min="6" max="6" width="57.28515625" style="58" customWidth="1"/>
    <col min="7" max="7" width="24.7109375" style="58" customWidth="1"/>
    <col min="8" max="8" width="5.42578125" style="5" customWidth="1"/>
    <col min="9" max="16384" width="0" style="5" hidden="1"/>
  </cols>
  <sheetData>
    <row r="1" spans="1:9" ht="15.75" x14ac:dyDescent="0.25">
      <c r="B1" s="2"/>
      <c r="C1" s="313" t="s">
        <v>0</v>
      </c>
      <c r="D1" s="314"/>
      <c r="E1" s="315" t="str">
        <f>[10]Presentacion!C2</f>
        <v>Universal</v>
      </c>
      <c r="F1" s="315"/>
      <c r="G1" s="3"/>
      <c r="H1" s="4"/>
    </row>
    <row r="2" spans="1:9" ht="15.75" x14ac:dyDescent="0.25">
      <c r="B2" s="6"/>
      <c r="C2" s="313" t="s">
        <v>1</v>
      </c>
      <c r="D2" s="314"/>
      <c r="E2" s="315" t="str">
        <f>[10]Presentacion!C3</f>
        <v>Montevideo</v>
      </c>
      <c r="F2" s="315"/>
      <c r="G2" s="3"/>
      <c r="H2" s="4"/>
    </row>
    <row r="3" spans="1:9" ht="15.75" x14ac:dyDescent="0.25">
      <c r="B3" s="6"/>
      <c r="C3" s="313" t="s">
        <v>2</v>
      </c>
      <c r="D3" s="316"/>
      <c r="E3" s="317" t="s">
        <v>3</v>
      </c>
      <c r="F3" s="317"/>
      <c r="G3" s="3"/>
      <c r="H3" s="4"/>
    </row>
    <row r="4" spans="1:9" ht="15.75" thickBot="1" x14ac:dyDescent="0.3">
      <c r="C4" s="287"/>
      <c r="D4" s="8"/>
      <c r="E4" s="9"/>
      <c r="F4" s="10"/>
      <c r="G4" s="11"/>
    </row>
    <row r="5" spans="1:9" ht="16.5" thickBot="1" x14ac:dyDescent="0.3">
      <c r="B5" s="12"/>
      <c r="C5" s="13" t="s">
        <v>4</v>
      </c>
      <c r="D5" s="284" t="s">
        <v>5</v>
      </c>
      <c r="E5" s="14"/>
      <c r="F5" s="13" t="s">
        <v>6</v>
      </c>
      <c r="G5" s="284" t="s">
        <v>5</v>
      </c>
      <c r="I5" s="15"/>
    </row>
    <row r="6" spans="1:9" ht="16.5" thickBot="1" x14ac:dyDescent="0.3">
      <c r="B6" s="12"/>
      <c r="C6" s="16" t="s">
        <v>7</v>
      </c>
      <c r="D6" s="290">
        <f>+[10]E.S.P.!D6</f>
        <v>2020</v>
      </c>
      <c r="E6" s="18"/>
      <c r="F6" s="16" t="s">
        <v>8</v>
      </c>
      <c r="G6" s="290">
        <f>+D6</f>
        <v>2020</v>
      </c>
      <c r="H6" s="15"/>
    </row>
    <row r="7" spans="1:9" x14ac:dyDescent="0.25">
      <c r="B7" s="6" t="s">
        <v>9</v>
      </c>
      <c r="C7" s="19" t="s">
        <v>10</v>
      </c>
      <c r="D7" s="20">
        <v>28813971</v>
      </c>
      <c r="E7" s="21" t="s">
        <v>11</v>
      </c>
      <c r="F7" s="22" t="s">
        <v>12</v>
      </c>
      <c r="G7" s="23">
        <v>13245610</v>
      </c>
    </row>
    <row r="8" spans="1:9" x14ac:dyDescent="0.25">
      <c r="B8" s="6" t="s">
        <v>13</v>
      </c>
      <c r="C8" s="19" t="s">
        <v>14</v>
      </c>
      <c r="D8" s="20">
        <v>2807651</v>
      </c>
      <c r="E8" s="21" t="s">
        <v>15</v>
      </c>
      <c r="F8" s="19" t="s">
        <v>16</v>
      </c>
      <c r="G8" s="24">
        <v>52382397</v>
      </c>
    </row>
    <row r="9" spans="1:9" x14ac:dyDescent="0.25">
      <c r="B9" s="6" t="s">
        <v>17</v>
      </c>
      <c r="C9" s="19" t="s">
        <v>18</v>
      </c>
      <c r="D9" s="20">
        <v>1697783727</v>
      </c>
      <c r="E9" s="21" t="s">
        <v>19</v>
      </c>
      <c r="F9" s="19" t="s">
        <v>20</v>
      </c>
      <c r="G9" s="20">
        <v>59220370</v>
      </c>
    </row>
    <row r="10" spans="1:9" x14ac:dyDescent="0.25">
      <c r="B10" s="6" t="s">
        <v>21</v>
      </c>
      <c r="C10" s="19" t="s">
        <v>22</v>
      </c>
      <c r="D10" s="20">
        <v>190108406</v>
      </c>
      <c r="E10" s="21" t="s">
        <v>23</v>
      </c>
      <c r="F10" s="19" t="s">
        <v>24</v>
      </c>
      <c r="G10" s="20">
        <v>199366820</v>
      </c>
    </row>
    <row r="11" spans="1:9" x14ac:dyDescent="0.25">
      <c r="B11" s="6" t="s">
        <v>25</v>
      </c>
      <c r="C11" s="19" t="s">
        <v>26</v>
      </c>
      <c r="D11" s="20">
        <v>25018334</v>
      </c>
      <c r="E11" s="21" t="s">
        <v>27</v>
      </c>
      <c r="F11" s="19" t="s">
        <v>28</v>
      </c>
      <c r="G11" s="20">
        <v>65061511</v>
      </c>
    </row>
    <row r="12" spans="1:9" x14ac:dyDescent="0.25">
      <c r="B12" s="6" t="s">
        <v>29</v>
      </c>
      <c r="C12" s="19" t="s">
        <v>30</v>
      </c>
      <c r="D12" s="20">
        <v>5424896</v>
      </c>
      <c r="E12" s="21" t="s">
        <v>31</v>
      </c>
      <c r="F12" s="19" t="s">
        <v>32</v>
      </c>
      <c r="G12" s="20">
        <v>54680795</v>
      </c>
    </row>
    <row r="13" spans="1:9" x14ac:dyDescent="0.25">
      <c r="B13" s="6" t="s">
        <v>33</v>
      </c>
      <c r="C13" s="19" t="s">
        <v>34</v>
      </c>
      <c r="D13" s="20">
        <v>0</v>
      </c>
      <c r="E13" s="21" t="s">
        <v>35</v>
      </c>
      <c r="F13" s="19" t="s">
        <v>36</v>
      </c>
      <c r="G13" s="20">
        <v>9280491</v>
      </c>
    </row>
    <row r="14" spans="1:9" x14ac:dyDescent="0.25">
      <c r="A14" s="25"/>
      <c r="B14" s="6" t="s">
        <v>37</v>
      </c>
      <c r="C14" s="19" t="s">
        <v>38</v>
      </c>
      <c r="D14" s="20">
        <v>0</v>
      </c>
      <c r="E14" s="21" t="s">
        <v>39</v>
      </c>
      <c r="F14" s="19" t="s">
        <v>40</v>
      </c>
      <c r="G14" s="20">
        <v>247210674</v>
      </c>
    </row>
    <row r="15" spans="1:9" x14ac:dyDescent="0.25">
      <c r="B15" s="6" t="s">
        <v>41</v>
      </c>
      <c r="C15" s="26" t="s">
        <v>42</v>
      </c>
      <c r="D15" s="20">
        <v>0</v>
      </c>
      <c r="E15" s="21" t="s">
        <v>43</v>
      </c>
      <c r="F15" s="19" t="s">
        <v>44</v>
      </c>
      <c r="G15" s="20">
        <v>182359273</v>
      </c>
    </row>
    <row r="16" spans="1:9" x14ac:dyDescent="0.25">
      <c r="B16" s="6" t="s">
        <v>45</v>
      </c>
      <c r="C16" s="19" t="s">
        <v>46</v>
      </c>
      <c r="D16" s="20">
        <v>0</v>
      </c>
      <c r="E16" s="21" t="s">
        <v>47</v>
      </c>
      <c r="F16" s="19" t="s">
        <v>48</v>
      </c>
      <c r="G16" s="20">
        <v>144044773</v>
      </c>
    </row>
    <row r="17" spans="1:7" x14ac:dyDescent="0.25">
      <c r="B17" s="6" t="s">
        <v>49</v>
      </c>
      <c r="C17" s="19" t="s">
        <v>50</v>
      </c>
      <c r="D17" s="20">
        <v>0</v>
      </c>
      <c r="E17" s="21" t="s">
        <v>51</v>
      </c>
      <c r="F17" s="19" t="s">
        <v>52</v>
      </c>
      <c r="G17" s="20">
        <v>0</v>
      </c>
    </row>
    <row r="18" spans="1:7" x14ac:dyDescent="0.25">
      <c r="A18" s="25"/>
      <c r="B18" s="6" t="s">
        <v>53</v>
      </c>
      <c r="C18" s="19" t="s">
        <v>54</v>
      </c>
      <c r="D18" s="20">
        <v>1454096</v>
      </c>
      <c r="E18" s="21" t="s">
        <v>55</v>
      </c>
      <c r="F18" s="19" t="s">
        <v>56</v>
      </c>
      <c r="G18" s="27">
        <v>45022311</v>
      </c>
    </row>
    <row r="19" spans="1:7" ht="15.75" thickBot="1" x14ac:dyDescent="0.3">
      <c r="A19" s="25"/>
      <c r="B19" s="6" t="s">
        <v>57</v>
      </c>
      <c r="C19" s="19" t="s">
        <v>58</v>
      </c>
      <c r="D19" s="20">
        <v>83313759</v>
      </c>
      <c r="E19" s="21"/>
      <c r="F19" s="28" t="s">
        <v>59</v>
      </c>
      <c r="G19" s="29">
        <f>SUM(G7:G18)</f>
        <v>1071875025</v>
      </c>
    </row>
    <row r="20" spans="1:7" ht="15.75" thickBot="1" x14ac:dyDescent="0.3">
      <c r="B20" s="6"/>
      <c r="C20" s="28" t="s">
        <v>60</v>
      </c>
      <c r="D20" s="29">
        <f>SUM(D7:D19)</f>
        <v>2034724840</v>
      </c>
      <c r="E20" s="21" t="s">
        <v>61</v>
      </c>
      <c r="F20" s="22" t="s">
        <v>62</v>
      </c>
      <c r="G20" s="23">
        <v>620291</v>
      </c>
    </row>
    <row r="21" spans="1:7" x14ac:dyDescent="0.25">
      <c r="B21" s="6"/>
      <c r="C21" s="30" t="s">
        <v>63</v>
      </c>
      <c r="D21" s="31">
        <f>SUM(D22:D28)</f>
        <v>11819825</v>
      </c>
      <c r="E21" s="21" t="s">
        <v>64</v>
      </c>
      <c r="F21" s="19" t="s">
        <v>65</v>
      </c>
      <c r="G21" s="20">
        <v>19744409</v>
      </c>
    </row>
    <row r="22" spans="1:7" x14ac:dyDescent="0.25">
      <c r="B22" s="6" t="s">
        <v>66</v>
      </c>
      <c r="C22" s="19" t="s">
        <v>67</v>
      </c>
      <c r="D22" s="20">
        <v>1549942</v>
      </c>
      <c r="E22" s="21" t="s">
        <v>68</v>
      </c>
      <c r="F22" s="19" t="s">
        <v>69</v>
      </c>
      <c r="G22" s="20">
        <v>16295586</v>
      </c>
    </row>
    <row r="23" spans="1:7" x14ac:dyDescent="0.25">
      <c r="B23" s="6" t="s">
        <v>70</v>
      </c>
      <c r="C23" s="19" t="s">
        <v>71</v>
      </c>
      <c r="D23" s="20">
        <v>4162385</v>
      </c>
      <c r="E23" s="21" t="s">
        <v>72</v>
      </c>
      <c r="F23" s="19" t="s">
        <v>73</v>
      </c>
      <c r="G23" s="20">
        <v>17450804</v>
      </c>
    </row>
    <row r="24" spans="1:7" x14ac:dyDescent="0.25">
      <c r="B24" s="6" t="s">
        <v>74</v>
      </c>
      <c r="C24" s="19" t="s">
        <v>75</v>
      </c>
      <c r="D24" s="20">
        <v>63107</v>
      </c>
      <c r="E24" s="21" t="s">
        <v>76</v>
      </c>
      <c r="F24" s="19" t="s">
        <v>77</v>
      </c>
      <c r="G24" s="20">
        <v>0</v>
      </c>
    </row>
    <row r="25" spans="1:7" x14ac:dyDescent="0.25">
      <c r="B25" s="6" t="s">
        <v>78</v>
      </c>
      <c r="C25" s="19" t="s">
        <v>79</v>
      </c>
      <c r="D25" s="20">
        <v>1577044</v>
      </c>
      <c r="E25" s="21" t="s">
        <v>80</v>
      </c>
      <c r="F25" s="19" t="s">
        <v>81</v>
      </c>
      <c r="G25" s="20">
        <v>7150625</v>
      </c>
    </row>
    <row r="26" spans="1:7" x14ac:dyDescent="0.25">
      <c r="B26" s="6" t="s">
        <v>82</v>
      </c>
      <c r="C26" s="19" t="s">
        <v>83</v>
      </c>
      <c r="D26" s="20">
        <v>2249704</v>
      </c>
      <c r="E26" s="21" t="s">
        <v>84</v>
      </c>
      <c r="F26" s="19" t="s">
        <v>85</v>
      </c>
      <c r="G26" s="27">
        <v>2690143</v>
      </c>
    </row>
    <row r="27" spans="1:7" ht="15.75" thickBot="1" x14ac:dyDescent="0.3">
      <c r="B27" s="6" t="s">
        <v>86</v>
      </c>
      <c r="C27" s="19" t="s">
        <v>87</v>
      </c>
      <c r="D27" s="20">
        <v>1704573</v>
      </c>
      <c r="E27" s="21"/>
      <c r="F27" s="28" t="s">
        <v>88</v>
      </c>
      <c r="G27" s="29">
        <f>SUM(G20:G26)</f>
        <v>63951858</v>
      </c>
    </row>
    <row r="28" spans="1:7" x14ac:dyDescent="0.25">
      <c r="B28" s="6" t="s">
        <v>89</v>
      </c>
      <c r="C28" s="19" t="s">
        <v>90</v>
      </c>
      <c r="D28" s="20">
        <v>513070</v>
      </c>
      <c r="E28" s="21" t="s">
        <v>91</v>
      </c>
      <c r="F28" s="22" t="s">
        <v>92</v>
      </c>
      <c r="G28" s="23">
        <v>65679597</v>
      </c>
    </row>
    <row r="29" spans="1:7" x14ac:dyDescent="0.25">
      <c r="B29" s="6"/>
      <c r="C29" s="32" t="s">
        <v>93</v>
      </c>
      <c r="D29" s="31">
        <f>SUM(D30:D34)</f>
        <v>91680182</v>
      </c>
      <c r="E29" s="21" t="s">
        <v>94</v>
      </c>
      <c r="F29" s="19" t="s">
        <v>95</v>
      </c>
      <c r="G29" s="20">
        <v>77658748</v>
      </c>
    </row>
    <row r="30" spans="1:7" x14ac:dyDescent="0.25">
      <c r="B30" s="6" t="s">
        <v>96</v>
      </c>
      <c r="C30" s="19" t="s">
        <v>97</v>
      </c>
      <c r="D30" s="20">
        <v>64237772</v>
      </c>
      <c r="E30" s="21" t="s">
        <v>98</v>
      </c>
      <c r="F30" s="19" t="s">
        <v>99</v>
      </c>
      <c r="G30" s="20">
        <v>7885176</v>
      </c>
    </row>
    <row r="31" spans="1:7" x14ac:dyDescent="0.25">
      <c r="B31" s="6" t="s">
        <v>100</v>
      </c>
      <c r="C31" s="19" t="s">
        <v>101</v>
      </c>
      <c r="D31" s="20">
        <v>12132486</v>
      </c>
      <c r="E31" s="21" t="s">
        <v>102</v>
      </c>
      <c r="F31" s="19" t="s">
        <v>103</v>
      </c>
      <c r="G31" s="27">
        <v>6257068</v>
      </c>
    </row>
    <row r="32" spans="1:7" ht="15.75" thickBot="1" x14ac:dyDescent="0.3">
      <c r="B32" s="6" t="s">
        <v>104</v>
      </c>
      <c r="C32" s="19" t="s">
        <v>105</v>
      </c>
      <c r="D32" s="20">
        <v>9278289</v>
      </c>
      <c r="E32" s="21"/>
      <c r="F32" s="28" t="s">
        <v>106</v>
      </c>
      <c r="G32" s="29">
        <f>SUM(G28:G31)</f>
        <v>157480589</v>
      </c>
    </row>
    <row r="33" spans="2:7" x14ac:dyDescent="0.25">
      <c r="B33" s="6" t="s">
        <v>107</v>
      </c>
      <c r="C33" s="19" t="s">
        <v>108</v>
      </c>
      <c r="D33" s="20">
        <v>2177236</v>
      </c>
      <c r="E33" s="21"/>
      <c r="F33" s="32" t="s">
        <v>109</v>
      </c>
      <c r="G33" s="31">
        <f>SUM(G34:G39)</f>
        <v>148264594</v>
      </c>
    </row>
    <row r="34" spans="2:7" x14ac:dyDescent="0.25">
      <c r="B34" s="6" t="s">
        <v>110</v>
      </c>
      <c r="C34" s="19" t="s">
        <v>111</v>
      </c>
      <c r="D34" s="20">
        <v>3854399</v>
      </c>
      <c r="E34" s="21" t="s">
        <v>112</v>
      </c>
      <c r="F34" s="19" t="s">
        <v>113</v>
      </c>
      <c r="G34" s="20">
        <v>5243630</v>
      </c>
    </row>
    <row r="35" spans="2:7" ht="15.75" thickBot="1" x14ac:dyDescent="0.3">
      <c r="B35" s="6"/>
      <c r="C35" s="28" t="s">
        <v>114</v>
      </c>
      <c r="D35" s="29">
        <f>+D21+D29</f>
        <v>103500007</v>
      </c>
      <c r="E35" s="21" t="s">
        <v>115</v>
      </c>
      <c r="F35" s="19" t="s">
        <v>116</v>
      </c>
      <c r="G35" s="20">
        <v>14774019</v>
      </c>
    </row>
    <row r="36" spans="2:7" x14ac:dyDescent="0.25">
      <c r="B36" s="6" t="s">
        <v>117</v>
      </c>
      <c r="C36" s="19" t="s">
        <v>118</v>
      </c>
      <c r="D36" s="20">
        <v>62503294</v>
      </c>
      <c r="E36" s="21" t="s">
        <v>119</v>
      </c>
      <c r="F36" s="19" t="s">
        <v>120</v>
      </c>
      <c r="G36" s="20">
        <v>3834156</v>
      </c>
    </row>
    <row r="37" spans="2:7" x14ac:dyDescent="0.25">
      <c r="B37" s="6" t="s">
        <v>121</v>
      </c>
      <c r="C37" s="19" t="s">
        <v>122</v>
      </c>
      <c r="D37" s="20">
        <v>1121214</v>
      </c>
      <c r="E37" s="21" t="s">
        <v>123</v>
      </c>
      <c r="F37" s="19" t="s">
        <v>124</v>
      </c>
      <c r="G37" s="20">
        <v>8767390</v>
      </c>
    </row>
    <row r="38" spans="2:7" x14ac:dyDescent="0.25">
      <c r="B38" s="6" t="s">
        <v>125</v>
      </c>
      <c r="C38" s="19" t="s">
        <v>126</v>
      </c>
      <c r="D38" s="20">
        <v>0</v>
      </c>
      <c r="E38" s="21" t="s">
        <v>127</v>
      </c>
      <c r="F38" s="19" t="s">
        <v>128</v>
      </c>
      <c r="G38" s="20">
        <v>17803347</v>
      </c>
    </row>
    <row r="39" spans="2:7" x14ac:dyDescent="0.25">
      <c r="B39" s="6" t="s">
        <v>129</v>
      </c>
      <c r="C39" s="19" t="s">
        <v>130</v>
      </c>
      <c r="D39" s="20">
        <v>8264532</v>
      </c>
      <c r="E39" s="21" t="s">
        <v>131</v>
      </c>
      <c r="F39" s="19" t="s">
        <v>132</v>
      </c>
      <c r="G39" s="20">
        <v>97842052</v>
      </c>
    </row>
    <row r="40" spans="2:7" x14ac:dyDescent="0.25">
      <c r="B40" s="6" t="s">
        <v>133</v>
      </c>
      <c r="C40" s="19" t="s">
        <v>134</v>
      </c>
      <c r="D40" s="20">
        <v>7573135</v>
      </c>
      <c r="E40" s="21"/>
      <c r="F40" s="33" t="s">
        <v>135</v>
      </c>
      <c r="G40" s="34">
        <f>SUM(G41:G46)</f>
        <v>46760849</v>
      </c>
    </row>
    <row r="41" spans="2:7" x14ac:dyDescent="0.25">
      <c r="B41" s="6" t="s">
        <v>136</v>
      </c>
      <c r="C41" s="19" t="s">
        <v>137</v>
      </c>
      <c r="D41" s="20">
        <v>30616199</v>
      </c>
      <c r="E41" s="21" t="s">
        <v>138</v>
      </c>
      <c r="F41" s="19" t="s">
        <v>139</v>
      </c>
      <c r="G41" s="20">
        <v>664952</v>
      </c>
    </row>
    <row r="42" spans="2:7" x14ac:dyDescent="0.25">
      <c r="B42" s="6" t="s">
        <v>140</v>
      </c>
      <c r="C42" s="19" t="s">
        <v>141</v>
      </c>
      <c r="D42" s="20">
        <v>2960750</v>
      </c>
      <c r="E42" s="21" t="s">
        <v>142</v>
      </c>
      <c r="F42" s="19" t="s">
        <v>143</v>
      </c>
      <c r="G42" s="20">
        <v>615983</v>
      </c>
    </row>
    <row r="43" spans="2:7" x14ac:dyDescent="0.25">
      <c r="B43" s="6" t="s">
        <v>144</v>
      </c>
      <c r="C43" s="19" t="s">
        <v>145</v>
      </c>
      <c r="D43" s="20">
        <v>169357</v>
      </c>
      <c r="E43" s="21" t="s">
        <v>146</v>
      </c>
      <c r="F43" s="19" t="s">
        <v>147</v>
      </c>
      <c r="G43" s="20">
        <v>4622199</v>
      </c>
    </row>
    <row r="44" spans="2:7" x14ac:dyDescent="0.25">
      <c r="B44" s="6" t="s">
        <v>148</v>
      </c>
      <c r="C44" s="19" t="s">
        <v>149</v>
      </c>
      <c r="D44" s="20">
        <v>0</v>
      </c>
      <c r="E44" s="21" t="s">
        <v>150</v>
      </c>
      <c r="F44" s="19" t="s">
        <v>151</v>
      </c>
      <c r="G44" s="20">
        <v>1004098</v>
      </c>
    </row>
    <row r="45" spans="2:7" x14ac:dyDescent="0.25">
      <c r="B45" s="6" t="s">
        <v>152</v>
      </c>
      <c r="C45" s="19" t="s">
        <v>153</v>
      </c>
      <c r="D45" s="20">
        <v>32193421</v>
      </c>
      <c r="E45" s="21" t="s">
        <v>154</v>
      </c>
      <c r="F45" s="19" t="s">
        <v>155</v>
      </c>
      <c r="G45" s="20">
        <v>1170468</v>
      </c>
    </row>
    <row r="46" spans="2:7" x14ac:dyDescent="0.25">
      <c r="B46" s="6" t="s">
        <v>156</v>
      </c>
      <c r="C46" s="19" t="s">
        <v>157</v>
      </c>
      <c r="D46" s="20">
        <v>6549536</v>
      </c>
      <c r="E46" s="21" t="s">
        <v>158</v>
      </c>
      <c r="F46" s="19" t="s">
        <v>159</v>
      </c>
      <c r="G46" s="20">
        <v>38683149</v>
      </c>
    </row>
    <row r="47" spans="2:7" ht="15.75" thickBot="1" x14ac:dyDescent="0.3">
      <c r="B47" s="6"/>
      <c r="C47" s="28" t="s">
        <v>160</v>
      </c>
      <c r="D47" s="29">
        <f>SUM(D36:D46)</f>
        <v>151951438</v>
      </c>
      <c r="E47" s="21" t="s">
        <v>161</v>
      </c>
      <c r="F47" s="19" t="s">
        <v>162</v>
      </c>
      <c r="G47" s="27">
        <v>8487379</v>
      </c>
    </row>
    <row r="48" spans="2:7" ht="15.75" thickBot="1" x14ac:dyDescent="0.3">
      <c r="B48" s="6"/>
      <c r="C48" s="35" t="s">
        <v>163</v>
      </c>
      <c r="D48" s="36"/>
      <c r="E48" s="21"/>
      <c r="F48" s="28" t="s">
        <v>164</v>
      </c>
      <c r="G48" s="37">
        <f>+G33+G40+G47</f>
        <v>203512822</v>
      </c>
    </row>
    <row r="49" spans="2:7" x14ac:dyDescent="0.25">
      <c r="B49" s="6" t="s">
        <v>165</v>
      </c>
      <c r="C49" s="38" t="s">
        <v>166</v>
      </c>
      <c r="D49" s="39">
        <v>0</v>
      </c>
      <c r="E49" s="21" t="s">
        <v>167</v>
      </c>
      <c r="F49" s="22" t="s">
        <v>168</v>
      </c>
      <c r="G49" s="23">
        <v>30008623</v>
      </c>
    </row>
    <row r="50" spans="2:7" x14ac:dyDescent="0.25">
      <c r="B50" s="6" t="s">
        <v>169</v>
      </c>
      <c r="C50" s="19" t="s">
        <v>163</v>
      </c>
      <c r="D50" s="20">
        <v>19836291</v>
      </c>
      <c r="E50" s="21" t="s">
        <v>170</v>
      </c>
      <c r="F50" s="19" t="s">
        <v>171</v>
      </c>
      <c r="G50" s="20">
        <v>62787346</v>
      </c>
    </row>
    <row r="51" spans="2:7" x14ac:dyDescent="0.25">
      <c r="B51" s="6" t="s">
        <v>172</v>
      </c>
      <c r="C51" s="19" t="s">
        <v>173</v>
      </c>
      <c r="D51" s="27">
        <v>796069</v>
      </c>
      <c r="E51" s="21" t="s">
        <v>174</v>
      </c>
      <c r="F51" s="19" t="s">
        <v>175</v>
      </c>
      <c r="G51" s="20">
        <v>2548775</v>
      </c>
    </row>
    <row r="52" spans="2:7" ht="15.75" thickBot="1" x14ac:dyDescent="0.3">
      <c r="B52" s="12"/>
      <c r="C52" s="28" t="s">
        <v>176</v>
      </c>
      <c r="D52" s="29">
        <f>SUM(D49:D51)</f>
        <v>20632360</v>
      </c>
      <c r="E52" s="21" t="s">
        <v>177</v>
      </c>
      <c r="F52" s="19" t="s">
        <v>178</v>
      </c>
      <c r="G52" s="20">
        <v>2166119</v>
      </c>
    </row>
    <row r="53" spans="2:7" ht="15.75" thickBot="1" x14ac:dyDescent="0.3">
      <c r="B53" s="6"/>
      <c r="C53" s="40" t="s">
        <v>179</v>
      </c>
      <c r="D53" s="41">
        <f>D20+D35+D47+D52</f>
        <v>2310808645</v>
      </c>
      <c r="E53" s="21" t="s">
        <v>180</v>
      </c>
      <c r="F53" s="19" t="s">
        <v>181</v>
      </c>
      <c r="G53" s="20">
        <v>10038342</v>
      </c>
    </row>
    <row r="54" spans="2:7" x14ac:dyDescent="0.25">
      <c r="C54" s="42"/>
      <c r="D54" s="43"/>
      <c r="E54" s="21" t="s">
        <v>182</v>
      </c>
      <c r="F54" s="19" t="s">
        <v>183</v>
      </c>
      <c r="G54" s="20">
        <v>1048721</v>
      </c>
    </row>
    <row r="55" spans="2:7" x14ac:dyDescent="0.25">
      <c r="C55" s="44" t="s">
        <v>184</v>
      </c>
      <c r="D55" s="45"/>
      <c r="E55" s="21" t="s">
        <v>185</v>
      </c>
      <c r="F55" s="19" t="s">
        <v>186</v>
      </c>
      <c r="G55" s="20">
        <v>6836689</v>
      </c>
    </row>
    <row r="56" spans="2:7" x14ac:dyDescent="0.25">
      <c r="B56" s="6" t="s">
        <v>187</v>
      </c>
      <c r="C56" s="46" t="s">
        <v>188</v>
      </c>
      <c r="D56" s="20"/>
      <c r="E56" s="21" t="s">
        <v>189</v>
      </c>
      <c r="F56" s="19" t="s">
        <v>190</v>
      </c>
      <c r="G56" s="27">
        <v>4616586</v>
      </c>
    </row>
    <row r="57" spans="2:7" ht="15.75" thickBot="1" x14ac:dyDescent="0.3">
      <c r="B57" s="6" t="s">
        <v>191</v>
      </c>
      <c r="C57" s="46" t="s">
        <v>192</v>
      </c>
      <c r="D57" s="20"/>
      <c r="E57" s="21"/>
      <c r="F57" s="28" t="s">
        <v>193</v>
      </c>
      <c r="G57" s="29">
        <f>SUM(G49:G56)</f>
        <v>120051201</v>
      </c>
    </row>
    <row r="58" spans="2:7" x14ac:dyDescent="0.25">
      <c r="B58" s="6" t="s">
        <v>194</v>
      </c>
      <c r="C58" s="46" t="s">
        <v>195</v>
      </c>
      <c r="D58" s="20"/>
      <c r="E58" s="21" t="s">
        <v>196</v>
      </c>
      <c r="F58" s="22" t="s">
        <v>197</v>
      </c>
      <c r="G58" s="23">
        <v>88961042</v>
      </c>
    </row>
    <row r="59" spans="2:7" x14ac:dyDescent="0.25">
      <c r="B59" s="6" t="s">
        <v>198</v>
      </c>
      <c r="C59" s="19" t="s">
        <v>199</v>
      </c>
      <c r="D59" s="27"/>
      <c r="E59" s="21" t="s">
        <v>200</v>
      </c>
      <c r="F59" s="19" t="s">
        <v>201</v>
      </c>
      <c r="G59" s="20">
        <v>16149103</v>
      </c>
    </row>
    <row r="60" spans="2:7" ht="15.75" thickBot="1" x14ac:dyDescent="0.3">
      <c r="B60" s="6"/>
      <c r="C60" s="28" t="s">
        <v>202</v>
      </c>
      <c r="D60" s="29">
        <f>SUM(D56:D59)</f>
        <v>0</v>
      </c>
      <c r="E60" s="21" t="s">
        <v>203</v>
      </c>
      <c r="F60" s="19" t="s">
        <v>204</v>
      </c>
      <c r="G60" s="20">
        <v>7967864</v>
      </c>
    </row>
    <row r="61" spans="2:7" ht="16.5" thickBot="1" x14ac:dyDescent="0.3">
      <c r="B61" s="47"/>
      <c r="C61" s="48" t="s">
        <v>205</v>
      </c>
      <c r="D61" s="49">
        <f>D53+D60</f>
        <v>2310808645</v>
      </c>
      <c r="E61" s="21" t="s">
        <v>206</v>
      </c>
      <c r="F61" s="19" t="s">
        <v>207</v>
      </c>
      <c r="G61" s="20">
        <v>18213788</v>
      </c>
    </row>
    <row r="62" spans="2:7" x14ac:dyDescent="0.25">
      <c r="B62" s="50"/>
      <c r="C62" s="51"/>
      <c r="D62" s="51"/>
      <c r="E62" s="21" t="s">
        <v>208</v>
      </c>
      <c r="F62" s="19" t="s">
        <v>209</v>
      </c>
      <c r="G62" s="20">
        <v>0</v>
      </c>
    </row>
    <row r="63" spans="2:7" x14ac:dyDescent="0.25">
      <c r="B63" s="52"/>
      <c r="C63" s="53" t="s">
        <v>8</v>
      </c>
      <c r="D63" s="53"/>
      <c r="E63" s="21" t="s">
        <v>210</v>
      </c>
      <c r="F63" s="19" t="s">
        <v>211</v>
      </c>
      <c r="G63" s="20">
        <v>12360845</v>
      </c>
    </row>
    <row r="64" spans="2:7" x14ac:dyDescent="0.25">
      <c r="B64" s="54" t="s">
        <v>212</v>
      </c>
      <c r="C64" s="55" t="s">
        <v>213</v>
      </c>
      <c r="D64" s="55">
        <f>[10]Amortizaciones!D6</f>
        <v>20308761</v>
      </c>
      <c r="E64" s="21" t="s">
        <v>214</v>
      </c>
      <c r="F64" s="19" t="s">
        <v>215</v>
      </c>
      <c r="G64" s="20">
        <v>10080414</v>
      </c>
    </row>
    <row r="65" spans="2:7" x14ac:dyDescent="0.25">
      <c r="B65" s="54" t="s">
        <v>216</v>
      </c>
      <c r="C65" s="55" t="s">
        <v>217</v>
      </c>
      <c r="D65" s="55">
        <f>[10]Amortizaciones!D7</f>
        <v>111040</v>
      </c>
      <c r="E65" s="21" t="s">
        <v>218</v>
      </c>
      <c r="F65" s="19" t="s">
        <v>219</v>
      </c>
      <c r="G65" s="20">
        <v>25800904</v>
      </c>
    </row>
    <row r="66" spans="2:7" x14ac:dyDescent="0.25">
      <c r="B66" s="54" t="s">
        <v>220</v>
      </c>
      <c r="C66" s="55" t="s">
        <v>221</v>
      </c>
      <c r="D66" s="55">
        <f>[10]Amortizaciones!D8</f>
        <v>4459854</v>
      </c>
      <c r="E66" s="21" t="s">
        <v>222</v>
      </c>
      <c r="F66" s="19" t="s">
        <v>223</v>
      </c>
      <c r="G66" s="20">
        <v>16803158</v>
      </c>
    </row>
    <row r="67" spans="2:7" x14ac:dyDescent="0.25">
      <c r="B67" s="54" t="s">
        <v>224</v>
      </c>
      <c r="C67" s="55" t="s">
        <v>225</v>
      </c>
      <c r="D67" s="55">
        <f>[10]Amortizaciones!D9</f>
        <v>0</v>
      </c>
      <c r="E67" s="21" t="s">
        <v>226</v>
      </c>
      <c r="F67" s="19" t="s">
        <v>227</v>
      </c>
      <c r="G67" s="20">
        <v>18307074</v>
      </c>
    </row>
    <row r="68" spans="2:7" x14ac:dyDescent="0.25">
      <c r="B68" s="54" t="s">
        <v>228</v>
      </c>
      <c r="C68" s="55" t="s">
        <v>229</v>
      </c>
      <c r="D68" s="55">
        <f>[10]Amortizaciones!D10</f>
        <v>794068</v>
      </c>
      <c r="E68" s="21" t="s">
        <v>230</v>
      </c>
      <c r="F68" s="19" t="s">
        <v>231</v>
      </c>
      <c r="G68" s="20">
        <v>1055521</v>
      </c>
    </row>
    <row r="69" spans="2:7" x14ac:dyDescent="0.25">
      <c r="B69" s="54" t="s">
        <v>232</v>
      </c>
      <c r="C69" s="55" t="s">
        <v>233</v>
      </c>
      <c r="D69" s="55">
        <f>[10]Amortizaciones!D11</f>
        <v>166125</v>
      </c>
      <c r="E69" s="21" t="s">
        <v>234</v>
      </c>
      <c r="F69" s="19" t="s">
        <v>235</v>
      </c>
      <c r="G69" s="20">
        <v>2454295</v>
      </c>
    </row>
    <row r="70" spans="2:7" x14ac:dyDescent="0.25">
      <c r="B70" s="54" t="s">
        <v>236</v>
      </c>
      <c r="C70" s="55" t="s">
        <v>237</v>
      </c>
      <c r="D70" s="55">
        <f>[10]Amortizaciones!D12</f>
        <v>0</v>
      </c>
      <c r="E70" s="21" t="s">
        <v>238</v>
      </c>
      <c r="F70" s="19" t="s">
        <v>239</v>
      </c>
      <c r="G70" s="20">
        <v>14039707</v>
      </c>
    </row>
    <row r="71" spans="2:7" x14ac:dyDescent="0.25">
      <c r="B71" s="54" t="s">
        <v>240</v>
      </c>
      <c r="C71" s="55" t="s">
        <v>241</v>
      </c>
      <c r="D71" s="55">
        <f>[10]Amortizaciones!D13</f>
        <v>1401897</v>
      </c>
      <c r="E71" s="21" t="s">
        <v>242</v>
      </c>
      <c r="F71" s="19" t="s">
        <v>243</v>
      </c>
      <c r="G71" s="20">
        <v>1292760</v>
      </c>
    </row>
    <row r="72" spans="2:7" x14ac:dyDescent="0.25">
      <c r="B72" s="54" t="s">
        <v>244</v>
      </c>
      <c r="C72" s="55" t="s">
        <v>245</v>
      </c>
      <c r="D72" s="55">
        <f>[10]Amortizaciones!D14</f>
        <v>0</v>
      </c>
      <c r="E72" s="21" t="s">
        <v>246</v>
      </c>
      <c r="F72" s="19" t="s">
        <v>247</v>
      </c>
      <c r="G72" s="20">
        <v>20525434</v>
      </c>
    </row>
    <row r="73" spans="2:7" x14ac:dyDescent="0.25">
      <c r="B73" s="54" t="s">
        <v>248</v>
      </c>
      <c r="C73" s="55" t="s">
        <v>249</v>
      </c>
      <c r="D73" s="55">
        <f>[10]Amortizaciones!D15</f>
        <v>477496</v>
      </c>
      <c r="E73" s="21" t="s">
        <v>250</v>
      </c>
      <c r="F73" s="19" t="s">
        <v>251</v>
      </c>
      <c r="G73" s="20">
        <v>1453101</v>
      </c>
    </row>
    <row r="74" spans="2:7" x14ac:dyDescent="0.25">
      <c r="B74" s="54" t="s">
        <v>252</v>
      </c>
      <c r="C74" s="55" t="s">
        <v>253</v>
      </c>
      <c r="D74" s="55">
        <f>[10]Amortizaciones!D16</f>
        <v>0</v>
      </c>
      <c r="E74" s="21" t="s">
        <v>254</v>
      </c>
      <c r="F74" s="19" t="s">
        <v>255</v>
      </c>
      <c r="G74" s="20">
        <v>53157</v>
      </c>
    </row>
    <row r="75" spans="2:7" x14ac:dyDescent="0.25">
      <c r="B75" s="54" t="s">
        <v>256</v>
      </c>
      <c r="C75" s="55" t="s">
        <v>257</v>
      </c>
      <c r="D75" s="55">
        <f>[10]Amortizaciones!D17</f>
        <v>0</v>
      </c>
      <c r="E75" s="21" t="s">
        <v>258</v>
      </c>
      <c r="F75" s="19" t="s">
        <v>259</v>
      </c>
      <c r="G75" s="20">
        <v>5189256</v>
      </c>
    </row>
    <row r="76" spans="2:7" x14ac:dyDescent="0.25">
      <c r="B76" s="54" t="s">
        <v>260</v>
      </c>
      <c r="C76" s="55" t="s">
        <v>261</v>
      </c>
      <c r="D76" s="55">
        <f>[10]Amortizaciones!D18</f>
        <v>0</v>
      </c>
      <c r="E76" s="21" t="s">
        <v>262</v>
      </c>
      <c r="F76" s="19" t="s">
        <v>263</v>
      </c>
      <c r="G76" s="20">
        <v>8506155</v>
      </c>
    </row>
    <row r="77" spans="2:7" x14ac:dyDescent="0.25">
      <c r="B77" s="54" t="s">
        <v>264</v>
      </c>
      <c r="C77" s="55" t="s">
        <v>265</v>
      </c>
      <c r="D77" s="55">
        <f>SUM(D64:D76)</f>
        <v>27719241</v>
      </c>
      <c r="E77" s="21" t="s">
        <v>266</v>
      </c>
      <c r="F77" s="19" t="s">
        <v>267</v>
      </c>
      <c r="G77" s="20">
        <v>102146834</v>
      </c>
    </row>
    <row r="78" spans="2:7" x14ac:dyDescent="0.25">
      <c r="B78" s="54"/>
      <c r="C78" s="55"/>
      <c r="D78" s="55"/>
      <c r="E78" s="21" t="s">
        <v>268</v>
      </c>
      <c r="F78" s="19" t="s">
        <v>269</v>
      </c>
      <c r="G78" s="27">
        <v>15646487</v>
      </c>
    </row>
    <row r="79" spans="2:7" ht="15.75" thickBot="1" x14ac:dyDescent="0.3">
      <c r="B79" s="54"/>
      <c r="C79" s="53" t="s">
        <v>270</v>
      </c>
      <c r="D79" s="56"/>
      <c r="E79" s="21"/>
      <c r="F79" s="28" t="s">
        <v>271</v>
      </c>
      <c r="G79" s="29">
        <f>SUM(G58:G78)</f>
        <v>387006899</v>
      </c>
    </row>
    <row r="80" spans="2:7" x14ac:dyDescent="0.25">
      <c r="B80" s="54" t="s">
        <v>272</v>
      </c>
      <c r="C80" s="55" t="s">
        <v>237</v>
      </c>
      <c r="D80" s="55">
        <f>[10]Amortizaciones!D22</f>
        <v>1744966</v>
      </c>
      <c r="E80" s="21" t="s">
        <v>273</v>
      </c>
      <c r="F80" s="22" t="s">
        <v>274</v>
      </c>
      <c r="G80" s="23">
        <v>33032</v>
      </c>
    </row>
    <row r="81" spans="2:7" x14ac:dyDescent="0.25">
      <c r="B81" s="54" t="s">
        <v>275</v>
      </c>
      <c r="C81" s="55" t="s">
        <v>241</v>
      </c>
      <c r="D81" s="55">
        <f>[10]Amortizaciones!D23</f>
        <v>0</v>
      </c>
      <c r="E81" s="21" t="s">
        <v>276</v>
      </c>
      <c r="F81" s="19" t="s">
        <v>277</v>
      </c>
      <c r="G81" s="20">
        <v>7725008</v>
      </c>
    </row>
    <row r="82" spans="2:7" x14ac:dyDescent="0.25">
      <c r="B82" s="54" t="s">
        <v>278</v>
      </c>
      <c r="C82" s="55" t="s">
        <v>245</v>
      </c>
      <c r="D82" s="55">
        <f>[10]Amortizaciones!D24</f>
        <v>2428186</v>
      </c>
      <c r="E82" s="21" t="s">
        <v>279</v>
      </c>
      <c r="F82" s="19" t="s">
        <v>280</v>
      </c>
      <c r="G82" s="20">
        <v>8918355</v>
      </c>
    </row>
    <row r="83" spans="2:7" x14ac:dyDescent="0.25">
      <c r="B83" s="54" t="s">
        <v>281</v>
      </c>
      <c r="C83" s="55" t="s">
        <v>249</v>
      </c>
      <c r="D83" s="55">
        <f>[10]Amortizaciones!D25</f>
        <v>0</v>
      </c>
      <c r="E83" s="21" t="s">
        <v>282</v>
      </c>
      <c r="F83" s="19" t="s">
        <v>283</v>
      </c>
      <c r="G83" s="20">
        <v>723855</v>
      </c>
    </row>
    <row r="84" spans="2:7" x14ac:dyDescent="0.25">
      <c r="B84" s="54" t="s">
        <v>284</v>
      </c>
      <c r="C84" s="55" t="s">
        <v>285</v>
      </c>
      <c r="D84" s="55">
        <v>0</v>
      </c>
      <c r="E84" s="21" t="s">
        <v>286</v>
      </c>
      <c r="F84" s="19" t="s">
        <v>287</v>
      </c>
      <c r="G84" s="20">
        <v>7366269</v>
      </c>
    </row>
    <row r="85" spans="2:7" x14ac:dyDescent="0.25">
      <c r="B85" s="54" t="s">
        <v>288</v>
      </c>
      <c r="C85" s="55" t="s">
        <v>289</v>
      </c>
      <c r="D85" s="55">
        <f>[10]Amortizaciones!D27</f>
        <v>0</v>
      </c>
      <c r="E85" s="21" t="s">
        <v>290</v>
      </c>
      <c r="F85" s="19" t="s">
        <v>291</v>
      </c>
      <c r="G85" s="20">
        <v>0</v>
      </c>
    </row>
    <row r="86" spans="2:7" x14ac:dyDescent="0.25">
      <c r="B86" s="54" t="s">
        <v>292</v>
      </c>
      <c r="C86" s="55" t="s">
        <v>293</v>
      </c>
      <c r="D86" s="55">
        <f>[10]Amortizaciones!D28</f>
        <v>0</v>
      </c>
      <c r="E86" s="21" t="s">
        <v>294</v>
      </c>
      <c r="F86" s="19" t="s">
        <v>295</v>
      </c>
      <c r="G86" s="20">
        <v>1735803</v>
      </c>
    </row>
    <row r="87" spans="2:7" x14ac:dyDescent="0.25">
      <c r="B87" s="54" t="s">
        <v>296</v>
      </c>
      <c r="C87" s="55" t="s">
        <v>297</v>
      </c>
      <c r="D87" s="55">
        <f>[10]Amortizaciones!D29</f>
        <v>0</v>
      </c>
      <c r="E87" s="21" t="s">
        <v>298</v>
      </c>
      <c r="F87" s="19" t="s">
        <v>299</v>
      </c>
      <c r="G87" s="20">
        <v>1224285</v>
      </c>
    </row>
    <row r="88" spans="2:7" x14ac:dyDescent="0.25">
      <c r="B88" s="54" t="s">
        <v>300</v>
      </c>
      <c r="C88" s="55" t="s">
        <v>301</v>
      </c>
      <c r="D88" s="55">
        <f>[10]Amortizaciones!D30</f>
        <v>2140751</v>
      </c>
      <c r="E88" s="21" t="s">
        <v>302</v>
      </c>
      <c r="F88" s="19" t="s">
        <v>303</v>
      </c>
      <c r="G88" s="20">
        <v>0</v>
      </c>
    </row>
    <row r="89" spans="2:7" x14ac:dyDescent="0.25">
      <c r="B89" s="54" t="s">
        <v>304</v>
      </c>
      <c r="C89" s="55" t="s">
        <v>213</v>
      </c>
      <c r="D89" s="55">
        <f>[10]Amortizaciones!D31</f>
        <v>0</v>
      </c>
      <c r="E89" s="21" t="s">
        <v>305</v>
      </c>
      <c r="F89" s="19" t="s">
        <v>306</v>
      </c>
      <c r="G89" s="20">
        <v>34214388</v>
      </c>
    </row>
    <row r="90" spans="2:7" x14ac:dyDescent="0.25">
      <c r="B90" s="54" t="s">
        <v>307</v>
      </c>
      <c r="C90" s="55" t="s">
        <v>229</v>
      </c>
      <c r="D90" s="55">
        <f>[10]Amortizaciones!D32</f>
        <v>0</v>
      </c>
      <c r="E90" s="21" t="s">
        <v>308</v>
      </c>
      <c r="F90" s="19" t="s">
        <v>309</v>
      </c>
      <c r="G90" s="20">
        <v>1595487</v>
      </c>
    </row>
    <row r="91" spans="2:7" x14ac:dyDescent="0.25">
      <c r="B91" s="54" t="s">
        <v>310</v>
      </c>
      <c r="C91" s="55" t="s">
        <v>311</v>
      </c>
      <c r="D91" s="55">
        <f>SUM(D80:D90)</f>
        <v>6313903</v>
      </c>
      <c r="E91" s="52" t="s">
        <v>312</v>
      </c>
      <c r="F91" s="19" t="s">
        <v>313</v>
      </c>
      <c r="G91" s="20">
        <v>348727</v>
      </c>
    </row>
    <row r="92" spans="2:7" x14ac:dyDescent="0.25">
      <c r="B92" s="54"/>
      <c r="C92" s="57" t="s">
        <v>314</v>
      </c>
      <c r="D92" s="55">
        <f>D77+D91</f>
        <v>34033144</v>
      </c>
      <c r="E92" s="52" t="s">
        <v>315</v>
      </c>
      <c r="F92" s="19" t="s">
        <v>316</v>
      </c>
      <c r="G92" s="20">
        <v>299729</v>
      </c>
    </row>
    <row r="93" spans="2:7" x14ac:dyDescent="0.25">
      <c r="E93" s="52" t="s">
        <v>317</v>
      </c>
      <c r="F93" s="19" t="s">
        <v>318</v>
      </c>
      <c r="G93" s="20">
        <v>3663847</v>
      </c>
    </row>
    <row r="94" spans="2:7" x14ac:dyDescent="0.25">
      <c r="E94" s="52" t="s">
        <v>319</v>
      </c>
      <c r="F94" s="19" t="s">
        <v>320</v>
      </c>
      <c r="G94" s="27">
        <v>2659033</v>
      </c>
    </row>
    <row r="95" spans="2:7" ht="13.5" customHeight="1" thickBot="1" x14ac:dyDescent="0.3">
      <c r="E95" s="21"/>
      <c r="F95" s="28" t="s">
        <v>321</v>
      </c>
      <c r="G95" s="29">
        <f>SUM(G80:G94)</f>
        <v>70507818</v>
      </c>
    </row>
    <row r="96" spans="2:7" x14ac:dyDescent="0.25">
      <c r="E96" s="52" t="s">
        <v>322</v>
      </c>
      <c r="F96" s="22" t="s">
        <v>323</v>
      </c>
      <c r="G96" s="23">
        <v>3887407</v>
      </c>
    </row>
    <row r="97" spans="2:7" x14ac:dyDescent="0.25">
      <c r="E97" s="52" t="s">
        <v>324</v>
      </c>
      <c r="F97" s="19" t="s">
        <v>325</v>
      </c>
      <c r="G97" s="20">
        <v>4105177</v>
      </c>
    </row>
    <row r="98" spans="2:7" x14ac:dyDescent="0.25">
      <c r="E98" s="52" t="s">
        <v>326</v>
      </c>
      <c r="F98" s="19" t="s">
        <v>327</v>
      </c>
      <c r="G98" s="20">
        <v>862444</v>
      </c>
    </row>
    <row r="99" spans="2:7" x14ac:dyDescent="0.25">
      <c r="E99" s="52" t="s">
        <v>328</v>
      </c>
      <c r="F99" s="19" t="s">
        <v>329</v>
      </c>
      <c r="G99" s="20">
        <v>610227</v>
      </c>
    </row>
    <row r="100" spans="2:7" x14ac:dyDescent="0.25">
      <c r="E100" s="52" t="s">
        <v>330</v>
      </c>
      <c r="F100" s="19" t="s">
        <v>331</v>
      </c>
      <c r="G100" s="27">
        <v>368041</v>
      </c>
    </row>
    <row r="101" spans="2:7" ht="15.75" thickBot="1" x14ac:dyDescent="0.3">
      <c r="E101" s="21"/>
      <c r="F101" s="28" t="s">
        <v>332</v>
      </c>
      <c r="G101" s="29">
        <f>SUM(G96:G100)</f>
        <v>9833296</v>
      </c>
    </row>
    <row r="102" spans="2:7" ht="15.75" thickBot="1" x14ac:dyDescent="0.3">
      <c r="E102" s="52"/>
      <c r="F102" s="59" t="s">
        <v>333</v>
      </c>
      <c r="G102" s="60">
        <f>[10]Amortizaciones!D19</f>
        <v>27719241</v>
      </c>
    </row>
    <row r="103" spans="2:7" x14ac:dyDescent="0.25">
      <c r="E103" s="52" t="s">
        <v>334</v>
      </c>
      <c r="F103" s="19" t="s">
        <v>335</v>
      </c>
      <c r="G103" s="23"/>
    </row>
    <row r="104" spans="2:7" x14ac:dyDescent="0.25">
      <c r="E104" s="52" t="s">
        <v>336</v>
      </c>
      <c r="F104" s="61" t="s">
        <v>337</v>
      </c>
      <c r="G104" s="20"/>
    </row>
    <row r="105" spans="2:7" ht="15.75" thickBot="1" x14ac:dyDescent="0.3">
      <c r="E105" s="21"/>
      <c r="F105" s="28" t="s">
        <v>338</v>
      </c>
      <c r="G105" s="29">
        <f>SUM(G103:G104)</f>
        <v>0</v>
      </c>
    </row>
    <row r="106" spans="2:7" ht="13.7" customHeight="1" thickBot="1" x14ac:dyDescent="0.3">
      <c r="B106" s="6"/>
      <c r="C106" s="62"/>
      <c r="D106" s="62"/>
      <c r="E106" s="52"/>
      <c r="F106" s="48" t="s">
        <v>339</v>
      </c>
      <c r="G106" s="49">
        <f>G19+G27+G32+G48+G57+G79+G95+G101+G102+G105</f>
        <v>2111938749</v>
      </c>
    </row>
    <row r="107" spans="2:7" ht="13.7" customHeight="1" x14ac:dyDescent="0.25">
      <c r="B107" s="6"/>
      <c r="C107" s="62"/>
      <c r="D107" s="62"/>
      <c r="E107" s="21"/>
      <c r="F107" s="63"/>
      <c r="G107" s="64"/>
    </row>
    <row r="108" spans="2:7" ht="13.7" customHeight="1" thickBot="1" x14ac:dyDescent="0.3">
      <c r="B108" s="6"/>
      <c r="C108" s="62"/>
      <c r="D108" s="62"/>
      <c r="E108" s="21"/>
    </row>
    <row r="109" spans="2:7" ht="13.7" customHeight="1" thickBot="1" x14ac:dyDescent="0.3">
      <c r="B109" s="6"/>
      <c r="C109" s="62"/>
      <c r="D109" s="62"/>
      <c r="E109" s="21"/>
      <c r="F109" s="13" t="s">
        <v>340</v>
      </c>
      <c r="G109" s="65">
        <f>D61-G106</f>
        <v>198869896</v>
      </c>
    </row>
    <row r="110" spans="2:7" ht="13.7" customHeight="1" thickBot="1" x14ac:dyDescent="0.3">
      <c r="B110" s="6"/>
      <c r="C110" s="62"/>
      <c r="D110" s="62"/>
      <c r="E110" s="21"/>
    </row>
    <row r="111" spans="2:7" ht="13.7" customHeight="1" thickBot="1" x14ac:dyDescent="0.3">
      <c r="C111" s="48" t="s">
        <v>270</v>
      </c>
      <c r="D111" s="17">
        <f>+[10]E.S.P.!D6</f>
        <v>2020</v>
      </c>
      <c r="E111" s="52"/>
      <c r="F111" s="48" t="s">
        <v>341</v>
      </c>
      <c r="G111" s="17">
        <f>+[10]E.S.P.!D6</f>
        <v>2020</v>
      </c>
    </row>
    <row r="112" spans="2:7" ht="13.7" customHeight="1" x14ac:dyDescent="0.25">
      <c r="B112" s="6" t="s">
        <v>342</v>
      </c>
      <c r="C112" s="66" t="s">
        <v>343</v>
      </c>
      <c r="D112" s="67">
        <v>5635410</v>
      </c>
      <c r="E112" s="21" t="s">
        <v>344</v>
      </c>
      <c r="F112" s="66" t="s">
        <v>309</v>
      </c>
      <c r="G112" s="67">
        <v>85988</v>
      </c>
    </row>
    <row r="113" spans="2:7" ht="13.7" customHeight="1" x14ac:dyDescent="0.25">
      <c r="B113" s="6" t="s">
        <v>345</v>
      </c>
      <c r="C113" s="68" t="s">
        <v>346</v>
      </c>
      <c r="D113" s="69">
        <v>126183102</v>
      </c>
      <c r="E113" s="21" t="s">
        <v>347</v>
      </c>
      <c r="F113" s="68" t="s">
        <v>348</v>
      </c>
      <c r="G113" s="69">
        <v>0</v>
      </c>
    </row>
    <row r="114" spans="2:7" ht="13.7" customHeight="1" x14ac:dyDescent="0.25">
      <c r="B114" s="6" t="s">
        <v>349</v>
      </c>
      <c r="C114" s="68" t="s">
        <v>48</v>
      </c>
      <c r="D114" s="69">
        <v>0</v>
      </c>
      <c r="E114" s="21" t="s">
        <v>350</v>
      </c>
      <c r="F114" s="68" t="s">
        <v>351</v>
      </c>
      <c r="G114" s="69">
        <v>90049</v>
      </c>
    </row>
    <row r="115" spans="2:7" ht="13.7" customHeight="1" x14ac:dyDescent="0.25">
      <c r="B115" s="6" t="s">
        <v>352</v>
      </c>
      <c r="C115" s="68" t="s">
        <v>353</v>
      </c>
      <c r="D115" s="69">
        <v>299050</v>
      </c>
      <c r="E115" s="21" t="s">
        <v>354</v>
      </c>
      <c r="F115" s="68" t="s">
        <v>355</v>
      </c>
      <c r="G115" s="69">
        <v>2602696</v>
      </c>
    </row>
    <row r="116" spans="2:7" ht="13.7" customHeight="1" x14ac:dyDescent="0.25">
      <c r="B116" s="6" t="s">
        <v>356</v>
      </c>
      <c r="C116" s="68" t="s">
        <v>357</v>
      </c>
      <c r="D116" s="69">
        <v>6676293</v>
      </c>
      <c r="E116" s="21" t="s">
        <v>358</v>
      </c>
      <c r="F116" s="68" t="s">
        <v>359</v>
      </c>
      <c r="G116" s="69">
        <v>0</v>
      </c>
    </row>
    <row r="117" spans="2:7" ht="13.7" customHeight="1" x14ac:dyDescent="0.25">
      <c r="B117" s="6" t="s">
        <v>360</v>
      </c>
      <c r="C117" s="68" t="s">
        <v>361</v>
      </c>
      <c r="D117" s="69">
        <v>0</v>
      </c>
      <c r="E117" s="21" t="s">
        <v>362</v>
      </c>
      <c r="F117" s="68" t="s">
        <v>363</v>
      </c>
      <c r="G117" s="69">
        <v>77664</v>
      </c>
    </row>
    <row r="118" spans="2:7" ht="13.7" customHeight="1" x14ac:dyDescent="0.25">
      <c r="B118" s="6" t="s">
        <v>364</v>
      </c>
      <c r="C118" s="68" t="s">
        <v>365</v>
      </c>
      <c r="D118" s="69">
        <v>0</v>
      </c>
      <c r="E118" s="21" t="s">
        <v>366</v>
      </c>
      <c r="F118" s="68" t="s">
        <v>367</v>
      </c>
      <c r="G118" s="69">
        <v>0</v>
      </c>
    </row>
    <row r="119" spans="2:7" ht="13.7" customHeight="1" x14ac:dyDescent="0.25">
      <c r="B119" s="6" t="s">
        <v>368</v>
      </c>
      <c r="C119" s="68" t="s">
        <v>369</v>
      </c>
      <c r="D119" s="69">
        <v>926465</v>
      </c>
      <c r="E119" s="21" t="s">
        <v>370</v>
      </c>
      <c r="F119" s="68" t="s">
        <v>371</v>
      </c>
      <c r="G119" s="69">
        <v>0</v>
      </c>
    </row>
    <row r="120" spans="2:7" ht="13.7" customHeight="1" x14ac:dyDescent="0.25">
      <c r="B120" s="6" t="s">
        <v>372</v>
      </c>
      <c r="C120" s="68" t="s">
        <v>373</v>
      </c>
      <c r="D120" s="69">
        <v>0</v>
      </c>
      <c r="E120" s="21" t="s">
        <v>374</v>
      </c>
      <c r="F120" s="68" t="s">
        <v>375</v>
      </c>
      <c r="G120" s="69">
        <v>0</v>
      </c>
    </row>
    <row r="121" spans="2:7" ht="13.7" customHeight="1" x14ac:dyDescent="0.25">
      <c r="B121" s="6" t="s">
        <v>376</v>
      </c>
      <c r="C121" s="19" t="s">
        <v>377</v>
      </c>
      <c r="D121" s="69">
        <v>6197066</v>
      </c>
      <c r="E121" s="21" t="s">
        <v>378</v>
      </c>
      <c r="F121" s="68" t="s">
        <v>379</v>
      </c>
      <c r="G121" s="69">
        <v>7060907</v>
      </c>
    </row>
    <row r="122" spans="2:7" ht="13.7" customHeight="1" thickBot="1" x14ac:dyDescent="0.3">
      <c r="B122" s="6"/>
      <c r="C122" s="28" t="s">
        <v>380</v>
      </c>
      <c r="D122" s="37">
        <f>SUM(D112:D121)</f>
        <v>145917386</v>
      </c>
      <c r="E122" s="21" t="s">
        <v>381</v>
      </c>
      <c r="F122" s="19" t="s">
        <v>382</v>
      </c>
      <c r="G122" s="20">
        <v>329487</v>
      </c>
    </row>
    <row r="123" spans="2:7" ht="13.7" customHeight="1" thickBot="1" x14ac:dyDescent="0.3">
      <c r="B123" s="6" t="s">
        <v>383</v>
      </c>
      <c r="C123" s="70" t="s">
        <v>309</v>
      </c>
      <c r="D123" s="67">
        <v>0</v>
      </c>
      <c r="E123" s="52"/>
      <c r="F123" s="28" t="s">
        <v>384</v>
      </c>
      <c r="G123" s="37">
        <f>SUM(G112:G122)</f>
        <v>10246791</v>
      </c>
    </row>
    <row r="124" spans="2:7" ht="13.7" customHeight="1" x14ac:dyDescent="0.25">
      <c r="B124" s="6" t="s">
        <v>385</v>
      </c>
      <c r="C124" s="68" t="s">
        <v>313</v>
      </c>
      <c r="D124" s="69">
        <v>0</v>
      </c>
      <c r="E124" s="21" t="s">
        <v>386</v>
      </c>
      <c r="F124" s="68" t="s">
        <v>387</v>
      </c>
      <c r="G124" s="69">
        <v>286968</v>
      </c>
    </row>
    <row r="125" spans="2:7" ht="13.7" customHeight="1" x14ac:dyDescent="0.25">
      <c r="B125" s="6" t="s">
        <v>388</v>
      </c>
      <c r="C125" s="19" t="s">
        <v>389</v>
      </c>
      <c r="D125" s="69">
        <v>0</v>
      </c>
      <c r="E125" s="21" t="s">
        <v>390</v>
      </c>
      <c r="F125" s="68" t="s">
        <v>391</v>
      </c>
      <c r="G125" s="69">
        <v>0</v>
      </c>
    </row>
    <row r="126" spans="2:7" ht="13.7" customHeight="1" thickBot="1" x14ac:dyDescent="0.3">
      <c r="B126" s="6"/>
      <c r="C126" s="28" t="s">
        <v>392</v>
      </c>
      <c r="D126" s="37">
        <f>SUM(D123:D125)</f>
        <v>0</v>
      </c>
      <c r="E126" s="21" t="s">
        <v>393</v>
      </c>
      <c r="F126" s="68" t="s">
        <v>394</v>
      </c>
      <c r="G126" s="69">
        <v>0</v>
      </c>
    </row>
    <row r="127" spans="2:7" ht="13.7" customHeight="1" x14ac:dyDescent="0.25">
      <c r="B127" s="6" t="s">
        <v>395</v>
      </c>
      <c r="C127" s="66" t="s">
        <v>274</v>
      </c>
      <c r="D127" s="67">
        <v>3500460</v>
      </c>
      <c r="E127" s="21" t="s">
        <v>396</v>
      </c>
      <c r="F127" s="68" t="s">
        <v>397</v>
      </c>
      <c r="G127" s="69">
        <v>133948</v>
      </c>
    </row>
    <row r="128" spans="2:7" ht="13.7" customHeight="1" x14ac:dyDescent="0.25">
      <c r="B128" s="6" t="s">
        <v>398</v>
      </c>
      <c r="C128" s="68" t="s">
        <v>399</v>
      </c>
      <c r="D128" s="69">
        <v>2943923</v>
      </c>
      <c r="E128" s="21" t="s">
        <v>400</v>
      </c>
      <c r="F128" s="68" t="s">
        <v>401</v>
      </c>
      <c r="G128" s="69">
        <v>0</v>
      </c>
    </row>
    <row r="129" spans="2:7" ht="13.7" customHeight="1" x14ac:dyDescent="0.25">
      <c r="B129" s="6" t="s">
        <v>402</v>
      </c>
      <c r="C129" s="68" t="s">
        <v>277</v>
      </c>
      <c r="D129" s="69">
        <v>35429</v>
      </c>
      <c r="E129" s="21" t="s">
        <v>403</v>
      </c>
      <c r="F129" s="68" t="s">
        <v>404</v>
      </c>
      <c r="G129" s="69">
        <v>208786</v>
      </c>
    </row>
    <row r="130" spans="2:7" ht="13.7" customHeight="1" x14ac:dyDescent="0.25">
      <c r="B130" s="6" t="s">
        <v>405</v>
      </c>
      <c r="C130" s="68" t="s">
        <v>283</v>
      </c>
      <c r="D130" s="69">
        <v>1159189</v>
      </c>
      <c r="E130" s="21" t="s">
        <v>406</v>
      </c>
      <c r="F130" s="68" t="s">
        <v>407</v>
      </c>
      <c r="G130" s="69">
        <v>0</v>
      </c>
    </row>
    <row r="131" spans="2:7" ht="13.7" customHeight="1" x14ac:dyDescent="0.25">
      <c r="B131" s="6" t="s">
        <v>408</v>
      </c>
      <c r="C131" s="68" t="s">
        <v>287</v>
      </c>
      <c r="D131" s="69">
        <v>2018819</v>
      </c>
      <c r="E131" s="21" t="s">
        <v>409</v>
      </c>
      <c r="F131" s="68" t="s">
        <v>410</v>
      </c>
      <c r="G131" s="69">
        <v>0</v>
      </c>
    </row>
    <row r="132" spans="2:7" ht="13.7" customHeight="1" x14ac:dyDescent="0.25">
      <c r="B132" s="6" t="s">
        <v>411</v>
      </c>
      <c r="C132" s="68" t="s">
        <v>291</v>
      </c>
      <c r="D132" s="69">
        <v>4508889</v>
      </c>
      <c r="E132" s="21" t="s">
        <v>412</v>
      </c>
      <c r="F132" s="68" t="s">
        <v>413</v>
      </c>
      <c r="G132" s="69">
        <v>0</v>
      </c>
    </row>
    <row r="133" spans="2:7" ht="13.7" customHeight="1" x14ac:dyDescent="0.25">
      <c r="B133" s="6" t="s">
        <v>414</v>
      </c>
      <c r="C133" s="68" t="s">
        <v>295</v>
      </c>
      <c r="D133" s="69">
        <v>0</v>
      </c>
      <c r="E133" s="21" t="s">
        <v>415</v>
      </c>
      <c r="F133" s="68" t="s">
        <v>416</v>
      </c>
      <c r="G133" s="69">
        <v>1118288</v>
      </c>
    </row>
    <row r="134" spans="2:7" ht="13.7" customHeight="1" x14ac:dyDescent="0.25">
      <c r="B134" s="6" t="s">
        <v>417</v>
      </c>
      <c r="C134" s="68" t="s">
        <v>418</v>
      </c>
      <c r="D134" s="69">
        <v>3744272</v>
      </c>
      <c r="E134" s="21" t="s">
        <v>419</v>
      </c>
      <c r="F134" s="68" t="s">
        <v>420</v>
      </c>
      <c r="G134" s="69">
        <v>0</v>
      </c>
    </row>
    <row r="135" spans="2:7" ht="13.7" customHeight="1" x14ac:dyDescent="0.25">
      <c r="B135" s="6" t="s">
        <v>421</v>
      </c>
      <c r="C135" s="68" t="s">
        <v>422</v>
      </c>
      <c r="D135" s="69">
        <v>14533283</v>
      </c>
      <c r="E135" s="21" t="s">
        <v>423</v>
      </c>
      <c r="F135" s="68" t="s">
        <v>424</v>
      </c>
      <c r="G135" s="69">
        <v>701640</v>
      </c>
    </row>
    <row r="136" spans="2:7" ht="13.7" customHeight="1" x14ac:dyDescent="0.25">
      <c r="B136" s="6" t="s">
        <v>425</v>
      </c>
      <c r="C136" s="68" t="s">
        <v>318</v>
      </c>
      <c r="D136" s="69">
        <v>3783559</v>
      </c>
      <c r="E136" s="21" t="s">
        <v>426</v>
      </c>
      <c r="F136" s="68" t="s">
        <v>427</v>
      </c>
      <c r="G136" s="69">
        <v>0</v>
      </c>
    </row>
    <row r="137" spans="2:7" ht="13.7" customHeight="1" x14ac:dyDescent="0.25">
      <c r="B137" s="6" t="s">
        <v>428</v>
      </c>
      <c r="C137" s="19" t="s">
        <v>320</v>
      </c>
      <c r="D137" s="71">
        <v>1653621</v>
      </c>
      <c r="E137" s="21" t="s">
        <v>429</v>
      </c>
      <c r="F137" s="68" t="s">
        <v>430</v>
      </c>
      <c r="G137" s="69">
        <v>19600</v>
      </c>
    </row>
    <row r="138" spans="2:7" ht="13.7" customHeight="1" thickBot="1" x14ac:dyDescent="0.3">
      <c r="B138" s="6"/>
      <c r="C138" s="28" t="s">
        <v>321</v>
      </c>
      <c r="D138" s="37">
        <f>SUM(D127:D137)</f>
        <v>37881444</v>
      </c>
      <c r="E138" s="21" t="s">
        <v>431</v>
      </c>
      <c r="F138" s="19" t="s">
        <v>432</v>
      </c>
      <c r="G138" s="20">
        <v>115549</v>
      </c>
    </row>
    <row r="139" spans="2:7" ht="13.7" customHeight="1" thickBot="1" x14ac:dyDescent="0.3">
      <c r="B139" s="6" t="s">
        <v>433</v>
      </c>
      <c r="C139" s="66" t="s">
        <v>327</v>
      </c>
      <c r="D139" s="67">
        <v>0</v>
      </c>
      <c r="E139" s="7"/>
      <c r="F139" s="28" t="s">
        <v>434</v>
      </c>
      <c r="G139" s="37">
        <f>SUM(G124:G138)</f>
        <v>2584779</v>
      </c>
    </row>
    <row r="140" spans="2:7" ht="13.7" customHeight="1" thickBot="1" x14ac:dyDescent="0.3">
      <c r="B140" s="6" t="s">
        <v>435</v>
      </c>
      <c r="C140" s="68" t="s">
        <v>329</v>
      </c>
      <c r="D140" s="69">
        <v>1557022</v>
      </c>
      <c r="E140" s="7"/>
      <c r="F140" s="48" t="s">
        <v>436</v>
      </c>
      <c r="G140" s="72">
        <f>G123-G139</f>
        <v>7662012</v>
      </c>
    </row>
    <row r="141" spans="2:7" ht="13.7" customHeight="1" x14ac:dyDescent="0.25">
      <c r="B141" s="6" t="s">
        <v>437</v>
      </c>
      <c r="C141" s="19" t="s">
        <v>331</v>
      </c>
      <c r="D141" s="71">
        <v>62547</v>
      </c>
      <c r="E141" s="73"/>
    </row>
    <row r="142" spans="2:7" ht="13.7" customHeight="1" thickBot="1" x14ac:dyDescent="0.3">
      <c r="B142" s="6"/>
      <c r="C142" s="28" t="s">
        <v>332</v>
      </c>
      <c r="D142" s="37">
        <f>SUM(D139:D141)</f>
        <v>1619569</v>
      </c>
      <c r="E142" s="73"/>
    </row>
    <row r="143" spans="2:7" ht="13.7" customHeight="1" thickBot="1" x14ac:dyDescent="0.3">
      <c r="B143" s="6"/>
      <c r="C143" s="59" t="s">
        <v>438</v>
      </c>
      <c r="D143" s="74">
        <f>[10]Amortizaciones!D33</f>
        <v>6313903</v>
      </c>
      <c r="E143" s="21"/>
      <c r="F143" s="48" t="s">
        <v>439</v>
      </c>
      <c r="G143" s="17">
        <f>+[10]E.S.P.!D6</f>
        <v>2020</v>
      </c>
    </row>
    <row r="144" spans="2:7" ht="13.7" customHeight="1" x14ac:dyDescent="0.25">
      <c r="B144" s="6" t="s">
        <v>440</v>
      </c>
      <c r="C144" s="66" t="s">
        <v>441</v>
      </c>
      <c r="D144" s="67">
        <v>5433905</v>
      </c>
      <c r="E144" s="21" t="s">
        <v>442</v>
      </c>
      <c r="F144" s="66" t="s">
        <v>443</v>
      </c>
      <c r="G144" s="67">
        <v>2518355</v>
      </c>
    </row>
    <row r="145" spans="2:7" ht="13.7" customHeight="1" x14ac:dyDescent="0.25">
      <c r="B145" s="6" t="s">
        <v>444</v>
      </c>
      <c r="C145" s="68" t="s">
        <v>445</v>
      </c>
      <c r="D145" s="69">
        <v>326285</v>
      </c>
      <c r="E145" s="21" t="s">
        <v>446</v>
      </c>
      <c r="F145" s="68" t="s">
        <v>447</v>
      </c>
      <c r="G145" s="69">
        <v>15126213</v>
      </c>
    </row>
    <row r="146" spans="2:7" ht="13.7" customHeight="1" x14ac:dyDescent="0.25">
      <c r="B146" s="6" t="s">
        <v>448</v>
      </c>
      <c r="C146" s="75" t="s">
        <v>449</v>
      </c>
      <c r="D146" s="69">
        <v>0</v>
      </c>
      <c r="E146" s="21" t="s">
        <v>450</v>
      </c>
      <c r="F146" s="68" t="s">
        <v>451</v>
      </c>
      <c r="G146" s="69">
        <v>2693808</v>
      </c>
    </row>
    <row r="147" spans="2:7" ht="13.7" customHeight="1" x14ac:dyDescent="0.25">
      <c r="B147" s="6" t="s">
        <v>452</v>
      </c>
      <c r="C147" s="19" t="s">
        <v>453</v>
      </c>
      <c r="D147" s="71">
        <v>234957</v>
      </c>
      <c r="E147" s="21" t="s">
        <v>454</v>
      </c>
      <c r="F147" s="68" t="s">
        <v>455</v>
      </c>
      <c r="G147" s="69">
        <v>0</v>
      </c>
    </row>
    <row r="148" spans="2:7" ht="13.7" customHeight="1" thickBot="1" x14ac:dyDescent="0.3">
      <c r="B148" s="6"/>
      <c r="C148" s="28" t="s">
        <v>456</v>
      </c>
      <c r="D148" s="37">
        <f>SUM(D144:D147)</f>
        <v>5995147</v>
      </c>
      <c r="E148" s="21" t="s">
        <v>457</v>
      </c>
      <c r="F148" s="68" t="s">
        <v>458</v>
      </c>
      <c r="G148" s="69">
        <v>0</v>
      </c>
    </row>
    <row r="149" spans="2:7" ht="13.7" customHeight="1" x14ac:dyDescent="0.25">
      <c r="B149" s="6" t="s">
        <v>459</v>
      </c>
      <c r="C149" s="66" t="s">
        <v>460</v>
      </c>
      <c r="D149" s="67">
        <v>1025537</v>
      </c>
      <c r="E149" s="21" t="s">
        <v>461</v>
      </c>
      <c r="F149" s="68" t="s">
        <v>462</v>
      </c>
      <c r="G149" s="69">
        <v>0</v>
      </c>
    </row>
    <row r="150" spans="2:7" ht="13.7" customHeight="1" x14ac:dyDescent="0.25">
      <c r="B150" s="6" t="s">
        <v>463</v>
      </c>
      <c r="C150" s="68" t="s">
        <v>464</v>
      </c>
      <c r="D150" s="69">
        <v>0</v>
      </c>
      <c r="E150" s="21" t="s">
        <v>465</v>
      </c>
      <c r="F150" s="68" t="s">
        <v>466</v>
      </c>
      <c r="G150" s="69">
        <v>0</v>
      </c>
    </row>
    <row r="151" spans="2:7" ht="13.7" customHeight="1" x14ac:dyDescent="0.25">
      <c r="B151" s="6" t="s">
        <v>467</v>
      </c>
      <c r="C151" s="19" t="s">
        <v>468</v>
      </c>
      <c r="D151" s="71">
        <v>0</v>
      </c>
      <c r="E151" s="21" t="s">
        <v>469</v>
      </c>
      <c r="F151" s="68" t="s">
        <v>470</v>
      </c>
      <c r="G151" s="69">
        <v>65049527</v>
      </c>
    </row>
    <row r="152" spans="2:7" ht="13.7" customHeight="1" thickBot="1" x14ac:dyDescent="0.3">
      <c r="B152" s="6"/>
      <c r="C152" s="28" t="s">
        <v>471</v>
      </c>
      <c r="D152" s="37">
        <f>SUM(D149:D151)</f>
        <v>1025537</v>
      </c>
      <c r="E152" s="21" t="s">
        <v>472</v>
      </c>
      <c r="F152" s="68" t="s">
        <v>473</v>
      </c>
      <c r="G152" s="69">
        <v>0</v>
      </c>
    </row>
    <row r="153" spans="2:7" ht="13.7" customHeight="1" thickBot="1" x14ac:dyDescent="0.3">
      <c r="B153" s="6"/>
      <c r="C153" s="48" t="s">
        <v>474</v>
      </c>
      <c r="D153" s="76">
        <f>D122+D126+D138+D142+D143+D148+D152</f>
        <v>198752986</v>
      </c>
      <c r="E153" s="21" t="s">
        <v>475</v>
      </c>
      <c r="F153" s="19" t="s">
        <v>476</v>
      </c>
      <c r="G153" s="20">
        <v>125195</v>
      </c>
    </row>
    <row r="154" spans="2:7" ht="13.7" customHeight="1" thickBot="1" x14ac:dyDescent="0.3">
      <c r="B154" s="6"/>
      <c r="E154" s="21"/>
      <c r="F154" s="28" t="s">
        <v>477</v>
      </c>
      <c r="G154" s="37">
        <f>SUM(G144:G153)</f>
        <v>85513098</v>
      </c>
    </row>
    <row r="155" spans="2:7" ht="13.7" customHeight="1" thickBot="1" x14ac:dyDescent="0.3">
      <c r="B155" s="6"/>
      <c r="C155" s="77" t="s">
        <v>478</v>
      </c>
      <c r="D155" s="65">
        <f>G109-D153</f>
        <v>116910</v>
      </c>
      <c r="E155" s="21" t="s">
        <v>479</v>
      </c>
      <c r="F155" s="66" t="s">
        <v>480</v>
      </c>
      <c r="G155" s="67">
        <v>7297877</v>
      </c>
    </row>
    <row r="156" spans="2:7" ht="13.7" customHeight="1" x14ac:dyDescent="0.25">
      <c r="E156" s="21" t="s">
        <v>481</v>
      </c>
      <c r="F156" s="68" t="s">
        <v>482</v>
      </c>
      <c r="G156" s="69">
        <v>56101442</v>
      </c>
    </row>
    <row r="157" spans="2:7" ht="13.7" customHeight="1" x14ac:dyDescent="0.25">
      <c r="E157" s="21" t="s">
        <v>483</v>
      </c>
      <c r="F157" s="68" t="s">
        <v>484</v>
      </c>
      <c r="G157" s="69">
        <v>0</v>
      </c>
    </row>
    <row r="158" spans="2:7" ht="13.7" customHeight="1" x14ac:dyDescent="0.25">
      <c r="E158" s="21" t="s">
        <v>485</v>
      </c>
      <c r="F158" s="68" t="s">
        <v>486</v>
      </c>
      <c r="G158" s="69">
        <v>0</v>
      </c>
    </row>
    <row r="159" spans="2:7" ht="13.7" customHeight="1" x14ac:dyDescent="0.25">
      <c r="E159" s="21" t="s">
        <v>487</v>
      </c>
      <c r="F159" s="68" t="s">
        <v>488</v>
      </c>
      <c r="G159" s="69">
        <v>0</v>
      </c>
    </row>
    <row r="160" spans="2:7" ht="13.7" customHeight="1" x14ac:dyDescent="0.25">
      <c r="E160" s="21" t="s">
        <v>489</v>
      </c>
      <c r="F160" s="68" t="s">
        <v>490</v>
      </c>
      <c r="G160" s="69">
        <v>131283</v>
      </c>
    </row>
    <row r="161" spans="5:7" ht="13.7" customHeight="1" x14ac:dyDescent="0.25">
      <c r="E161" s="21" t="s">
        <v>491</v>
      </c>
      <c r="F161" s="68" t="s">
        <v>492</v>
      </c>
      <c r="G161" s="69">
        <v>15709491</v>
      </c>
    </row>
    <row r="162" spans="5:7" ht="13.7" customHeight="1" x14ac:dyDescent="0.25">
      <c r="E162" s="21" t="s">
        <v>493</v>
      </c>
      <c r="F162" s="68" t="s">
        <v>494</v>
      </c>
      <c r="G162" s="69">
        <v>0</v>
      </c>
    </row>
    <row r="163" spans="5:7" ht="13.7" customHeight="1" x14ac:dyDescent="0.25">
      <c r="E163" s="21" t="s">
        <v>495</v>
      </c>
      <c r="F163" s="68" t="s">
        <v>496</v>
      </c>
      <c r="G163" s="69">
        <v>0</v>
      </c>
    </row>
    <row r="164" spans="5:7" ht="13.7" customHeight="1" x14ac:dyDescent="0.25">
      <c r="E164" s="21" t="s">
        <v>497</v>
      </c>
      <c r="F164" s="68" t="s">
        <v>498</v>
      </c>
      <c r="G164" s="69">
        <v>0</v>
      </c>
    </row>
    <row r="165" spans="5:7" ht="13.7" customHeight="1" x14ac:dyDescent="0.25">
      <c r="E165" s="21" t="s">
        <v>499</v>
      </c>
      <c r="F165" s="68" t="s">
        <v>500</v>
      </c>
      <c r="G165" s="69">
        <v>0</v>
      </c>
    </row>
    <row r="166" spans="5:7" ht="13.7" customHeight="1" x14ac:dyDescent="0.25">
      <c r="E166" s="21" t="s">
        <v>501</v>
      </c>
      <c r="F166" s="68" t="s">
        <v>502</v>
      </c>
      <c r="G166" s="69">
        <v>2027364</v>
      </c>
    </row>
    <row r="167" spans="5:7" ht="13.7" customHeight="1" x14ac:dyDescent="0.25">
      <c r="E167" s="21" t="s">
        <v>503</v>
      </c>
      <c r="F167" s="19" t="s">
        <v>504</v>
      </c>
      <c r="G167" s="20">
        <v>1044695</v>
      </c>
    </row>
    <row r="168" spans="5:7" ht="13.7" customHeight="1" thickBot="1" x14ac:dyDescent="0.3">
      <c r="E168" s="21"/>
      <c r="F168" s="28" t="s">
        <v>505</v>
      </c>
      <c r="G168" s="37">
        <f>SUM(G155:G167)</f>
        <v>82312152</v>
      </c>
    </row>
    <row r="169" spans="5:7" ht="13.7" customHeight="1" thickBot="1" x14ac:dyDescent="0.3">
      <c r="E169" s="21"/>
      <c r="F169" s="48" t="s">
        <v>506</v>
      </c>
      <c r="G169" s="72">
        <f>G154-G168</f>
        <v>3200946</v>
      </c>
    </row>
    <row r="170" spans="5:7" ht="13.7" customHeight="1" thickBot="1" x14ac:dyDescent="0.3">
      <c r="E170" s="21"/>
      <c r="F170" s="78"/>
      <c r="G170" s="78"/>
    </row>
    <row r="171" spans="5:7" ht="13.7" customHeight="1" thickBot="1" x14ac:dyDescent="0.3">
      <c r="E171" s="21"/>
      <c r="F171" s="77" t="s">
        <v>507</v>
      </c>
      <c r="G171" s="79"/>
    </row>
    <row r="172" spans="5:7" ht="13.7" customHeight="1" thickBot="1" x14ac:dyDescent="0.3">
      <c r="E172" s="21"/>
      <c r="F172" s="80"/>
      <c r="G172" s="81">
        <f>+D155+G140+G169</f>
        <v>10979868</v>
      </c>
    </row>
    <row r="173" spans="5:7" ht="13.7" customHeight="1" thickBot="1" x14ac:dyDescent="0.3">
      <c r="E173" s="21"/>
      <c r="F173" s="5"/>
      <c r="G173" s="5"/>
    </row>
    <row r="174" spans="5:7" ht="13.7" customHeight="1" thickBot="1" x14ac:dyDescent="0.3">
      <c r="E174" s="21"/>
      <c r="F174" s="48" t="s">
        <v>508</v>
      </c>
      <c r="G174" s="17">
        <f>+G143</f>
        <v>2020</v>
      </c>
    </row>
    <row r="175" spans="5:7" ht="13.7" customHeight="1" x14ac:dyDescent="0.25">
      <c r="E175" s="21"/>
      <c r="F175" s="66" t="s">
        <v>509</v>
      </c>
      <c r="G175" s="67"/>
    </row>
    <row r="176" spans="5:7" ht="13.7" customHeight="1" x14ac:dyDescent="0.25">
      <c r="E176" s="21"/>
      <c r="F176" s="68" t="s">
        <v>510</v>
      </c>
      <c r="G176" s="69"/>
    </row>
    <row r="177" spans="1:8" ht="13.7" customHeight="1" thickBot="1" x14ac:dyDescent="0.3">
      <c r="F177" s="68" t="s">
        <v>511</v>
      </c>
      <c r="G177" s="69"/>
    </row>
    <row r="178" spans="1:8" ht="13.7" customHeight="1" thickBot="1" x14ac:dyDescent="0.3">
      <c r="F178" s="48" t="s">
        <v>512</v>
      </c>
      <c r="G178" s="72">
        <f>SUM(G175:G177)</f>
        <v>0</v>
      </c>
    </row>
    <row r="179" spans="1:8" ht="13.7" customHeight="1" thickBot="1" x14ac:dyDescent="0.3"/>
    <row r="180" spans="1:8" ht="13.7" customHeight="1" thickBot="1" x14ac:dyDescent="0.3">
      <c r="F180" s="77" t="s">
        <v>513</v>
      </c>
      <c r="G180" s="79"/>
    </row>
    <row r="181" spans="1:8" ht="13.7" customHeight="1" thickBot="1" x14ac:dyDescent="0.3">
      <c r="F181" s="83"/>
      <c r="G181" s="81">
        <f>+G172+G178</f>
        <v>10979868</v>
      </c>
    </row>
    <row r="182" spans="1:8" ht="13.7" customHeight="1" x14ac:dyDescent="0.25"/>
    <row r="183" spans="1:8" ht="13.5" customHeight="1" x14ac:dyDescent="0.25"/>
    <row r="184" spans="1:8" ht="13.7" customHeight="1" x14ac:dyDescent="0.25">
      <c r="E184" s="84"/>
      <c r="F184" s="84"/>
      <c r="G184" s="84"/>
      <c r="H184" s="84"/>
    </row>
    <row r="185" spans="1:8" s="84" customFormat="1" ht="13.7" customHeight="1" x14ac:dyDescent="0.25">
      <c r="A185" s="85"/>
      <c r="E185" s="82"/>
      <c r="F185" s="86"/>
      <c r="G185" s="86"/>
    </row>
    <row r="186" spans="1:8" s="84" customFormat="1" ht="12.75" x14ac:dyDescent="0.25">
      <c r="A186" s="85"/>
      <c r="E186" s="82"/>
      <c r="F186" s="86"/>
      <c r="G186" s="86"/>
    </row>
    <row r="187" spans="1:8" s="84" customFormat="1" ht="12.75" hidden="1" x14ac:dyDescent="0.25">
      <c r="A187" s="85"/>
      <c r="E187" s="82"/>
      <c r="F187" s="86"/>
      <c r="G187" s="86"/>
    </row>
    <row r="188" spans="1:8" s="84" customFormat="1" ht="12.75" hidden="1" x14ac:dyDescent="0.25">
      <c r="A188" s="85"/>
      <c r="E188" s="82"/>
      <c r="F188" s="86"/>
      <c r="G188" s="86"/>
    </row>
    <row r="189" spans="1:8" s="84" customFormat="1" ht="12.75" hidden="1" x14ac:dyDescent="0.25">
      <c r="A189" s="85"/>
      <c r="E189" s="82"/>
      <c r="F189" s="86"/>
      <c r="G189" s="86"/>
    </row>
    <row r="190" spans="1:8" s="84" customFormat="1" ht="12.75" hidden="1" x14ac:dyDescent="0.25">
      <c r="A190" s="85"/>
      <c r="E190" s="82"/>
      <c r="F190" s="86"/>
      <c r="G190" s="86"/>
    </row>
    <row r="191" spans="1:8" s="84" customFormat="1" ht="12.75" hidden="1" x14ac:dyDescent="0.25">
      <c r="A191" s="85"/>
      <c r="E191" s="82"/>
      <c r="F191" s="86"/>
      <c r="G191" s="86"/>
    </row>
    <row r="192" spans="1:8" s="84" customFormat="1" ht="12.75" hidden="1" x14ac:dyDescent="0.25">
      <c r="A192" s="85"/>
      <c r="E192" s="82"/>
      <c r="F192" s="86"/>
      <c r="G192" s="86"/>
    </row>
    <row r="193" spans="5:7" s="84" customFormat="1" ht="12.75" hidden="1" x14ac:dyDescent="0.25">
      <c r="E193" s="82"/>
      <c r="F193" s="86"/>
      <c r="G193" s="86"/>
    </row>
    <row r="194" spans="5:7" s="84" customFormat="1" ht="12.75" hidden="1" x14ac:dyDescent="0.25">
      <c r="E194" s="82"/>
      <c r="F194" s="86"/>
      <c r="G194" s="86"/>
    </row>
    <row r="195" spans="5:7" s="84" customFormat="1" ht="12.75" hidden="1" x14ac:dyDescent="0.25">
      <c r="E195" s="82"/>
      <c r="F195" s="86"/>
      <c r="G195" s="86"/>
    </row>
    <row r="196" spans="5:7" s="84" customFormat="1" ht="12.75" hidden="1" x14ac:dyDescent="0.25">
      <c r="E196" s="82"/>
      <c r="F196" s="86"/>
      <c r="G196" s="86"/>
    </row>
    <row r="197" spans="5:7" s="84" customFormat="1" ht="12.75" hidden="1" x14ac:dyDescent="0.25">
      <c r="E197" s="82"/>
      <c r="F197" s="86"/>
      <c r="G197" s="86"/>
    </row>
    <row r="198" spans="5:7" s="84" customFormat="1" ht="12.75" hidden="1" x14ac:dyDescent="0.25">
      <c r="E198" s="82"/>
      <c r="F198" s="86"/>
      <c r="G198" s="86"/>
    </row>
    <row r="199" spans="5:7" s="84" customFormat="1" ht="12.75" hidden="1" x14ac:dyDescent="0.25">
      <c r="E199" s="82"/>
      <c r="F199" s="86"/>
      <c r="G199" s="86"/>
    </row>
    <row r="200" spans="5:7" s="84" customFormat="1" ht="12.75" hidden="1" x14ac:dyDescent="0.25">
      <c r="E200" s="82"/>
      <c r="F200" s="86"/>
      <c r="G200" s="86"/>
    </row>
    <row r="201" spans="5:7" s="84" customFormat="1" ht="12.75" hidden="1" x14ac:dyDescent="0.25">
      <c r="E201" s="82"/>
      <c r="F201" s="86"/>
      <c r="G201" s="86"/>
    </row>
    <row r="202" spans="5:7" s="84" customFormat="1" ht="12.75" hidden="1" x14ac:dyDescent="0.25">
      <c r="E202" s="82"/>
      <c r="F202" s="86"/>
      <c r="G202" s="86"/>
    </row>
    <row r="203" spans="5:7" s="84" customFormat="1" ht="12.75" hidden="1" x14ac:dyDescent="0.25">
      <c r="E203" s="82"/>
      <c r="F203" s="86"/>
      <c r="G203" s="86"/>
    </row>
    <row r="204" spans="5:7" s="84" customFormat="1" ht="12.75" hidden="1" x14ac:dyDescent="0.25">
      <c r="E204" s="82"/>
      <c r="F204" s="86"/>
      <c r="G204" s="86"/>
    </row>
    <row r="205" spans="5:7" s="84" customFormat="1" ht="12.75" hidden="1" x14ac:dyDescent="0.25">
      <c r="E205" s="82"/>
      <c r="F205" s="86"/>
      <c r="G205" s="86"/>
    </row>
    <row r="206" spans="5:7" s="84" customFormat="1" ht="12.75" hidden="1" x14ac:dyDescent="0.25">
      <c r="E206" s="82"/>
      <c r="F206" s="86"/>
      <c r="G206" s="86"/>
    </row>
    <row r="207" spans="5:7" s="84" customFormat="1" ht="12.75" hidden="1" x14ac:dyDescent="0.25">
      <c r="E207" s="82"/>
      <c r="F207" s="86"/>
      <c r="G207" s="86"/>
    </row>
    <row r="208" spans="5:7" s="84" customFormat="1" ht="12.75" hidden="1" x14ac:dyDescent="0.25">
      <c r="E208" s="82"/>
      <c r="F208" s="86"/>
      <c r="G208" s="86"/>
    </row>
    <row r="209" spans="3:8" s="84" customFormat="1" ht="12.75" hidden="1" x14ac:dyDescent="0.25">
      <c r="E209" s="82"/>
      <c r="F209" s="86"/>
      <c r="G209" s="86"/>
    </row>
    <row r="210" spans="3:8" s="84" customFormat="1" ht="12.75" hidden="1" x14ac:dyDescent="0.25">
      <c r="E210" s="82"/>
      <c r="F210" s="86"/>
      <c r="G210" s="86"/>
    </row>
    <row r="211" spans="3:8" s="84" customFormat="1" ht="12.75" hidden="1" x14ac:dyDescent="0.25">
      <c r="E211" s="82"/>
      <c r="F211" s="86"/>
      <c r="G211" s="86"/>
    </row>
    <row r="212" spans="3:8" s="84" customFormat="1" ht="12.75" hidden="1" x14ac:dyDescent="0.25">
      <c r="E212" s="82"/>
      <c r="F212" s="86"/>
      <c r="G212" s="86"/>
    </row>
    <row r="213" spans="3:8" s="84" customFormat="1" ht="12.75" hidden="1" x14ac:dyDescent="0.25">
      <c r="E213" s="82"/>
      <c r="F213" s="86"/>
      <c r="G213" s="86"/>
    </row>
    <row r="214" spans="3:8" s="84" customFormat="1" hidden="1" x14ac:dyDescent="0.25">
      <c r="E214" s="82"/>
      <c r="F214" s="87"/>
      <c r="G214" s="58"/>
      <c r="H214" s="5"/>
    </row>
    <row r="215" spans="3:8" hidden="1" x14ac:dyDescent="0.25">
      <c r="C215" s="86"/>
      <c r="D215" s="86"/>
      <c r="F215" s="87"/>
    </row>
  </sheetData>
  <mergeCells count="6">
    <mergeCell ref="C1:D1"/>
    <mergeCell ref="E1:F1"/>
    <mergeCell ref="C2:D2"/>
    <mergeCell ref="E2:F2"/>
    <mergeCell ref="C3:D3"/>
    <mergeCell ref="E3:F3"/>
  </mergeCells>
  <conditionalFormatting sqref="D7:D12">
    <cfRule type="cellIs" dxfId="339" priority="2" stopIfTrue="1" operator="greaterThan">
      <formula>50</formula>
    </cfRule>
    <cfRule type="cellIs" dxfId="338" priority="11" stopIfTrue="1" operator="equal">
      <formula>0</formula>
    </cfRule>
  </conditionalFormatting>
  <conditionalFormatting sqref="D7:D61">
    <cfRule type="cellIs" dxfId="337" priority="9" stopIfTrue="1" operator="between">
      <formula>-0.1</formula>
      <formula>-50</formula>
    </cfRule>
    <cfRule type="cellIs" dxfId="336" priority="10" stopIfTrue="1" operator="between">
      <formula>0.1</formula>
      <formula>50</formula>
    </cfRule>
  </conditionalFormatting>
  <conditionalFormatting sqref="G152:G181 G7:G150">
    <cfRule type="cellIs" dxfId="335" priority="7" stopIfTrue="1" operator="between">
      <formula>-0.1</formula>
      <formula>-50</formula>
    </cfRule>
    <cfRule type="cellIs" dxfId="334" priority="8" stopIfTrue="1" operator="between">
      <formula>0.1</formula>
      <formula>50</formula>
    </cfRule>
  </conditionalFormatting>
  <conditionalFormatting sqref="D111:D155">
    <cfRule type="cellIs" dxfId="333" priority="5" stopIfTrue="1" operator="between">
      <formula>-0.1</formula>
      <formula>-50</formula>
    </cfRule>
    <cfRule type="cellIs" dxfId="332" priority="6" stopIfTrue="1" operator="between">
      <formula>0.1</formula>
      <formula>50</formula>
    </cfRule>
  </conditionalFormatting>
  <conditionalFormatting sqref="G165">
    <cfRule type="expression" dxfId="331" priority="4" stopIfTrue="1">
      <formula>AND($G$165&gt;0,$G$151&gt;0)</formula>
    </cfRule>
  </conditionalFormatting>
  <conditionalFormatting sqref="G151">
    <cfRule type="expression" dxfId="330" priority="1" stopIfTrue="1">
      <formula>AND($G$151&gt;0,$G$165&gt;0)</formula>
    </cfRule>
  </conditionalFormatting>
  <dataValidations count="11">
    <dataValidation type="custom" operator="greaterThan" showInputMessage="1" showErrorMessage="1" errorTitle="RDM" error="No se admite ingresar RDM como ingresos y egresos a la vez. Tampoco se admiten valores menores a $50._x000a_" sqref="G151">
      <formula1>AND(OR(G151=0, G151&gt;50),G165=0)</formula1>
    </dataValidation>
    <dataValidation type="whole" operator="greaterThan" allowBlank="1" showInputMessage="1" showErrorMessage="1" sqref="D8:D12">
      <formula1>50</formula1>
    </dataValidation>
    <dataValidation type="whole" operator="greaterThan" showInputMessage="1" showErrorMessage="1" errorTitle="eee" error="Valores mayores a $50" sqref="D7">
      <formula1>50</formula1>
    </dataValidation>
    <dataValidation type="custom" operator="greaterThan" showInputMessage="1" showErrorMessage="1" errorTitle="eee" sqref="D56">
      <formula1>OR(D56=0, D56&lt;50)</formula1>
    </dataValidation>
    <dataValidation type="custom" operator="greaterThan" showInputMessage="1" showErrorMessage="1" errorTitle="eee" sqref="D57:D61">
      <formula1>OR(D57=0, D57&lt;0)</formula1>
    </dataValidation>
    <dataValidation type="custom" operator="greaterThan" showInputMessage="1" showErrorMessage="1" errorTitle="eee" sqref="G7:G140 D62:D155 G152:G164 G166:G181 G144:G150 D13:D55">
      <formula1>OR(D7=0, D7&gt;50)</formula1>
    </dataValidation>
    <dataValidation type="whole" allowBlank="1" showErrorMessage="1" errorTitle="Error de datos" error="Debe ingresar un valor entre 1 y 12" sqref="G1:G3">
      <formula1>1</formula1>
      <formula2>12</formula2>
    </dataValidation>
    <dataValidation allowBlank="1" errorTitle="Error de datos" error="Debe introducir una fecha válida" sqref="E3"/>
    <dataValidation allowBlank="1" sqref="G204"/>
    <dataValidation operator="greaterThanOrEqual" allowBlank="1" errorTitle="Error de datos" error="Debe ingresar un valor entero positivo" sqref="F6:F107 F203 C13:C47 C106:C153 F171 F174:F178 F180 F111:F119 C7:C10 F121:F140 F143:F169 C49:C62 C155 F109"/>
    <dataValidation type="custom" operator="greaterThan" showInputMessage="1" showErrorMessage="1" errorTitle="rdm2" error="No se admite ingresar a la vez RDM como ingresos y como egresos. Tampoco se admiten valores negattivos o positivos menores de 50" sqref="G165">
      <formula1>AND(OR(G165=0, G165&gt;50),G151=0)</formula1>
    </dataValidation>
  </dataValidations>
  <pageMargins left="0.7" right="0.7" top="0.75" bottom="0.75" header="0.3" footer="0.3"/>
  <ignoredErrors>
    <ignoredError sqref="E7:E181" numberStoredAsText="1"/>
    <ignoredError sqref="G40" formulaRange="1"/>
  </ignoredErrors>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VP426"/>
  <sheetViews>
    <sheetView showGridLines="0" workbookViewId="0">
      <selection activeCell="F4" sqref="F4"/>
    </sheetView>
  </sheetViews>
  <sheetFormatPr baseColWidth="10" defaultColWidth="0" defaultRowHeight="15" zeroHeight="1" x14ac:dyDescent="0.25"/>
  <cols>
    <col min="1" max="1" width="3.7109375" style="1" customWidth="1"/>
    <col min="2" max="2" width="14.28515625" style="7" hidden="1" customWidth="1"/>
    <col min="3" max="3" width="58.42578125" style="58" customWidth="1"/>
    <col min="4" max="4" width="25.140625" style="58" customWidth="1"/>
    <col min="5" max="5" width="5.85546875" style="82" customWidth="1"/>
    <col min="6" max="6" width="57.28515625" style="58" customWidth="1"/>
    <col min="7" max="7" width="24.7109375" style="58" customWidth="1"/>
    <col min="8" max="8" width="6.85546875" style="5" customWidth="1"/>
    <col min="9" max="254" width="0" style="5" hidden="1"/>
    <col min="255" max="255" width="3.7109375" style="5" hidden="1" customWidth="1"/>
    <col min="256" max="256" width="0" style="5" hidden="1" customWidth="1"/>
    <col min="257" max="257" width="55.28515625" style="5" hidden="1" customWidth="1"/>
    <col min="258" max="259" width="17.7109375" style="5" hidden="1" customWidth="1"/>
    <col min="260" max="260" width="3.85546875" style="5" hidden="1" customWidth="1"/>
    <col min="261" max="261" width="57.28515625" style="5" hidden="1" customWidth="1"/>
    <col min="262" max="263" width="17.7109375" style="5" hidden="1" customWidth="1"/>
    <col min="264" max="264" width="5.42578125" style="5" hidden="1" customWidth="1"/>
    <col min="265" max="510" width="0" style="5" hidden="1"/>
    <col min="511" max="511" width="3.7109375" style="5" hidden="1" customWidth="1"/>
    <col min="512" max="512" width="0" style="5" hidden="1" customWidth="1"/>
    <col min="513" max="513" width="55.28515625" style="5" hidden="1" customWidth="1"/>
    <col min="514" max="515" width="17.7109375" style="5" hidden="1" customWidth="1"/>
    <col min="516" max="516" width="3.85546875" style="5" hidden="1" customWidth="1"/>
    <col min="517" max="517" width="57.28515625" style="5" hidden="1" customWidth="1"/>
    <col min="518" max="519" width="17.7109375" style="5" hidden="1" customWidth="1"/>
    <col min="520" max="520" width="5.42578125" style="5" hidden="1" customWidth="1"/>
    <col min="521" max="766" width="0" style="5" hidden="1"/>
    <col min="767" max="767" width="3.7109375" style="5" hidden="1" customWidth="1"/>
    <col min="768" max="768" width="0" style="5" hidden="1" customWidth="1"/>
    <col min="769" max="769" width="55.28515625" style="5" hidden="1" customWidth="1"/>
    <col min="770" max="771" width="17.7109375" style="5" hidden="1" customWidth="1"/>
    <col min="772" max="772" width="3.85546875" style="5" hidden="1" customWidth="1"/>
    <col min="773" max="773" width="57.28515625" style="5" hidden="1" customWidth="1"/>
    <col min="774" max="775" width="17.7109375" style="5" hidden="1" customWidth="1"/>
    <col min="776" max="776" width="5.42578125" style="5" hidden="1" customWidth="1"/>
    <col min="777" max="1022" width="0" style="5" hidden="1"/>
    <col min="1023" max="1023" width="3.7109375" style="5" hidden="1" customWidth="1"/>
    <col min="1024" max="1024" width="0" style="5" hidden="1" customWidth="1"/>
    <col min="1025" max="1025" width="55.28515625" style="5" hidden="1" customWidth="1"/>
    <col min="1026" max="1027" width="17.7109375" style="5" hidden="1" customWidth="1"/>
    <col min="1028" max="1028" width="3.85546875" style="5" hidden="1" customWidth="1"/>
    <col min="1029" max="1029" width="57.28515625" style="5" hidden="1" customWidth="1"/>
    <col min="1030" max="1031" width="17.7109375" style="5" hidden="1" customWidth="1"/>
    <col min="1032" max="1032" width="5.42578125" style="5" hidden="1" customWidth="1"/>
    <col min="1033" max="1278" width="0" style="5" hidden="1"/>
    <col min="1279" max="1279" width="3.7109375" style="5" hidden="1" customWidth="1"/>
    <col min="1280" max="1280" width="0" style="5" hidden="1" customWidth="1"/>
    <col min="1281" max="1281" width="55.28515625" style="5" hidden="1" customWidth="1"/>
    <col min="1282" max="1283" width="17.7109375" style="5" hidden="1" customWidth="1"/>
    <col min="1284" max="1284" width="3.85546875" style="5" hidden="1" customWidth="1"/>
    <col min="1285" max="1285" width="57.28515625" style="5" hidden="1" customWidth="1"/>
    <col min="1286" max="1287" width="17.7109375" style="5" hidden="1" customWidth="1"/>
    <col min="1288" max="1288" width="5.42578125" style="5" hidden="1" customWidth="1"/>
    <col min="1289" max="1534" width="0" style="5" hidden="1"/>
    <col min="1535" max="1535" width="3.7109375" style="5" hidden="1" customWidth="1"/>
    <col min="1536" max="1536" width="0" style="5" hidden="1" customWidth="1"/>
    <col min="1537" max="1537" width="55.28515625" style="5" hidden="1" customWidth="1"/>
    <col min="1538" max="1539" width="17.7109375" style="5" hidden="1" customWidth="1"/>
    <col min="1540" max="1540" width="3.85546875" style="5" hidden="1" customWidth="1"/>
    <col min="1541" max="1541" width="57.28515625" style="5" hidden="1" customWidth="1"/>
    <col min="1542" max="1543" width="17.7109375" style="5" hidden="1" customWidth="1"/>
    <col min="1544" max="1544" width="5.42578125" style="5" hidden="1" customWidth="1"/>
    <col min="1545" max="1790" width="0" style="5" hidden="1"/>
    <col min="1791" max="1791" width="3.7109375" style="5" hidden="1" customWidth="1"/>
    <col min="1792" max="1792" width="0" style="5" hidden="1" customWidth="1"/>
    <col min="1793" max="1793" width="55.28515625" style="5" hidden="1" customWidth="1"/>
    <col min="1794" max="1795" width="17.7109375" style="5" hidden="1" customWidth="1"/>
    <col min="1796" max="1796" width="3.85546875" style="5" hidden="1" customWidth="1"/>
    <col min="1797" max="1797" width="57.28515625" style="5" hidden="1" customWidth="1"/>
    <col min="1798" max="1799" width="17.7109375" style="5" hidden="1" customWidth="1"/>
    <col min="1800" max="1800" width="5.42578125" style="5" hidden="1" customWidth="1"/>
    <col min="1801" max="2046" width="0" style="5" hidden="1"/>
    <col min="2047" max="2047" width="3.7109375" style="5" hidden="1" customWidth="1"/>
    <col min="2048" max="2048" width="0" style="5" hidden="1" customWidth="1"/>
    <col min="2049" max="2049" width="55.28515625" style="5" hidden="1" customWidth="1"/>
    <col min="2050" max="2051" width="17.7109375" style="5" hidden="1" customWidth="1"/>
    <col min="2052" max="2052" width="3.85546875" style="5" hidden="1" customWidth="1"/>
    <col min="2053" max="2053" width="57.28515625" style="5" hidden="1" customWidth="1"/>
    <col min="2054" max="2055" width="17.7109375" style="5" hidden="1" customWidth="1"/>
    <col min="2056" max="2056" width="5.42578125" style="5" hidden="1" customWidth="1"/>
    <col min="2057" max="2302" width="0" style="5" hidden="1"/>
    <col min="2303" max="2303" width="3.7109375" style="5" hidden="1" customWidth="1"/>
    <col min="2304" max="2304" width="0" style="5" hidden="1" customWidth="1"/>
    <col min="2305" max="2305" width="55.28515625" style="5" hidden="1" customWidth="1"/>
    <col min="2306" max="2307" width="17.7109375" style="5" hidden="1" customWidth="1"/>
    <col min="2308" max="2308" width="3.85546875" style="5" hidden="1" customWidth="1"/>
    <col min="2309" max="2309" width="57.28515625" style="5" hidden="1" customWidth="1"/>
    <col min="2310" max="2311" width="17.7109375" style="5" hidden="1" customWidth="1"/>
    <col min="2312" max="2312" width="5.42578125" style="5" hidden="1" customWidth="1"/>
    <col min="2313" max="2558" width="0" style="5" hidden="1"/>
    <col min="2559" max="2559" width="3.7109375" style="5" hidden="1" customWidth="1"/>
    <col min="2560" max="2560" width="0" style="5" hidden="1" customWidth="1"/>
    <col min="2561" max="2561" width="55.28515625" style="5" hidden="1" customWidth="1"/>
    <col min="2562" max="2563" width="17.7109375" style="5" hidden="1" customWidth="1"/>
    <col min="2564" max="2564" width="3.85546875" style="5" hidden="1" customWidth="1"/>
    <col min="2565" max="2565" width="57.28515625" style="5" hidden="1" customWidth="1"/>
    <col min="2566" max="2567" width="17.7109375" style="5" hidden="1" customWidth="1"/>
    <col min="2568" max="2568" width="5.42578125" style="5" hidden="1" customWidth="1"/>
    <col min="2569" max="2814" width="0" style="5" hidden="1"/>
    <col min="2815" max="2815" width="3.7109375" style="5" hidden="1" customWidth="1"/>
    <col min="2816" max="2816" width="0" style="5" hidden="1" customWidth="1"/>
    <col min="2817" max="2817" width="55.28515625" style="5" hidden="1" customWidth="1"/>
    <col min="2818" max="2819" width="17.7109375" style="5" hidden="1" customWidth="1"/>
    <col min="2820" max="2820" width="3.85546875" style="5" hidden="1" customWidth="1"/>
    <col min="2821" max="2821" width="57.28515625" style="5" hidden="1" customWidth="1"/>
    <col min="2822" max="2823" width="17.7109375" style="5" hidden="1" customWidth="1"/>
    <col min="2824" max="2824" width="5.42578125" style="5" hidden="1" customWidth="1"/>
    <col min="2825" max="3070" width="0" style="5" hidden="1"/>
    <col min="3071" max="3071" width="3.7109375" style="5" hidden="1" customWidth="1"/>
    <col min="3072" max="3072" width="0" style="5" hidden="1" customWidth="1"/>
    <col min="3073" max="3073" width="55.28515625" style="5" hidden="1" customWidth="1"/>
    <col min="3074" max="3075" width="17.7109375" style="5" hidden="1" customWidth="1"/>
    <col min="3076" max="3076" width="3.85546875" style="5" hidden="1" customWidth="1"/>
    <col min="3077" max="3077" width="57.28515625" style="5" hidden="1" customWidth="1"/>
    <col min="3078" max="3079" width="17.7109375" style="5" hidden="1" customWidth="1"/>
    <col min="3080" max="3080" width="5.42578125" style="5" hidden="1" customWidth="1"/>
    <col min="3081" max="3326" width="0" style="5" hidden="1"/>
    <col min="3327" max="3327" width="3.7109375" style="5" hidden="1" customWidth="1"/>
    <col min="3328" max="3328" width="0" style="5" hidden="1" customWidth="1"/>
    <col min="3329" max="3329" width="55.28515625" style="5" hidden="1" customWidth="1"/>
    <col min="3330" max="3331" width="17.7109375" style="5" hidden="1" customWidth="1"/>
    <col min="3332" max="3332" width="3.85546875" style="5" hidden="1" customWidth="1"/>
    <col min="3333" max="3333" width="57.28515625" style="5" hidden="1" customWidth="1"/>
    <col min="3334" max="3335" width="17.7109375" style="5" hidden="1" customWidth="1"/>
    <col min="3336" max="3336" width="5.42578125" style="5" hidden="1" customWidth="1"/>
    <col min="3337" max="3582" width="0" style="5" hidden="1"/>
    <col min="3583" max="3583" width="3.7109375" style="5" hidden="1" customWidth="1"/>
    <col min="3584" max="3584" width="0" style="5" hidden="1" customWidth="1"/>
    <col min="3585" max="3585" width="55.28515625" style="5" hidden="1" customWidth="1"/>
    <col min="3586" max="3587" width="17.7109375" style="5" hidden="1" customWidth="1"/>
    <col min="3588" max="3588" width="3.85546875" style="5" hidden="1" customWidth="1"/>
    <col min="3589" max="3589" width="57.28515625" style="5" hidden="1" customWidth="1"/>
    <col min="3590" max="3591" width="17.7109375" style="5" hidden="1" customWidth="1"/>
    <col min="3592" max="3592" width="5.42578125" style="5" hidden="1" customWidth="1"/>
    <col min="3593" max="3838" width="0" style="5" hidden="1"/>
    <col min="3839" max="3839" width="3.7109375" style="5" hidden="1" customWidth="1"/>
    <col min="3840" max="3840" width="0" style="5" hidden="1" customWidth="1"/>
    <col min="3841" max="3841" width="55.28515625" style="5" hidden="1" customWidth="1"/>
    <col min="3842" max="3843" width="17.7109375" style="5" hidden="1" customWidth="1"/>
    <col min="3844" max="3844" width="3.85546875" style="5" hidden="1" customWidth="1"/>
    <col min="3845" max="3845" width="57.28515625" style="5" hidden="1" customWidth="1"/>
    <col min="3846" max="3847" width="17.7109375" style="5" hidden="1" customWidth="1"/>
    <col min="3848" max="3848" width="5.42578125" style="5" hidden="1" customWidth="1"/>
    <col min="3849" max="4094" width="0" style="5" hidden="1"/>
    <col min="4095" max="4095" width="3.7109375" style="5" hidden="1" customWidth="1"/>
    <col min="4096" max="4096" width="0" style="5" hidden="1" customWidth="1"/>
    <col min="4097" max="4097" width="55.28515625" style="5" hidden="1" customWidth="1"/>
    <col min="4098" max="4099" width="17.7109375" style="5" hidden="1" customWidth="1"/>
    <col min="4100" max="4100" width="3.85546875" style="5" hidden="1" customWidth="1"/>
    <col min="4101" max="4101" width="57.28515625" style="5" hidden="1" customWidth="1"/>
    <col min="4102" max="4103" width="17.7109375" style="5" hidden="1" customWidth="1"/>
    <col min="4104" max="4104" width="5.42578125" style="5" hidden="1" customWidth="1"/>
    <col min="4105" max="4350" width="0" style="5" hidden="1"/>
    <col min="4351" max="4351" width="3.7109375" style="5" hidden="1" customWidth="1"/>
    <col min="4352" max="4352" width="0" style="5" hidden="1" customWidth="1"/>
    <col min="4353" max="4353" width="55.28515625" style="5" hidden="1" customWidth="1"/>
    <col min="4354" max="4355" width="17.7109375" style="5" hidden="1" customWidth="1"/>
    <col min="4356" max="4356" width="3.85546875" style="5" hidden="1" customWidth="1"/>
    <col min="4357" max="4357" width="57.28515625" style="5" hidden="1" customWidth="1"/>
    <col min="4358" max="4359" width="17.7109375" style="5" hidden="1" customWidth="1"/>
    <col min="4360" max="4360" width="5.42578125" style="5" hidden="1" customWidth="1"/>
    <col min="4361" max="4606" width="0" style="5" hidden="1"/>
    <col min="4607" max="4607" width="3.7109375" style="5" hidden="1" customWidth="1"/>
    <col min="4608" max="4608" width="0" style="5" hidden="1" customWidth="1"/>
    <col min="4609" max="4609" width="55.28515625" style="5" hidden="1" customWidth="1"/>
    <col min="4610" max="4611" width="17.7109375" style="5" hidden="1" customWidth="1"/>
    <col min="4612" max="4612" width="3.85546875" style="5" hidden="1" customWidth="1"/>
    <col min="4613" max="4613" width="57.28515625" style="5" hidden="1" customWidth="1"/>
    <col min="4614" max="4615" width="17.7109375" style="5" hidden="1" customWidth="1"/>
    <col min="4616" max="4616" width="5.42578125" style="5" hidden="1" customWidth="1"/>
    <col min="4617" max="4862" width="0" style="5" hidden="1"/>
    <col min="4863" max="4863" width="3.7109375" style="5" hidden="1" customWidth="1"/>
    <col min="4864" max="4864" width="0" style="5" hidden="1" customWidth="1"/>
    <col min="4865" max="4865" width="55.28515625" style="5" hidden="1" customWidth="1"/>
    <col min="4866" max="4867" width="17.7109375" style="5" hidden="1" customWidth="1"/>
    <col min="4868" max="4868" width="3.85546875" style="5" hidden="1" customWidth="1"/>
    <col min="4869" max="4869" width="57.28515625" style="5" hidden="1" customWidth="1"/>
    <col min="4870" max="4871" width="17.7109375" style="5" hidden="1" customWidth="1"/>
    <col min="4872" max="4872" width="5.42578125" style="5" hidden="1" customWidth="1"/>
    <col min="4873" max="5118" width="0" style="5" hidden="1"/>
    <col min="5119" max="5119" width="3.7109375" style="5" hidden="1" customWidth="1"/>
    <col min="5120" max="5120" width="0" style="5" hidden="1" customWidth="1"/>
    <col min="5121" max="5121" width="55.28515625" style="5" hidden="1" customWidth="1"/>
    <col min="5122" max="5123" width="17.7109375" style="5" hidden="1" customWidth="1"/>
    <col min="5124" max="5124" width="3.85546875" style="5" hidden="1" customWidth="1"/>
    <col min="5125" max="5125" width="57.28515625" style="5" hidden="1" customWidth="1"/>
    <col min="5126" max="5127" width="17.7109375" style="5" hidden="1" customWidth="1"/>
    <col min="5128" max="5128" width="5.42578125" style="5" hidden="1" customWidth="1"/>
    <col min="5129" max="5374" width="0" style="5" hidden="1"/>
    <col min="5375" max="5375" width="3.7109375" style="5" hidden="1" customWidth="1"/>
    <col min="5376" max="5376" width="0" style="5" hidden="1" customWidth="1"/>
    <col min="5377" max="5377" width="55.28515625" style="5" hidden="1" customWidth="1"/>
    <col min="5378" max="5379" width="17.7109375" style="5" hidden="1" customWidth="1"/>
    <col min="5380" max="5380" width="3.85546875" style="5" hidden="1" customWidth="1"/>
    <col min="5381" max="5381" width="57.28515625" style="5" hidden="1" customWidth="1"/>
    <col min="5382" max="5383" width="17.7109375" style="5" hidden="1" customWidth="1"/>
    <col min="5384" max="5384" width="5.42578125" style="5" hidden="1" customWidth="1"/>
    <col min="5385" max="5630" width="0" style="5" hidden="1"/>
    <col min="5631" max="5631" width="3.7109375" style="5" hidden="1" customWidth="1"/>
    <col min="5632" max="5632" width="0" style="5" hidden="1" customWidth="1"/>
    <col min="5633" max="5633" width="55.28515625" style="5" hidden="1" customWidth="1"/>
    <col min="5634" max="5635" width="17.7109375" style="5" hidden="1" customWidth="1"/>
    <col min="5636" max="5636" width="3.85546875" style="5" hidden="1" customWidth="1"/>
    <col min="5637" max="5637" width="57.28515625" style="5" hidden="1" customWidth="1"/>
    <col min="5638" max="5639" width="17.7109375" style="5" hidden="1" customWidth="1"/>
    <col min="5640" max="5640" width="5.42578125" style="5" hidden="1" customWidth="1"/>
    <col min="5641" max="5886" width="0" style="5" hidden="1"/>
    <col min="5887" max="5887" width="3.7109375" style="5" hidden="1" customWidth="1"/>
    <col min="5888" max="5888" width="0" style="5" hidden="1" customWidth="1"/>
    <col min="5889" max="5889" width="55.28515625" style="5" hidden="1" customWidth="1"/>
    <col min="5890" max="5891" width="17.7109375" style="5" hidden="1" customWidth="1"/>
    <col min="5892" max="5892" width="3.85546875" style="5" hidden="1" customWidth="1"/>
    <col min="5893" max="5893" width="57.28515625" style="5" hidden="1" customWidth="1"/>
    <col min="5894" max="5895" width="17.7109375" style="5" hidden="1" customWidth="1"/>
    <col min="5896" max="5896" width="5.42578125" style="5" hidden="1" customWidth="1"/>
    <col min="5897" max="6142" width="0" style="5" hidden="1"/>
    <col min="6143" max="6143" width="3.7109375" style="5" hidden="1" customWidth="1"/>
    <col min="6144" max="6144" width="0" style="5" hidden="1" customWidth="1"/>
    <col min="6145" max="6145" width="55.28515625" style="5" hidden="1" customWidth="1"/>
    <col min="6146" max="6147" width="17.7109375" style="5" hidden="1" customWidth="1"/>
    <col min="6148" max="6148" width="3.85546875" style="5" hidden="1" customWidth="1"/>
    <col min="6149" max="6149" width="57.28515625" style="5" hidden="1" customWidth="1"/>
    <col min="6150" max="6151" width="17.7109375" style="5" hidden="1" customWidth="1"/>
    <col min="6152" max="6152" width="5.42578125" style="5" hidden="1" customWidth="1"/>
    <col min="6153" max="6398" width="0" style="5" hidden="1"/>
    <col min="6399" max="6399" width="3.7109375" style="5" hidden="1" customWidth="1"/>
    <col min="6400" max="6400" width="0" style="5" hidden="1" customWidth="1"/>
    <col min="6401" max="6401" width="55.28515625" style="5" hidden="1" customWidth="1"/>
    <col min="6402" max="6403" width="17.7109375" style="5" hidden="1" customWidth="1"/>
    <col min="6404" max="6404" width="3.85546875" style="5" hidden="1" customWidth="1"/>
    <col min="6405" max="6405" width="57.28515625" style="5" hidden="1" customWidth="1"/>
    <col min="6406" max="6407" width="17.7109375" style="5" hidden="1" customWidth="1"/>
    <col min="6408" max="6408" width="5.42578125" style="5" hidden="1" customWidth="1"/>
    <col min="6409" max="6654" width="0" style="5" hidden="1"/>
    <col min="6655" max="6655" width="3.7109375" style="5" hidden="1" customWidth="1"/>
    <col min="6656" max="6656" width="0" style="5" hidden="1" customWidth="1"/>
    <col min="6657" max="6657" width="55.28515625" style="5" hidden="1" customWidth="1"/>
    <col min="6658" max="6659" width="17.7109375" style="5" hidden="1" customWidth="1"/>
    <col min="6660" max="6660" width="3.85546875" style="5" hidden="1" customWidth="1"/>
    <col min="6661" max="6661" width="57.28515625" style="5" hidden="1" customWidth="1"/>
    <col min="6662" max="6663" width="17.7109375" style="5" hidden="1" customWidth="1"/>
    <col min="6664" max="6664" width="5.42578125" style="5" hidden="1" customWidth="1"/>
    <col min="6665" max="6910" width="0" style="5" hidden="1"/>
    <col min="6911" max="6911" width="3.7109375" style="5" hidden="1" customWidth="1"/>
    <col min="6912" max="6912" width="0" style="5" hidden="1" customWidth="1"/>
    <col min="6913" max="6913" width="55.28515625" style="5" hidden="1" customWidth="1"/>
    <col min="6914" max="6915" width="17.7109375" style="5" hidden="1" customWidth="1"/>
    <col min="6916" max="6916" width="3.85546875" style="5" hidden="1" customWidth="1"/>
    <col min="6917" max="6917" width="57.28515625" style="5" hidden="1" customWidth="1"/>
    <col min="6918" max="6919" width="17.7109375" style="5" hidden="1" customWidth="1"/>
    <col min="6920" max="6920" width="5.42578125" style="5" hidden="1" customWidth="1"/>
    <col min="6921" max="7166" width="0" style="5" hidden="1"/>
    <col min="7167" max="7167" width="3.7109375" style="5" hidden="1" customWidth="1"/>
    <col min="7168" max="7168" width="0" style="5" hidden="1" customWidth="1"/>
    <col min="7169" max="7169" width="55.28515625" style="5" hidden="1" customWidth="1"/>
    <col min="7170" max="7171" width="17.7109375" style="5" hidden="1" customWidth="1"/>
    <col min="7172" max="7172" width="3.85546875" style="5" hidden="1" customWidth="1"/>
    <col min="7173" max="7173" width="57.28515625" style="5" hidden="1" customWidth="1"/>
    <col min="7174" max="7175" width="17.7109375" style="5" hidden="1" customWidth="1"/>
    <col min="7176" max="7176" width="5.42578125" style="5" hidden="1" customWidth="1"/>
    <col min="7177" max="7422" width="0" style="5" hidden="1"/>
    <col min="7423" max="7423" width="3.7109375" style="5" hidden="1" customWidth="1"/>
    <col min="7424" max="7424" width="0" style="5" hidden="1" customWidth="1"/>
    <col min="7425" max="7425" width="55.28515625" style="5" hidden="1" customWidth="1"/>
    <col min="7426" max="7427" width="17.7109375" style="5" hidden="1" customWidth="1"/>
    <col min="7428" max="7428" width="3.85546875" style="5" hidden="1" customWidth="1"/>
    <col min="7429" max="7429" width="57.28515625" style="5" hidden="1" customWidth="1"/>
    <col min="7430" max="7431" width="17.7109375" style="5" hidden="1" customWidth="1"/>
    <col min="7432" max="7432" width="5.42578125" style="5" hidden="1" customWidth="1"/>
    <col min="7433" max="7678" width="0" style="5" hidden="1"/>
    <col min="7679" max="7679" width="3.7109375" style="5" hidden="1" customWidth="1"/>
    <col min="7680" max="7680" width="0" style="5" hidden="1" customWidth="1"/>
    <col min="7681" max="7681" width="55.28515625" style="5" hidden="1" customWidth="1"/>
    <col min="7682" max="7683" width="17.7109375" style="5" hidden="1" customWidth="1"/>
    <col min="7684" max="7684" width="3.85546875" style="5" hidden="1" customWidth="1"/>
    <col min="7685" max="7685" width="57.28515625" style="5" hidden="1" customWidth="1"/>
    <col min="7686" max="7687" width="17.7109375" style="5" hidden="1" customWidth="1"/>
    <col min="7688" max="7688" width="5.42578125" style="5" hidden="1" customWidth="1"/>
    <col min="7689" max="7934" width="0" style="5" hidden="1"/>
    <col min="7935" max="7935" width="3.7109375" style="5" hidden="1" customWidth="1"/>
    <col min="7936" max="7936" width="0" style="5" hidden="1" customWidth="1"/>
    <col min="7937" max="7937" width="55.28515625" style="5" hidden="1" customWidth="1"/>
    <col min="7938" max="7939" width="17.7109375" style="5" hidden="1" customWidth="1"/>
    <col min="7940" max="7940" width="3.85546875" style="5" hidden="1" customWidth="1"/>
    <col min="7941" max="7941" width="57.28515625" style="5" hidden="1" customWidth="1"/>
    <col min="7942" max="7943" width="17.7109375" style="5" hidden="1" customWidth="1"/>
    <col min="7944" max="7944" width="5.42578125" style="5" hidden="1" customWidth="1"/>
    <col min="7945" max="8190" width="0" style="5" hidden="1"/>
    <col min="8191" max="8191" width="3.7109375" style="5" hidden="1" customWidth="1"/>
    <col min="8192" max="8192" width="0" style="5" hidden="1" customWidth="1"/>
    <col min="8193" max="8193" width="55.28515625" style="5" hidden="1" customWidth="1"/>
    <col min="8194" max="8195" width="17.7109375" style="5" hidden="1" customWidth="1"/>
    <col min="8196" max="8196" width="3.85546875" style="5" hidden="1" customWidth="1"/>
    <col min="8197" max="8197" width="57.28515625" style="5" hidden="1" customWidth="1"/>
    <col min="8198" max="8199" width="17.7109375" style="5" hidden="1" customWidth="1"/>
    <col min="8200" max="8200" width="5.42578125" style="5" hidden="1" customWidth="1"/>
    <col min="8201" max="8446" width="0" style="5" hidden="1"/>
    <col min="8447" max="8447" width="3.7109375" style="5" hidden="1" customWidth="1"/>
    <col min="8448" max="8448" width="0" style="5" hidden="1" customWidth="1"/>
    <col min="8449" max="8449" width="55.28515625" style="5" hidden="1" customWidth="1"/>
    <col min="8450" max="8451" width="17.7109375" style="5" hidden="1" customWidth="1"/>
    <col min="8452" max="8452" width="3.85546875" style="5" hidden="1" customWidth="1"/>
    <col min="8453" max="8453" width="57.28515625" style="5" hidden="1" customWidth="1"/>
    <col min="8454" max="8455" width="17.7109375" style="5" hidden="1" customWidth="1"/>
    <col min="8456" max="8456" width="5.42578125" style="5" hidden="1" customWidth="1"/>
    <col min="8457" max="8702" width="0" style="5" hidden="1"/>
    <col min="8703" max="8703" width="3.7109375" style="5" hidden="1" customWidth="1"/>
    <col min="8704" max="8704" width="0" style="5" hidden="1" customWidth="1"/>
    <col min="8705" max="8705" width="55.28515625" style="5" hidden="1" customWidth="1"/>
    <col min="8706" max="8707" width="17.7109375" style="5" hidden="1" customWidth="1"/>
    <col min="8708" max="8708" width="3.85546875" style="5" hidden="1" customWidth="1"/>
    <col min="8709" max="8709" width="57.28515625" style="5" hidden="1" customWidth="1"/>
    <col min="8710" max="8711" width="17.7109375" style="5" hidden="1" customWidth="1"/>
    <col min="8712" max="8712" width="5.42578125" style="5" hidden="1" customWidth="1"/>
    <col min="8713" max="8958" width="0" style="5" hidden="1"/>
    <col min="8959" max="8959" width="3.7109375" style="5" hidden="1" customWidth="1"/>
    <col min="8960" max="8960" width="0" style="5" hidden="1" customWidth="1"/>
    <col min="8961" max="8961" width="55.28515625" style="5" hidden="1" customWidth="1"/>
    <col min="8962" max="8963" width="17.7109375" style="5" hidden="1" customWidth="1"/>
    <col min="8964" max="8964" width="3.85546875" style="5" hidden="1" customWidth="1"/>
    <col min="8965" max="8965" width="57.28515625" style="5" hidden="1" customWidth="1"/>
    <col min="8966" max="8967" width="17.7109375" style="5" hidden="1" customWidth="1"/>
    <col min="8968" max="8968" width="5.42578125" style="5" hidden="1" customWidth="1"/>
    <col min="8969" max="9214" width="0" style="5" hidden="1"/>
    <col min="9215" max="9215" width="3.7109375" style="5" hidden="1" customWidth="1"/>
    <col min="9216" max="9216" width="0" style="5" hidden="1" customWidth="1"/>
    <col min="9217" max="9217" width="55.28515625" style="5" hidden="1" customWidth="1"/>
    <col min="9218" max="9219" width="17.7109375" style="5" hidden="1" customWidth="1"/>
    <col min="9220" max="9220" width="3.85546875" style="5" hidden="1" customWidth="1"/>
    <col min="9221" max="9221" width="57.28515625" style="5" hidden="1" customWidth="1"/>
    <col min="9222" max="9223" width="17.7109375" style="5" hidden="1" customWidth="1"/>
    <col min="9224" max="9224" width="5.42578125" style="5" hidden="1" customWidth="1"/>
    <col min="9225" max="9470" width="0" style="5" hidden="1"/>
    <col min="9471" max="9471" width="3.7109375" style="5" hidden="1" customWidth="1"/>
    <col min="9472" max="9472" width="0" style="5" hidden="1" customWidth="1"/>
    <col min="9473" max="9473" width="55.28515625" style="5" hidden="1" customWidth="1"/>
    <col min="9474" max="9475" width="17.7109375" style="5" hidden="1" customWidth="1"/>
    <col min="9476" max="9476" width="3.85546875" style="5" hidden="1" customWidth="1"/>
    <col min="9477" max="9477" width="57.28515625" style="5" hidden="1" customWidth="1"/>
    <col min="9478" max="9479" width="17.7109375" style="5" hidden="1" customWidth="1"/>
    <col min="9480" max="9480" width="5.42578125" style="5" hidden="1" customWidth="1"/>
    <col min="9481" max="9726" width="0" style="5" hidden="1"/>
    <col min="9727" max="9727" width="3.7109375" style="5" hidden="1" customWidth="1"/>
    <col min="9728" max="9728" width="0" style="5" hidden="1" customWidth="1"/>
    <col min="9729" max="9729" width="55.28515625" style="5" hidden="1" customWidth="1"/>
    <col min="9730" max="9731" width="17.7109375" style="5" hidden="1" customWidth="1"/>
    <col min="9732" max="9732" width="3.85546875" style="5" hidden="1" customWidth="1"/>
    <col min="9733" max="9733" width="57.28515625" style="5" hidden="1" customWidth="1"/>
    <col min="9734" max="9735" width="17.7109375" style="5" hidden="1" customWidth="1"/>
    <col min="9736" max="9736" width="5.42578125" style="5" hidden="1" customWidth="1"/>
    <col min="9737" max="9982" width="0" style="5" hidden="1"/>
    <col min="9983" max="9983" width="3.7109375" style="5" hidden="1" customWidth="1"/>
    <col min="9984" max="9984" width="0" style="5" hidden="1" customWidth="1"/>
    <col min="9985" max="9985" width="55.28515625" style="5" hidden="1" customWidth="1"/>
    <col min="9986" max="9987" width="17.7109375" style="5" hidden="1" customWidth="1"/>
    <col min="9988" max="9988" width="3.85546875" style="5" hidden="1" customWidth="1"/>
    <col min="9989" max="9989" width="57.28515625" style="5" hidden="1" customWidth="1"/>
    <col min="9990" max="9991" width="17.7109375" style="5" hidden="1" customWidth="1"/>
    <col min="9992" max="9992" width="5.42578125" style="5" hidden="1" customWidth="1"/>
    <col min="9993" max="10238" width="0" style="5" hidden="1"/>
    <col min="10239" max="10239" width="3.7109375" style="5" hidden="1" customWidth="1"/>
    <col min="10240" max="10240" width="0" style="5" hidden="1" customWidth="1"/>
    <col min="10241" max="10241" width="55.28515625" style="5" hidden="1" customWidth="1"/>
    <col min="10242" max="10243" width="17.7109375" style="5" hidden="1" customWidth="1"/>
    <col min="10244" max="10244" width="3.85546875" style="5" hidden="1" customWidth="1"/>
    <col min="10245" max="10245" width="57.28515625" style="5" hidden="1" customWidth="1"/>
    <col min="10246" max="10247" width="17.7109375" style="5" hidden="1" customWidth="1"/>
    <col min="10248" max="10248" width="5.42578125" style="5" hidden="1" customWidth="1"/>
    <col min="10249" max="10494" width="0" style="5" hidden="1"/>
    <col min="10495" max="10495" width="3.7109375" style="5" hidden="1" customWidth="1"/>
    <col min="10496" max="10496" width="0" style="5" hidden="1" customWidth="1"/>
    <col min="10497" max="10497" width="55.28515625" style="5" hidden="1" customWidth="1"/>
    <col min="10498" max="10499" width="17.7109375" style="5" hidden="1" customWidth="1"/>
    <col min="10500" max="10500" width="3.85546875" style="5" hidden="1" customWidth="1"/>
    <col min="10501" max="10501" width="57.28515625" style="5" hidden="1" customWidth="1"/>
    <col min="10502" max="10503" width="17.7109375" style="5" hidden="1" customWidth="1"/>
    <col min="10504" max="10504" width="5.42578125" style="5" hidden="1" customWidth="1"/>
    <col min="10505" max="10750" width="0" style="5" hidden="1"/>
    <col min="10751" max="10751" width="3.7109375" style="5" hidden="1" customWidth="1"/>
    <col min="10752" max="10752" width="0" style="5" hidden="1" customWidth="1"/>
    <col min="10753" max="10753" width="55.28515625" style="5" hidden="1" customWidth="1"/>
    <col min="10754" max="10755" width="17.7109375" style="5" hidden="1" customWidth="1"/>
    <col min="10756" max="10756" width="3.85546875" style="5" hidden="1" customWidth="1"/>
    <col min="10757" max="10757" width="57.28515625" style="5" hidden="1" customWidth="1"/>
    <col min="10758" max="10759" width="17.7109375" style="5" hidden="1" customWidth="1"/>
    <col min="10760" max="10760" width="5.42578125" style="5" hidden="1" customWidth="1"/>
    <col min="10761" max="11006" width="0" style="5" hidden="1"/>
    <col min="11007" max="11007" width="3.7109375" style="5" hidden="1" customWidth="1"/>
    <col min="11008" max="11008" width="0" style="5" hidden="1" customWidth="1"/>
    <col min="11009" max="11009" width="55.28515625" style="5" hidden="1" customWidth="1"/>
    <col min="11010" max="11011" width="17.7109375" style="5" hidden="1" customWidth="1"/>
    <col min="11012" max="11012" width="3.85546875" style="5" hidden="1" customWidth="1"/>
    <col min="11013" max="11013" width="57.28515625" style="5" hidden="1" customWidth="1"/>
    <col min="11014" max="11015" width="17.7109375" style="5" hidden="1" customWidth="1"/>
    <col min="11016" max="11016" width="5.42578125" style="5" hidden="1" customWidth="1"/>
    <col min="11017" max="11262" width="0" style="5" hidden="1"/>
    <col min="11263" max="11263" width="3.7109375" style="5" hidden="1" customWidth="1"/>
    <col min="11264" max="11264" width="0" style="5" hidden="1" customWidth="1"/>
    <col min="11265" max="11265" width="55.28515625" style="5" hidden="1" customWidth="1"/>
    <col min="11266" max="11267" width="17.7109375" style="5" hidden="1" customWidth="1"/>
    <col min="11268" max="11268" width="3.85546875" style="5" hidden="1" customWidth="1"/>
    <col min="11269" max="11269" width="57.28515625" style="5" hidden="1" customWidth="1"/>
    <col min="11270" max="11271" width="17.7109375" style="5" hidden="1" customWidth="1"/>
    <col min="11272" max="11272" width="5.42578125" style="5" hidden="1" customWidth="1"/>
    <col min="11273" max="11518" width="0" style="5" hidden="1"/>
    <col min="11519" max="11519" width="3.7109375" style="5" hidden="1" customWidth="1"/>
    <col min="11520" max="11520" width="0" style="5" hidden="1" customWidth="1"/>
    <col min="11521" max="11521" width="55.28515625" style="5" hidden="1" customWidth="1"/>
    <col min="11522" max="11523" width="17.7109375" style="5" hidden="1" customWidth="1"/>
    <col min="11524" max="11524" width="3.85546875" style="5" hidden="1" customWidth="1"/>
    <col min="11525" max="11525" width="57.28515625" style="5" hidden="1" customWidth="1"/>
    <col min="11526" max="11527" width="17.7109375" style="5" hidden="1" customWidth="1"/>
    <col min="11528" max="11528" width="5.42578125" style="5" hidden="1" customWidth="1"/>
    <col min="11529" max="11774" width="0" style="5" hidden="1"/>
    <col min="11775" max="11775" width="3.7109375" style="5" hidden="1" customWidth="1"/>
    <col min="11776" max="11776" width="0" style="5" hidden="1" customWidth="1"/>
    <col min="11777" max="11777" width="55.28515625" style="5" hidden="1" customWidth="1"/>
    <col min="11778" max="11779" width="17.7109375" style="5" hidden="1" customWidth="1"/>
    <col min="11780" max="11780" width="3.85546875" style="5" hidden="1" customWidth="1"/>
    <col min="11781" max="11781" width="57.28515625" style="5" hidden="1" customWidth="1"/>
    <col min="11782" max="11783" width="17.7109375" style="5" hidden="1" customWidth="1"/>
    <col min="11784" max="11784" width="5.42578125" style="5" hidden="1" customWidth="1"/>
    <col min="11785" max="12030" width="0" style="5" hidden="1"/>
    <col min="12031" max="12031" width="3.7109375" style="5" hidden="1" customWidth="1"/>
    <col min="12032" max="12032" width="0" style="5" hidden="1" customWidth="1"/>
    <col min="12033" max="12033" width="55.28515625" style="5" hidden="1" customWidth="1"/>
    <col min="12034" max="12035" width="17.7109375" style="5" hidden="1" customWidth="1"/>
    <col min="12036" max="12036" width="3.85546875" style="5" hidden="1" customWidth="1"/>
    <col min="12037" max="12037" width="57.28515625" style="5" hidden="1" customWidth="1"/>
    <col min="12038" max="12039" width="17.7109375" style="5" hidden="1" customWidth="1"/>
    <col min="12040" max="12040" width="5.42578125" style="5" hidden="1" customWidth="1"/>
    <col min="12041" max="12286" width="0" style="5" hidden="1"/>
    <col min="12287" max="12287" width="3.7109375" style="5" hidden="1" customWidth="1"/>
    <col min="12288" max="12288" width="0" style="5" hidden="1" customWidth="1"/>
    <col min="12289" max="12289" width="55.28515625" style="5" hidden="1" customWidth="1"/>
    <col min="12290" max="12291" width="17.7109375" style="5" hidden="1" customWidth="1"/>
    <col min="12292" max="12292" width="3.85546875" style="5" hidden="1" customWidth="1"/>
    <col min="12293" max="12293" width="57.28515625" style="5" hidden="1" customWidth="1"/>
    <col min="12294" max="12295" width="17.7109375" style="5" hidden="1" customWidth="1"/>
    <col min="12296" max="12296" width="5.42578125" style="5" hidden="1" customWidth="1"/>
    <col min="12297" max="12542" width="0" style="5" hidden="1"/>
    <col min="12543" max="12543" width="3.7109375" style="5" hidden="1" customWidth="1"/>
    <col min="12544" max="12544" width="0" style="5" hidden="1" customWidth="1"/>
    <col min="12545" max="12545" width="55.28515625" style="5" hidden="1" customWidth="1"/>
    <col min="12546" max="12547" width="17.7109375" style="5" hidden="1" customWidth="1"/>
    <col min="12548" max="12548" width="3.85546875" style="5" hidden="1" customWidth="1"/>
    <col min="12549" max="12549" width="57.28515625" style="5" hidden="1" customWidth="1"/>
    <col min="12550" max="12551" width="17.7109375" style="5" hidden="1" customWidth="1"/>
    <col min="12552" max="12552" width="5.42578125" style="5" hidden="1" customWidth="1"/>
    <col min="12553" max="12798" width="0" style="5" hidden="1"/>
    <col min="12799" max="12799" width="3.7109375" style="5" hidden="1" customWidth="1"/>
    <col min="12800" max="12800" width="0" style="5" hidden="1" customWidth="1"/>
    <col min="12801" max="12801" width="55.28515625" style="5" hidden="1" customWidth="1"/>
    <col min="12802" max="12803" width="17.7109375" style="5" hidden="1" customWidth="1"/>
    <col min="12804" max="12804" width="3.85546875" style="5" hidden="1" customWidth="1"/>
    <col min="12805" max="12805" width="57.28515625" style="5" hidden="1" customWidth="1"/>
    <col min="12806" max="12807" width="17.7109375" style="5" hidden="1" customWidth="1"/>
    <col min="12808" max="12808" width="5.42578125" style="5" hidden="1" customWidth="1"/>
    <col min="12809" max="13054" width="0" style="5" hidden="1"/>
    <col min="13055" max="13055" width="3.7109375" style="5" hidden="1" customWidth="1"/>
    <col min="13056" max="13056" width="0" style="5" hidden="1" customWidth="1"/>
    <col min="13057" max="13057" width="55.28515625" style="5" hidden="1" customWidth="1"/>
    <col min="13058" max="13059" width="17.7109375" style="5" hidden="1" customWidth="1"/>
    <col min="13060" max="13060" width="3.85546875" style="5" hidden="1" customWidth="1"/>
    <col min="13061" max="13061" width="57.28515625" style="5" hidden="1" customWidth="1"/>
    <col min="13062" max="13063" width="17.7109375" style="5" hidden="1" customWidth="1"/>
    <col min="13064" max="13064" width="5.42578125" style="5" hidden="1" customWidth="1"/>
    <col min="13065" max="13310" width="0" style="5" hidden="1"/>
    <col min="13311" max="13311" width="3.7109375" style="5" hidden="1" customWidth="1"/>
    <col min="13312" max="13312" width="0" style="5" hidden="1" customWidth="1"/>
    <col min="13313" max="13313" width="55.28515625" style="5" hidden="1" customWidth="1"/>
    <col min="13314" max="13315" width="17.7109375" style="5" hidden="1" customWidth="1"/>
    <col min="13316" max="13316" width="3.85546875" style="5" hidden="1" customWidth="1"/>
    <col min="13317" max="13317" width="57.28515625" style="5" hidden="1" customWidth="1"/>
    <col min="13318" max="13319" width="17.7109375" style="5" hidden="1" customWidth="1"/>
    <col min="13320" max="13320" width="5.42578125" style="5" hidden="1" customWidth="1"/>
    <col min="13321" max="13566" width="0" style="5" hidden="1"/>
    <col min="13567" max="13567" width="3.7109375" style="5" hidden="1" customWidth="1"/>
    <col min="13568" max="13568" width="0" style="5" hidden="1" customWidth="1"/>
    <col min="13569" max="13569" width="55.28515625" style="5" hidden="1" customWidth="1"/>
    <col min="13570" max="13571" width="17.7109375" style="5" hidden="1" customWidth="1"/>
    <col min="13572" max="13572" width="3.85546875" style="5" hidden="1" customWidth="1"/>
    <col min="13573" max="13573" width="57.28515625" style="5" hidden="1" customWidth="1"/>
    <col min="13574" max="13575" width="17.7109375" style="5" hidden="1" customWidth="1"/>
    <col min="13576" max="13576" width="5.42578125" style="5" hidden="1" customWidth="1"/>
    <col min="13577" max="13822" width="0" style="5" hidden="1"/>
    <col min="13823" max="13823" width="3.7109375" style="5" hidden="1" customWidth="1"/>
    <col min="13824" max="13824" width="0" style="5" hidden="1" customWidth="1"/>
    <col min="13825" max="13825" width="55.28515625" style="5" hidden="1" customWidth="1"/>
    <col min="13826" max="13827" width="17.7109375" style="5" hidden="1" customWidth="1"/>
    <col min="13828" max="13828" width="3.85546875" style="5" hidden="1" customWidth="1"/>
    <col min="13829" max="13829" width="57.28515625" style="5" hidden="1" customWidth="1"/>
    <col min="13830" max="13831" width="17.7109375" style="5" hidden="1" customWidth="1"/>
    <col min="13832" max="13832" width="5.42578125" style="5" hidden="1" customWidth="1"/>
    <col min="13833" max="14078" width="0" style="5" hidden="1"/>
    <col min="14079" max="14079" width="3.7109375" style="5" hidden="1" customWidth="1"/>
    <col min="14080" max="14080" width="0" style="5" hidden="1" customWidth="1"/>
    <col min="14081" max="14081" width="55.28515625" style="5" hidden="1" customWidth="1"/>
    <col min="14082" max="14083" width="17.7109375" style="5" hidden="1" customWidth="1"/>
    <col min="14084" max="14084" width="3.85546875" style="5" hidden="1" customWidth="1"/>
    <col min="14085" max="14085" width="57.28515625" style="5" hidden="1" customWidth="1"/>
    <col min="14086" max="14087" width="17.7109375" style="5" hidden="1" customWidth="1"/>
    <col min="14088" max="14088" width="5.42578125" style="5" hidden="1" customWidth="1"/>
    <col min="14089" max="14334" width="0" style="5" hidden="1"/>
    <col min="14335" max="14335" width="3.7109375" style="5" hidden="1" customWidth="1"/>
    <col min="14336" max="14336" width="0" style="5" hidden="1" customWidth="1"/>
    <col min="14337" max="14337" width="55.28515625" style="5" hidden="1" customWidth="1"/>
    <col min="14338" max="14339" width="17.7109375" style="5" hidden="1" customWidth="1"/>
    <col min="14340" max="14340" width="3.85546875" style="5" hidden="1" customWidth="1"/>
    <col min="14341" max="14341" width="57.28515625" style="5" hidden="1" customWidth="1"/>
    <col min="14342" max="14343" width="17.7109375" style="5" hidden="1" customWidth="1"/>
    <col min="14344" max="14344" width="5.42578125" style="5" hidden="1" customWidth="1"/>
    <col min="14345" max="14590" width="0" style="5" hidden="1"/>
    <col min="14591" max="14591" width="3.7109375" style="5" hidden="1" customWidth="1"/>
    <col min="14592" max="14592" width="0" style="5" hidden="1" customWidth="1"/>
    <col min="14593" max="14593" width="55.28515625" style="5" hidden="1" customWidth="1"/>
    <col min="14594" max="14595" width="17.7109375" style="5" hidden="1" customWidth="1"/>
    <col min="14596" max="14596" width="3.85546875" style="5" hidden="1" customWidth="1"/>
    <col min="14597" max="14597" width="57.28515625" style="5" hidden="1" customWidth="1"/>
    <col min="14598" max="14599" width="17.7109375" style="5" hidden="1" customWidth="1"/>
    <col min="14600" max="14600" width="5.42578125" style="5" hidden="1" customWidth="1"/>
    <col min="14601" max="14846" width="0" style="5" hidden="1"/>
    <col min="14847" max="14847" width="3.7109375" style="5" hidden="1" customWidth="1"/>
    <col min="14848" max="14848" width="0" style="5" hidden="1" customWidth="1"/>
    <col min="14849" max="14849" width="55.28515625" style="5" hidden="1" customWidth="1"/>
    <col min="14850" max="14851" width="17.7109375" style="5" hidden="1" customWidth="1"/>
    <col min="14852" max="14852" width="3.85546875" style="5" hidden="1" customWidth="1"/>
    <col min="14853" max="14853" width="57.28515625" style="5" hidden="1" customWidth="1"/>
    <col min="14854" max="14855" width="17.7109375" style="5" hidden="1" customWidth="1"/>
    <col min="14856" max="14856" width="5.42578125" style="5" hidden="1" customWidth="1"/>
    <col min="14857" max="15102" width="0" style="5" hidden="1"/>
    <col min="15103" max="15103" width="3.7109375" style="5" hidden="1" customWidth="1"/>
    <col min="15104" max="15104" width="0" style="5" hidden="1" customWidth="1"/>
    <col min="15105" max="15105" width="55.28515625" style="5" hidden="1" customWidth="1"/>
    <col min="15106" max="15107" width="17.7109375" style="5" hidden="1" customWidth="1"/>
    <col min="15108" max="15108" width="3.85546875" style="5" hidden="1" customWidth="1"/>
    <col min="15109" max="15109" width="57.28515625" style="5" hidden="1" customWidth="1"/>
    <col min="15110" max="15111" width="17.7109375" style="5" hidden="1" customWidth="1"/>
    <col min="15112" max="15112" width="5.42578125" style="5" hidden="1" customWidth="1"/>
    <col min="15113" max="15358" width="0" style="5" hidden="1"/>
    <col min="15359" max="15359" width="3.7109375" style="5" hidden="1" customWidth="1"/>
    <col min="15360" max="15360" width="0" style="5" hidden="1" customWidth="1"/>
    <col min="15361" max="15361" width="55.28515625" style="5" hidden="1" customWidth="1"/>
    <col min="15362" max="15363" width="17.7109375" style="5" hidden="1" customWidth="1"/>
    <col min="15364" max="15364" width="3.85546875" style="5" hidden="1" customWidth="1"/>
    <col min="15365" max="15365" width="57.28515625" style="5" hidden="1" customWidth="1"/>
    <col min="15366" max="15367" width="17.7109375" style="5" hidden="1" customWidth="1"/>
    <col min="15368" max="15368" width="5.42578125" style="5" hidden="1" customWidth="1"/>
    <col min="15369" max="15614" width="0" style="5" hidden="1"/>
    <col min="15615" max="15615" width="3.7109375" style="5" hidden="1" customWidth="1"/>
    <col min="15616" max="15616" width="0" style="5" hidden="1" customWidth="1"/>
    <col min="15617" max="15617" width="55.28515625" style="5" hidden="1" customWidth="1"/>
    <col min="15618" max="15619" width="17.7109375" style="5" hidden="1" customWidth="1"/>
    <col min="15620" max="15620" width="3.85546875" style="5" hidden="1" customWidth="1"/>
    <col min="15621" max="15621" width="57.28515625" style="5" hidden="1" customWidth="1"/>
    <col min="15622" max="15623" width="17.7109375" style="5" hidden="1" customWidth="1"/>
    <col min="15624" max="15624" width="5.42578125" style="5" hidden="1" customWidth="1"/>
    <col min="15625" max="15870" width="0" style="5" hidden="1"/>
    <col min="15871" max="15871" width="3.7109375" style="5" hidden="1" customWidth="1"/>
    <col min="15872" max="15872" width="0" style="5" hidden="1" customWidth="1"/>
    <col min="15873" max="15873" width="55.28515625" style="5" hidden="1" customWidth="1"/>
    <col min="15874" max="15875" width="17.7109375" style="5" hidden="1" customWidth="1"/>
    <col min="15876" max="15876" width="3.85546875" style="5" hidden="1" customWidth="1"/>
    <col min="15877" max="15877" width="57.28515625" style="5" hidden="1" customWidth="1"/>
    <col min="15878" max="15879" width="17.7109375" style="5" hidden="1" customWidth="1"/>
    <col min="15880" max="15880" width="5.42578125" style="5" hidden="1" customWidth="1"/>
    <col min="15881" max="16126" width="0" style="5" hidden="1"/>
    <col min="16127" max="16127" width="3.7109375" style="5" hidden="1" customWidth="1"/>
    <col min="16128" max="16128" width="0" style="5" hidden="1" customWidth="1"/>
    <col min="16129" max="16129" width="55.28515625" style="5" hidden="1" customWidth="1"/>
    <col min="16130" max="16131" width="17.7109375" style="5" hidden="1" customWidth="1"/>
    <col min="16132" max="16132" width="3.85546875" style="5" hidden="1" customWidth="1"/>
    <col min="16133" max="16133" width="57.28515625" style="5" hidden="1" customWidth="1"/>
    <col min="16134" max="16135" width="17.7109375" style="5" hidden="1" customWidth="1"/>
    <col min="16136" max="16136" width="5.42578125" style="5" hidden="1" customWidth="1"/>
    <col min="16137" max="16384" width="0" style="5" hidden="1"/>
  </cols>
  <sheetData>
    <row r="1" spans="1:9" ht="15.75" x14ac:dyDescent="0.25">
      <c r="B1" s="2"/>
      <c r="C1" s="313" t="s">
        <v>0</v>
      </c>
      <c r="D1" s="314"/>
      <c r="E1" s="315" t="str">
        <f>[11]Presentacion!C2</f>
        <v>GREMEDA</v>
      </c>
      <c r="F1" s="315"/>
      <c r="G1" s="3"/>
      <c r="H1" s="4"/>
    </row>
    <row r="2" spans="1:9" ht="15.75" x14ac:dyDescent="0.25">
      <c r="B2" s="6"/>
      <c r="C2" s="313" t="s">
        <v>1</v>
      </c>
      <c r="D2" s="314"/>
      <c r="E2" s="315" t="str">
        <f>[11]Presentacion!C3</f>
        <v>Artigas</v>
      </c>
      <c r="F2" s="315"/>
      <c r="G2" s="3"/>
      <c r="H2" s="4"/>
    </row>
    <row r="3" spans="1:9" ht="15.75" x14ac:dyDescent="0.25">
      <c r="B3" s="6"/>
      <c r="C3" s="313" t="s">
        <v>2</v>
      </c>
      <c r="D3" s="316"/>
      <c r="E3" s="317" t="s">
        <v>3</v>
      </c>
      <c r="F3" s="317"/>
      <c r="G3" s="3"/>
      <c r="H3" s="4"/>
    </row>
    <row r="4" spans="1:9" ht="15.75" thickBot="1" x14ac:dyDescent="0.3">
      <c r="C4" s="287"/>
      <c r="D4" s="8"/>
      <c r="E4" s="9"/>
      <c r="F4" s="10"/>
      <c r="G4" s="11"/>
    </row>
    <row r="5" spans="1:9" ht="16.5" thickBot="1" x14ac:dyDescent="0.3">
      <c r="B5" s="12"/>
      <c r="C5" s="13" t="s">
        <v>4</v>
      </c>
      <c r="D5" s="284" t="s">
        <v>5</v>
      </c>
      <c r="E5" s="14"/>
      <c r="F5" s="13" t="s">
        <v>6</v>
      </c>
      <c r="G5" s="284" t="s">
        <v>5</v>
      </c>
      <c r="I5" s="15"/>
    </row>
    <row r="6" spans="1:9" ht="16.5" thickBot="1" x14ac:dyDescent="0.3">
      <c r="B6" s="12"/>
      <c r="C6" s="16" t="s">
        <v>7</v>
      </c>
      <c r="D6" s="290">
        <f>+[11]E.S.P.!D6</f>
        <v>2020</v>
      </c>
      <c r="E6" s="18"/>
      <c r="F6" s="16" t="s">
        <v>8</v>
      </c>
      <c r="G6" s="290">
        <f>+D6</f>
        <v>2020</v>
      </c>
      <c r="H6" s="15"/>
    </row>
    <row r="7" spans="1:9" x14ac:dyDescent="0.25">
      <c r="B7" s="6" t="s">
        <v>9</v>
      </c>
      <c r="C7" s="19" t="s">
        <v>10</v>
      </c>
      <c r="D7" s="20">
        <v>15921739</v>
      </c>
      <c r="E7" s="21" t="s">
        <v>11</v>
      </c>
      <c r="F7" s="22" t="s">
        <v>12</v>
      </c>
      <c r="G7" s="23">
        <v>12479481</v>
      </c>
    </row>
    <row r="8" spans="1:9" x14ac:dyDescent="0.25">
      <c r="B8" s="6" t="s">
        <v>13</v>
      </c>
      <c r="C8" s="19" t="s">
        <v>14</v>
      </c>
      <c r="D8" s="20">
        <v>81366194</v>
      </c>
      <c r="E8" s="21" t="s">
        <v>15</v>
      </c>
      <c r="F8" s="19" t="s">
        <v>16</v>
      </c>
      <c r="G8" s="24">
        <v>37028704</v>
      </c>
    </row>
    <row r="9" spans="1:9" x14ac:dyDescent="0.25">
      <c r="B9" s="6" t="s">
        <v>17</v>
      </c>
      <c r="C9" s="19" t="s">
        <v>18</v>
      </c>
      <c r="D9" s="20">
        <v>684173396</v>
      </c>
      <c r="E9" s="21" t="s">
        <v>19</v>
      </c>
      <c r="F9" s="19" t="s">
        <v>20</v>
      </c>
      <c r="G9" s="20">
        <v>45359275</v>
      </c>
    </row>
    <row r="10" spans="1:9" x14ac:dyDescent="0.25">
      <c r="B10" s="6" t="s">
        <v>21</v>
      </c>
      <c r="C10" s="19" t="s">
        <v>22</v>
      </c>
      <c r="D10" s="20">
        <v>72095324</v>
      </c>
      <c r="E10" s="21" t="s">
        <v>23</v>
      </c>
      <c r="F10" s="19" t="s">
        <v>24</v>
      </c>
      <c r="G10" s="20">
        <v>67676702</v>
      </c>
    </row>
    <row r="11" spans="1:9" x14ac:dyDescent="0.25">
      <c r="B11" s="6" t="s">
        <v>25</v>
      </c>
      <c r="C11" s="19" t="s">
        <v>26</v>
      </c>
      <c r="D11" s="20">
        <v>14613215</v>
      </c>
      <c r="E11" s="21" t="s">
        <v>27</v>
      </c>
      <c r="F11" s="19" t="s">
        <v>28</v>
      </c>
      <c r="G11" s="20">
        <v>65164233</v>
      </c>
    </row>
    <row r="12" spans="1:9" x14ac:dyDescent="0.25">
      <c r="B12" s="6" t="s">
        <v>29</v>
      </c>
      <c r="C12" s="19" t="s">
        <v>30</v>
      </c>
      <c r="D12" s="20">
        <v>20428401</v>
      </c>
      <c r="E12" s="21" t="s">
        <v>31</v>
      </c>
      <c r="F12" s="19" t="s">
        <v>32</v>
      </c>
      <c r="G12" s="20">
        <v>60602907</v>
      </c>
    </row>
    <row r="13" spans="1:9" x14ac:dyDescent="0.25">
      <c r="B13" s="6" t="s">
        <v>33</v>
      </c>
      <c r="C13" s="19" t="s">
        <v>34</v>
      </c>
      <c r="D13" s="20">
        <v>1063215</v>
      </c>
      <c r="E13" s="21" t="s">
        <v>35</v>
      </c>
      <c r="F13" s="19" t="s">
        <v>36</v>
      </c>
      <c r="G13" s="20">
        <v>14575545</v>
      </c>
    </row>
    <row r="14" spans="1:9" x14ac:dyDescent="0.25">
      <c r="A14" s="25"/>
      <c r="B14" s="6" t="s">
        <v>37</v>
      </c>
      <c r="C14" s="19" t="s">
        <v>38</v>
      </c>
      <c r="D14" s="20">
        <v>15625006</v>
      </c>
      <c r="E14" s="21" t="s">
        <v>39</v>
      </c>
      <c r="F14" s="19" t="s">
        <v>40</v>
      </c>
      <c r="G14" s="20">
        <v>136320894</v>
      </c>
    </row>
    <row r="15" spans="1:9" x14ac:dyDescent="0.25">
      <c r="B15" s="6" t="s">
        <v>41</v>
      </c>
      <c r="C15" s="26" t="s">
        <v>42</v>
      </c>
      <c r="D15" s="20">
        <v>0</v>
      </c>
      <c r="E15" s="21" t="s">
        <v>43</v>
      </c>
      <c r="F15" s="19" t="s">
        <v>44</v>
      </c>
      <c r="G15" s="20">
        <v>4360920</v>
      </c>
    </row>
    <row r="16" spans="1:9" x14ac:dyDescent="0.25">
      <c r="B16" s="6" t="s">
        <v>45</v>
      </c>
      <c r="C16" s="19" t="s">
        <v>46</v>
      </c>
      <c r="D16" s="20">
        <v>0</v>
      </c>
      <c r="E16" s="21" t="s">
        <v>47</v>
      </c>
      <c r="F16" s="19" t="s">
        <v>48</v>
      </c>
      <c r="G16" s="20">
        <v>20323207</v>
      </c>
    </row>
    <row r="17" spans="1:7" x14ac:dyDescent="0.25">
      <c r="B17" s="6" t="s">
        <v>49</v>
      </c>
      <c r="C17" s="19" t="s">
        <v>50</v>
      </c>
      <c r="D17" s="20">
        <v>0</v>
      </c>
      <c r="E17" s="21" t="s">
        <v>51</v>
      </c>
      <c r="F17" s="19" t="s">
        <v>52</v>
      </c>
      <c r="G17" s="20">
        <v>23242724</v>
      </c>
    </row>
    <row r="18" spans="1:7" x14ac:dyDescent="0.25">
      <c r="A18" s="25"/>
      <c r="B18" s="6" t="s">
        <v>53</v>
      </c>
      <c r="C18" s="19" t="s">
        <v>54</v>
      </c>
      <c r="D18" s="20">
        <v>2071332</v>
      </c>
      <c r="E18" s="21" t="s">
        <v>55</v>
      </c>
      <c r="F18" s="19" t="s">
        <v>56</v>
      </c>
      <c r="G18" s="27">
        <v>22227962</v>
      </c>
    </row>
    <row r="19" spans="1:7" ht="15.75" thickBot="1" x14ac:dyDescent="0.3">
      <c r="A19" s="25"/>
      <c r="B19" s="6" t="s">
        <v>57</v>
      </c>
      <c r="C19" s="19" t="s">
        <v>58</v>
      </c>
      <c r="D19" s="20">
        <v>41402761</v>
      </c>
      <c r="E19" s="21"/>
      <c r="F19" s="28" t="s">
        <v>59</v>
      </c>
      <c r="G19" s="29">
        <f>SUM(G7:G18)</f>
        <v>509362554</v>
      </c>
    </row>
    <row r="20" spans="1:7" ht="15.75" thickBot="1" x14ac:dyDescent="0.3">
      <c r="B20" s="6"/>
      <c r="C20" s="28" t="s">
        <v>60</v>
      </c>
      <c r="D20" s="29">
        <f>SUM(D7:D19)</f>
        <v>948760583</v>
      </c>
      <c r="E20" s="21" t="s">
        <v>61</v>
      </c>
      <c r="F20" s="22" t="s">
        <v>62</v>
      </c>
      <c r="G20" s="23">
        <v>533450</v>
      </c>
    </row>
    <row r="21" spans="1:7" x14ac:dyDescent="0.25">
      <c r="B21" s="6"/>
      <c r="C21" s="30" t="s">
        <v>63</v>
      </c>
      <c r="D21" s="31">
        <f>SUM(D22:D28)</f>
        <v>9231037</v>
      </c>
      <c r="E21" s="21" t="s">
        <v>64</v>
      </c>
      <c r="F21" s="19" t="s">
        <v>65</v>
      </c>
      <c r="G21" s="20">
        <v>14904093</v>
      </c>
    </row>
    <row r="22" spans="1:7" x14ac:dyDescent="0.25">
      <c r="B22" s="6" t="s">
        <v>66</v>
      </c>
      <c r="C22" s="19" t="s">
        <v>67</v>
      </c>
      <c r="D22" s="20">
        <v>3140203</v>
      </c>
      <c r="E22" s="21" t="s">
        <v>68</v>
      </c>
      <c r="F22" s="19" t="s">
        <v>69</v>
      </c>
      <c r="G22" s="20">
        <v>3178502</v>
      </c>
    </row>
    <row r="23" spans="1:7" x14ac:dyDescent="0.25">
      <c r="B23" s="6" t="s">
        <v>70</v>
      </c>
      <c r="C23" s="19" t="s">
        <v>71</v>
      </c>
      <c r="D23" s="20">
        <v>26573</v>
      </c>
      <c r="E23" s="21" t="s">
        <v>72</v>
      </c>
      <c r="F23" s="19" t="s">
        <v>73</v>
      </c>
      <c r="G23" s="20">
        <v>8005437</v>
      </c>
    </row>
    <row r="24" spans="1:7" x14ac:dyDescent="0.25">
      <c r="B24" s="6" t="s">
        <v>74</v>
      </c>
      <c r="C24" s="19" t="s">
        <v>75</v>
      </c>
      <c r="D24" s="20">
        <v>3326496</v>
      </c>
      <c r="E24" s="21" t="s">
        <v>76</v>
      </c>
      <c r="F24" s="19" t="s">
        <v>77</v>
      </c>
      <c r="G24" s="20">
        <v>0</v>
      </c>
    </row>
    <row r="25" spans="1:7" x14ac:dyDescent="0.25">
      <c r="B25" s="6" t="s">
        <v>78</v>
      </c>
      <c r="C25" s="19" t="s">
        <v>79</v>
      </c>
      <c r="D25" s="20">
        <v>236297</v>
      </c>
      <c r="E25" s="21" t="s">
        <v>80</v>
      </c>
      <c r="F25" s="19" t="s">
        <v>81</v>
      </c>
      <c r="G25" s="20">
        <v>2514607</v>
      </c>
    </row>
    <row r="26" spans="1:7" x14ac:dyDescent="0.25">
      <c r="B26" s="6" t="s">
        <v>82</v>
      </c>
      <c r="C26" s="19" t="s">
        <v>83</v>
      </c>
      <c r="D26" s="20">
        <v>734248</v>
      </c>
      <c r="E26" s="21" t="s">
        <v>84</v>
      </c>
      <c r="F26" s="19" t="s">
        <v>85</v>
      </c>
      <c r="G26" s="27">
        <v>1329480</v>
      </c>
    </row>
    <row r="27" spans="1:7" ht="15.75" thickBot="1" x14ac:dyDescent="0.3">
      <c r="B27" s="6" t="s">
        <v>86</v>
      </c>
      <c r="C27" s="19" t="s">
        <v>87</v>
      </c>
      <c r="D27" s="20">
        <v>1364389</v>
      </c>
      <c r="E27" s="21"/>
      <c r="F27" s="28" t="s">
        <v>88</v>
      </c>
      <c r="G27" s="29">
        <f>SUM(G20:G26)</f>
        <v>30465569</v>
      </c>
    </row>
    <row r="28" spans="1:7" x14ac:dyDescent="0.25">
      <c r="B28" s="6" t="s">
        <v>89</v>
      </c>
      <c r="C28" s="19" t="s">
        <v>90</v>
      </c>
      <c r="D28" s="20">
        <v>402831</v>
      </c>
      <c r="E28" s="21" t="s">
        <v>91</v>
      </c>
      <c r="F28" s="22" t="s">
        <v>92</v>
      </c>
      <c r="G28" s="23">
        <v>53878363</v>
      </c>
    </row>
    <row r="29" spans="1:7" x14ac:dyDescent="0.25">
      <c r="B29" s="6"/>
      <c r="C29" s="32" t="s">
        <v>93</v>
      </c>
      <c r="D29" s="31">
        <f>SUM(D30:D34)</f>
        <v>54945470</v>
      </c>
      <c r="E29" s="21" t="s">
        <v>94</v>
      </c>
      <c r="F29" s="19" t="s">
        <v>95</v>
      </c>
      <c r="G29" s="20">
        <v>18355484</v>
      </c>
    </row>
    <row r="30" spans="1:7" x14ac:dyDescent="0.25">
      <c r="B30" s="6" t="s">
        <v>96</v>
      </c>
      <c r="C30" s="19" t="s">
        <v>97</v>
      </c>
      <c r="D30" s="20">
        <v>50058786</v>
      </c>
      <c r="E30" s="21" t="s">
        <v>98</v>
      </c>
      <c r="F30" s="19" t="s">
        <v>99</v>
      </c>
      <c r="G30" s="20">
        <v>996077</v>
      </c>
    </row>
    <row r="31" spans="1:7" x14ac:dyDescent="0.25">
      <c r="B31" s="6" t="s">
        <v>100</v>
      </c>
      <c r="C31" s="19" t="s">
        <v>101</v>
      </c>
      <c r="D31" s="20">
        <v>539774</v>
      </c>
      <c r="E31" s="21" t="s">
        <v>102</v>
      </c>
      <c r="F31" s="19" t="s">
        <v>103</v>
      </c>
      <c r="G31" s="27">
        <v>3341483</v>
      </c>
    </row>
    <row r="32" spans="1:7" ht="15.75" thickBot="1" x14ac:dyDescent="0.3">
      <c r="B32" s="6" t="s">
        <v>104</v>
      </c>
      <c r="C32" s="19" t="s">
        <v>105</v>
      </c>
      <c r="D32" s="20">
        <v>1949157</v>
      </c>
      <c r="E32" s="21"/>
      <c r="F32" s="28" t="s">
        <v>106</v>
      </c>
      <c r="G32" s="29">
        <f>SUM(G28:G31)</f>
        <v>76571407</v>
      </c>
    </row>
    <row r="33" spans="2:7" x14ac:dyDescent="0.25">
      <c r="B33" s="6" t="s">
        <v>107</v>
      </c>
      <c r="C33" s="19" t="s">
        <v>108</v>
      </c>
      <c r="D33" s="20">
        <v>0</v>
      </c>
      <c r="E33" s="21"/>
      <c r="F33" s="32" t="s">
        <v>109</v>
      </c>
      <c r="G33" s="31">
        <f>SUM(G34:G39)</f>
        <v>50246787</v>
      </c>
    </row>
    <row r="34" spans="2:7" x14ac:dyDescent="0.25">
      <c r="B34" s="6" t="s">
        <v>110</v>
      </c>
      <c r="C34" s="19" t="s">
        <v>111</v>
      </c>
      <c r="D34" s="20">
        <v>2397753</v>
      </c>
      <c r="E34" s="21" t="s">
        <v>112</v>
      </c>
      <c r="F34" s="19" t="s">
        <v>113</v>
      </c>
      <c r="G34" s="20">
        <v>5414921</v>
      </c>
    </row>
    <row r="35" spans="2:7" ht="15.75" thickBot="1" x14ac:dyDescent="0.3">
      <c r="B35" s="6"/>
      <c r="C35" s="28" t="s">
        <v>114</v>
      </c>
      <c r="D35" s="29">
        <f>+D21+D29</f>
        <v>64176507</v>
      </c>
      <c r="E35" s="21" t="s">
        <v>115</v>
      </c>
      <c r="F35" s="19" t="s">
        <v>116</v>
      </c>
      <c r="G35" s="20">
        <v>1711409</v>
      </c>
    </row>
    <row r="36" spans="2:7" x14ac:dyDescent="0.25">
      <c r="B36" s="6" t="s">
        <v>117</v>
      </c>
      <c r="C36" s="19" t="s">
        <v>118</v>
      </c>
      <c r="D36" s="20">
        <v>308157</v>
      </c>
      <c r="E36" s="21" t="s">
        <v>119</v>
      </c>
      <c r="F36" s="19" t="s">
        <v>120</v>
      </c>
      <c r="G36" s="20">
        <v>1943985</v>
      </c>
    </row>
    <row r="37" spans="2:7" x14ac:dyDescent="0.25">
      <c r="B37" s="6" t="s">
        <v>121</v>
      </c>
      <c r="C37" s="19" t="s">
        <v>122</v>
      </c>
      <c r="D37" s="20">
        <v>21957242</v>
      </c>
      <c r="E37" s="21" t="s">
        <v>123</v>
      </c>
      <c r="F37" s="19" t="s">
        <v>124</v>
      </c>
      <c r="G37" s="20">
        <v>3255202</v>
      </c>
    </row>
    <row r="38" spans="2:7" x14ac:dyDescent="0.25">
      <c r="B38" s="6" t="s">
        <v>125</v>
      </c>
      <c r="C38" s="19" t="s">
        <v>126</v>
      </c>
      <c r="D38" s="20">
        <v>0</v>
      </c>
      <c r="E38" s="21" t="s">
        <v>127</v>
      </c>
      <c r="F38" s="19" t="s">
        <v>128</v>
      </c>
      <c r="G38" s="20">
        <v>5467519</v>
      </c>
    </row>
    <row r="39" spans="2:7" x14ac:dyDescent="0.25">
      <c r="B39" s="6" t="s">
        <v>129</v>
      </c>
      <c r="C39" s="19" t="s">
        <v>130</v>
      </c>
      <c r="D39" s="20">
        <v>0</v>
      </c>
      <c r="E39" s="21" t="s">
        <v>131</v>
      </c>
      <c r="F39" s="19" t="s">
        <v>132</v>
      </c>
      <c r="G39" s="20">
        <v>32453751</v>
      </c>
    </row>
    <row r="40" spans="2:7" x14ac:dyDescent="0.25">
      <c r="B40" s="6" t="s">
        <v>133</v>
      </c>
      <c r="C40" s="19" t="s">
        <v>134</v>
      </c>
      <c r="D40" s="20">
        <v>19900993</v>
      </c>
      <c r="E40" s="21"/>
      <c r="F40" s="33" t="s">
        <v>135</v>
      </c>
      <c r="G40" s="34">
        <f>SUM(G41:G46)</f>
        <v>14372706</v>
      </c>
    </row>
    <row r="41" spans="2:7" x14ac:dyDescent="0.25">
      <c r="B41" s="6" t="s">
        <v>136</v>
      </c>
      <c r="C41" s="19" t="s">
        <v>137</v>
      </c>
      <c r="D41" s="20">
        <v>59792844</v>
      </c>
      <c r="E41" s="21" t="s">
        <v>138</v>
      </c>
      <c r="F41" s="19" t="s">
        <v>139</v>
      </c>
      <c r="G41" s="20">
        <v>1332700</v>
      </c>
    </row>
    <row r="42" spans="2:7" x14ac:dyDescent="0.25">
      <c r="B42" s="6" t="s">
        <v>140</v>
      </c>
      <c r="C42" s="19" t="s">
        <v>141</v>
      </c>
      <c r="D42" s="20">
        <v>5785093</v>
      </c>
      <c r="E42" s="21" t="s">
        <v>142</v>
      </c>
      <c r="F42" s="19" t="s">
        <v>143</v>
      </c>
      <c r="G42" s="20">
        <v>25805</v>
      </c>
    </row>
    <row r="43" spans="2:7" x14ac:dyDescent="0.25">
      <c r="B43" s="6" t="s">
        <v>144</v>
      </c>
      <c r="C43" s="19" t="s">
        <v>145</v>
      </c>
      <c r="D43" s="20">
        <v>0</v>
      </c>
      <c r="E43" s="21" t="s">
        <v>146</v>
      </c>
      <c r="F43" s="19" t="s">
        <v>147</v>
      </c>
      <c r="G43" s="20">
        <v>1008434</v>
      </c>
    </row>
    <row r="44" spans="2:7" x14ac:dyDescent="0.25">
      <c r="B44" s="6" t="s">
        <v>148</v>
      </c>
      <c r="C44" s="19" t="s">
        <v>149</v>
      </c>
      <c r="D44" s="20">
        <v>0</v>
      </c>
      <c r="E44" s="21" t="s">
        <v>150</v>
      </c>
      <c r="F44" s="19" t="s">
        <v>151</v>
      </c>
      <c r="G44" s="20">
        <v>693782</v>
      </c>
    </row>
    <row r="45" spans="2:7" x14ac:dyDescent="0.25">
      <c r="B45" s="6" t="s">
        <v>152</v>
      </c>
      <c r="C45" s="19" t="s">
        <v>153</v>
      </c>
      <c r="D45" s="20">
        <v>12947847</v>
      </c>
      <c r="E45" s="21" t="s">
        <v>154</v>
      </c>
      <c r="F45" s="19" t="s">
        <v>155</v>
      </c>
      <c r="G45" s="20">
        <v>520823</v>
      </c>
    </row>
    <row r="46" spans="2:7" x14ac:dyDescent="0.25">
      <c r="B46" s="6" t="s">
        <v>156</v>
      </c>
      <c r="C46" s="19" t="s">
        <v>157</v>
      </c>
      <c r="D46" s="20">
        <v>5507188</v>
      </c>
      <c r="E46" s="21" t="s">
        <v>158</v>
      </c>
      <c r="F46" s="19" t="s">
        <v>159</v>
      </c>
      <c r="G46" s="20">
        <v>10791162</v>
      </c>
    </row>
    <row r="47" spans="2:7" ht="15.75" thickBot="1" x14ac:dyDescent="0.3">
      <c r="B47" s="6"/>
      <c r="C47" s="28" t="s">
        <v>160</v>
      </c>
      <c r="D47" s="29">
        <f>SUM(D36:D46)</f>
        <v>126199364</v>
      </c>
      <c r="E47" s="21" t="s">
        <v>161</v>
      </c>
      <c r="F47" s="19" t="s">
        <v>162</v>
      </c>
      <c r="G47" s="27">
        <v>3780613</v>
      </c>
    </row>
    <row r="48" spans="2:7" ht="15.75" thickBot="1" x14ac:dyDescent="0.3">
      <c r="B48" s="6"/>
      <c r="C48" s="35" t="s">
        <v>163</v>
      </c>
      <c r="D48" s="36"/>
      <c r="E48" s="21"/>
      <c r="F48" s="28" t="s">
        <v>164</v>
      </c>
      <c r="G48" s="37">
        <f>+G33+G40+G47</f>
        <v>68400106</v>
      </c>
    </row>
    <row r="49" spans="2:7" x14ac:dyDescent="0.25">
      <c r="B49" s="6" t="s">
        <v>165</v>
      </c>
      <c r="C49" s="38" t="s">
        <v>166</v>
      </c>
      <c r="D49" s="39">
        <v>19039</v>
      </c>
      <c r="E49" s="21" t="s">
        <v>167</v>
      </c>
      <c r="F49" s="22" t="s">
        <v>168</v>
      </c>
      <c r="G49" s="23">
        <v>27676731</v>
      </c>
    </row>
    <row r="50" spans="2:7" x14ac:dyDescent="0.25">
      <c r="B50" s="6" t="s">
        <v>169</v>
      </c>
      <c r="C50" s="19" t="s">
        <v>163</v>
      </c>
      <c r="D50" s="20">
        <v>0</v>
      </c>
      <c r="E50" s="21" t="s">
        <v>170</v>
      </c>
      <c r="F50" s="19" t="s">
        <v>171</v>
      </c>
      <c r="G50" s="20">
        <v>43058375</v>
      </c>
    </row>
    <row r="51" spans="2:7" x14ac:dyDescent="0.25">
      <c r="B51" s="6" t="s">
        <v>172</v>
      </c>
      <c r="C51" s="19" t="s">
        <v>173</v>
      </c>
      <c r="D51" s="27">
        <v>868</v>
      </c>
      <c r="E51" s="21" t="s">
        <v>174</v>
      </c>
      <c r="F51" s="19" t="s">
        <v>175</v>
      </c>
      <c r="G51" s="20">
        <v>945478</v>
      </c>
    </row>
    <row r="52" spans="2:7" ht="15.75" thickBot="1" x14ac:dyDescent="0.3">
      <c r="B52" s="12"/>
      <c r="C52" s="28" t="s">
        <v>176</v>
      </c>
      <c r="D52" s="29">
        <f>SUM(D49:D51)</f>
        <v>19907</v>
      </c>
      <c r="E52" s="21" t="s">
        <v>177</v>
      </c>
      <c r="F52" s="19" t="s">
        <v>178</v>
      </c>
      <c r="G52" s="20">
        <v>952420</v>
      </c>
    </row>
    <row r="53" spans="2:7" ht="15.75" thickBot="1" x14ac:dyDescent="0.3">
      <c r="B53" s="6"/>
      <c r="C53" s="40" t="s">
        <v>179</v>
      </c>
      <c r="D53" s="41">
        <f>D20+D35+D47+D52</f>
        <v>1139156361</v>
      </c>
      <c r="E53" s="21" t="s">
        <v>180</v>
      </c>
      <c r="F53" s="19" t="s">
        <v>181</v>
      </c>
      <c r="G53" s="20">
        <v>3446968</v>
      </c>
    </row>
    <row r="54" spans="2:7" x14ac:dyDescent="0.25">
      <c r="C54" s="42"/>
      <c r="D54" s="43"/>
      <c r="E54" s="21" t="s">
        <v>182</v>
      </c>
      <c r="F54" s="19" t="s">
        <v>183</v>
      </c>
      <c r="G54" s="20">
        <v>1021219</v>
      </c>
    </row>
    <row r="55" spans="2:7" x14ac:dyDescent="0.25">
      <c r="C55" s="44" t="s">
        <v>184</v>
      </c>
      <c r="D55" s="45"/>
      <c r="E55" s="21" t="s">
        <v>185</v>
      </c>
      <c r="F55" s="19" t="s">
        <v>186</v>
      </c>
      <c r="G55" s="20">
        <v>429746</v>
      </c>
    </row>
    <row r="56" spans="2:7" x14ac:dyDescent="0.25">
      <c r="B56" s="6" t="s">
        <v>187</v>
      </c>
      <c r="C56" s="46" t="s">
        <v>188</v>
      </c>
      <c r="D56" s="20">
        <v>-1303</v>
      </c>
      <c r="E56" s="21" t="s">
        <v>189</v>
      </c>
      <c r="F56" s="19" t="s">
        <v>190</v>
      </c>
      <c r="G56" s="27">
        <v>3940605</v>
      </c>
    </row>
    <row r="57" spans="2:7" ht="15.75" thickBot="1" x14ac:dyDescent="0.3">
      <c r="B57" s="6" t="s">
        <v>191</v>
      </c>
      <c r="C57" s="46" t="s">
        <v>192</v>
      </c>
      <c r="D57" s="20">
        <v>0</v>
      </c>
      <c r="E57" s="21"/>
      <c r="F57" s="28" t="s">
        <v>193</v>
      </c>
      <c r="G57" s="29">
        <f>SUM(G49:G56)</f>
        <v>81471542</v>
      </c>
    </row>
    <row r="58" spans="2:7" x14ac:dyDescent="0.25">
      <c r="B58" s="6" t="s">
        <v>194</v>
      </c>
      <c r="C58" s="46" t="s">
        <v>195</v>
      </c>
      <c r="D58" s="20">
        <v>0</v>
      </c>
      <c r="E58" s="21" t="s">
        <v>196</v>
      </c>
      <c r="F58" s="22" t="s">
        <v>197</v>
      </c>
      <c r="G58" s="23">
        <v>7252235</v>
      </c>
    </row>
    <row r="59" spans="2:7" x14ac:dyDescent="0.25">
      <c r="B59" s="6" t="s">
        <v>198</v>
      </c>
      <c r="C59" s="19" t="s">
        <v>199</v>
      </c>
      <c r="D59" s="27">
        <v>-60</v>
      </c>
      <c r="E59" s="21" t="s">
        <v>200</v>
      </c>
      <c r="F59" s="19" t="s">
        <v>201</v>
      </c>
      <c r="G59" s="20">
        <v>30372613</v>
      </c>
    </row>
    <row r="60" spans="2:7" ht="15.75" thickBot="1" x14ac:dyDescent="0.3">
      <c r="B60" s="6"/>
      <c r="C60" s="28" t="s">
        <v>202</v>
      </c>
      <c r="D60" s="29">
        <f>SUM(D56:D59)</f>
        <v>-1363</v>
      </c>
      <c r="E60" s="21" t="s">
        <v>203</v>
      </c>
      <c r="F60" s="19" t="s">
        <v>204</v>
      </c>
      <c r="G60" s="20">
        <v>3358582</v>
      </c>
    </row>
    <row r="61" spans="2:7" ht="16.5" thickBot="1" x14ac:dyDescent="0.3">
      <c r="B61" s="47"/>
      <c r="C61" s="48" t="s">
        <v>205</v>
      </c>
      <c r="D61" s="49">
        <f>D53+D60</f>
        <v>1139154998</v>
      </c>
      <c r="E61" s="21" t="s">
        <v>206</v>
      </c>
      <c r="F61" s="19" t="s">
        <v>207</v>
      </c>
      <c r="G61" s="20">
        <v>1107149</v>
      </c>
    </row>
    <row r="62" spans="2:7" x14ac:dyDescent="0.25">
      <c r="B62" s="50"/>
      <c r="C62" s="51"/>
      <c r="D62" s="51"/>
      <c r="E62" s="21" t="s">
        <v>208</v>
      </c>
      <c r="F62" s="19" t="s">
        <v>209</v>
      </c>
      <c r="G62" s="20">
        <v>5623247</v>
      </c>
    </row>
    <row r="63" spans="2:7" x14ac:dyDescent="0.25">
      <c r="B63" s="52"/>
      <c r="C63" s="53" t="s">
        <v>8</v>
      </c>
      <c r="D63" s="53"/>
      <c r="E63" s="21" t="s">
        <v>210</v>
      </c>
      <c r="F63" s="19" t="s">
        <v>211</v>
      </c>
      <c r="G63" s="20">
        <v>5876507</v>
      </c>
    </row>
    <row r="64" spans="2:7" x14ac:dyDescent="0.25">
      <c r="B64" s="54" t="s">
        <v>212</v>
      </c>
      <c r="C64" s="55" t="s">
        <v>213</v>
      </c>
      <c r="D64" s="55">
        <f>[11]Amortizaciones!D6</f>
        <v>6847190</v>
      </c>
      <c r="E64" s="21" t="s">
        <v>214</v>
      </c>
      <c r="F64" s="19" t="s">
        <v>215</v>
      </c>
      <c r="G64" s="20">
        <v>6604518</v>
      </c>
    </row>
    <row r="65" spans="2:7" x14ac:dyDescent="0.25">
      <c r="B65" s="54" t="s">
        <v>216</v>
      </c>
      <c r="C65" s="55" t="s">
        <v>217</v>
      </c>
      <c r="D65" s="55">
        <f>[11]Amortizaciones!D7</f>
        <v>0</v>
      </c>
      <c r="E65" s="21" t="s">
        <v>218</v>
      </c>
      <c r="F65" s="19" t="s">
        <v>219</v>
      </c>
      <c r="G65" s="20">
        <v>4661261</v>
      </c>
    </row>
    <row r="66" spans="2:7" x14ac:dyDescent="0.25">
      <c r="B66" s="54" t="s">
        <v>220</v>
      </c>
      <c r="C66" s="55" t="s">
        <v>221</v>
      </c>
      <c r="D66" s="55">
        <f>[11]Amortizaciones!D8</f>
        <v>6014080</v>
      </c>
      <c r="E66" s="21" t="s">
        <v>222</v>
      </c>
      <c r="F66" s="19" t="s">
        <v>223</v>
      </c>
      <c r="G66" s="20">
        <v>6669783</v>
      </c>
    </row>
    <row r="67" spans="2:7" x14ac:dyDescent="0.25">
      <c r="B67" s="54" t="s">
        <v>224</v>
      </c>
      <c r="C67" s="55" t="s">
        <v>225</v>
      </c>
      <c r="D67" s="55">
        <f>[11]Amortizaciones!D9</f>
        <v>753687</v>
      </c>
      <c r="E67" s="21" t="s">
        <v>226</v>
      </c>
      <c r="F67" s="19" t="s">
        <v>227</v>
      </c>
      <c r="G67" s="20">
        <v>9403290</v>
      </c>
    </row>
    <row r="68" spans="2:7" x14ac:dyDescent="0.25">
      <c r="B68" s="54" t="s">
        <v>228</v>
      </c>
      <c r="C68" s="55" t="s">
        <v>229</v>
      </c>
      <c r="D68" s="55">
        <f>[11]Amortizaciones!D10</f>
        <v>333429</v>
      </c>
      <c r="E68" s="21" t="s">
        <v>230</v>
      </c>
      <c r="F68" s="19" t="s">
        <v>231</v>
      </c>
      <c r="G68" s="20">
        <v>201813</v>
      </c>
    </row>
    <row r="69" spans="2:7" x14ac:dyDescent="0.25">
      <c r="B69" s="54" t="s">
        <v>232</v>
      </c>
      <c r="C69" s="55" t="s">
        <v>233</v>
      </c>
      <c r="D69" s="55">
        <f>[11]Amortizaciones!D11</f>
        <v>399075</v>
      </c>
      <c r="E69" s="21" t="s">
        <v>234</v>
      </c>
      <c r="F69" s="19" t="s">
        <v>235</v>
      </c>
      <c r="G69" s="20">
        <v>1885471</v>
      </c>
    </row>
    <row r="70" spans="2:7" x14ac:dyDescent="0.25">
      <c r="B70" s="54" t="s">
        <v>236</v>
      </c>
      <c r="C70" s="55" t="s">
        <v>237</v>
      </c>
      <c r="D70" s="55">
        <f>[11]Amortizaciones!D12</f>
        <v>0</v>
      </c>
      <c r="E70" s="21" t="s">
        <v>238</v>
      </c>
      <c r="F70" s="19" t="s">
        <v>239</v>
      </c>
      <c r="G70" s="20">
        <v>141736</v>
      </c>
    </row>
    <row r="71" spans="2:7" x14ac:dyDescent="0.25">
      <c r="B71" s="54" t="s">
        <v>240</v>
      </c>
      <c r="C71" s="55" t="s">
        <v>241</v>
      </c>
      <c r="D71" s="55">
        <f>[11]Amortizaciones!D13</f>
        <v>675066</v>
      </c>
      <c r="E71" s="21" t="s">
        <v>242</v>
      </c>
      <c r="F71" s="19" t="s">
        <v>243</v>
      </c>
      <c r="G71" s="20">
        <v>3594763</v>
      </c>
    </row>
    <row r="72" spans="2:7" x14ac:dyDescent="0.25">
      <c r="B72" s="54" t="s">
        <v>244</v>
      </c>
      <c r="C72" s="55" t="s">
        <v>245</v>
      </c>
      <c r="D72" s="55">
        <f>[11]Amortizaciones!D14</f>
        <v>0</v>
      </c>
      <c r="E72" s="21" t="s">
        <v>246</v>
      </c>
      <c r="F72" s="19" t="s">
        <v>247</v>
      </c>
      <c r="G72" s="20">
        <v>377582</v>
      </c>
    </row>
    <row r="73" spans="2:7" x14ac:dyDescent="0.25">
      <c r="B73" s="54" t="s">
        <v>248</v>
      </c>
      <c r="C73" s="55" t="s">
        <v>249</v>
      </c>
      <c r="D73" s="55">
        <f>[11]Amortizaciones!D15</f>
        <v>0</v>
      </c>
      <c r="E73" s="21" t="s">
        <v>250</v>
      </c>
      <c r="F73" s="19" t="s">
        <v>251</v>
      </c>
      <c r="G73" s="20">
        <v>0</v>
      </c>
    </row>
    <row r="74" spans="2:7" x14ac:dyDescent="0.25">
      <c r="B74" s="54" t="s">
        <v>252</v>
      </c>
      <c r="C74" s="55" t="s">
        <v>253</v>
      </c>
      <c r="D74" s="55">
        <f>[11]Amortizaciones!D16</f>
        <v>0</v>
      </c>
      <c r="E74" s="21" t="s">
        <v>254</v>
      </c>
      <c r="F74" s="19" t="s">
        <v>255</v>
      </c>
      <c r="G74" s="20">
        <v>0</v>
      </c>
    </row>
    <row r="75" spans="2:7" x14ac:dyDescent="0.25">
      <c r="B75" s="54" t="s">
        <v>256</v>
      </c>
      <c r="C75" s="55" t="s">
        <v>257</v>
      </c>
      <c r="D75" s="55">
        <f>[11]Amortizaciones!D17</f>
        <v>0</v>
      </c>
      <c r="E75" s="21" t="s">
        <v>258</v>
      </c>
      <c r="F75" s="19" t="s">
        <v>259</v>
      </c>
      <c r="G75" s="20">
        <v>2279729</v>
      </c>
    </row>
    <row r="76" spans="2:7" x14ac:dyDescent="0.25">
      <c r="B76" s="54" t="s">
        <v>260</v>
      </c>
      <c r="C76" s="55" t="s">
        <v>261</v>
      </c>
      <c r="D76" s="55">
        <f>[11]Amortizaciones!D18</f>
        <v>0</v>
      </c>
      <c r="E76" s="21" t="s">
        <v>262</v>
      </c>
      <c r="F76" s="19" t="s">
        <v>263</v>
      </c>
      <c r="G76" s="20">
        <v>33319757</v>
      </c>
    </row>
    <row r="77" spans="2:7" x14ac:dyDescent="0.25">
      <c r="B77" s="54" t="s">
        <v>264</v>
      </c>
      <c r="C77" s="55" t="s">
        <v>265</v>
      </c>
      <c r="D77" s="55">
        <f>SUM(D64:D76)</f>
        <v>15022527</v>
      </c>
      <c r="E77" s="21" t="s">
        <v>266</v>
      </c>
      <c r="F77" s="19" t="s">
        <v>267</v>
      </c>
      <c r="G77" s="20">
        <v>11691922</v>
      </c>
    </row>
    <row r="78" spans="2:7" x14ac:dyDescent="0.25">
      <c r="B78" s="54"/>
      <c r="C78" s="55"/>
      <c r="D78" s="55"/>
      <c r="E78" s="21" t="s">
        <v>268</v>
      </c>
      <c r="F78" s="19" t="s">
        <v>269</v>
      </c>
      <c r="G78" s="27">
        <v>6133676</v>
      </c>
    </row>
    <row r="79" spans="2:7" ht="15.75" thickBot="1" x14ac:dyDescent="0.3">
      <c r="B79" s="54"/>
      <c r="C79" s="53" t="s">
        <v>270</v>
      </c>
      <c r="D79" s="56"/>
      <c r="E79" s="21"/>
      <c r="F79" s="28" t="s">
        <v>271</v>
      </c>
      <c r="G79" s="29">
        <f>SUM(G58:G78)</f>
        <v>140555634</v>
      </c>
    </row>
    <row r="80" spans="2:7" x14ac:dyDescent="0.25">
      <c r="B80" s="54" t="s">
        <v>272</v>
      </c>
      <c r="C80" s="55" t="s">
        <v>237</v>
      </c>
      <c r="D80" s="55">
        <f>[11]Amortizaciones!D22</f>
        <v>1681345</v>
      </c>
      <c r="E80" s="21" t="s">
        <v>273</v>
      </c>
      <c r="F80" s="22" t="s">
        <v>274</v>
      </c>
      <c r="G80" s="23">
        <v>5142075</v>
      </c>
    </row>
    <row r="81" spans="2:7" x14ac:dyDescent="0.25">
      <c r="B81" s="54" t="s">
        <v>275</v>
      </c>
      <c r="C81" s="55" t="s">
        <v>241</v>
      </c>
      <c r="D81" s="55">
        <f>[11]Amortizaciones!D23</f>
        <v>0</v>
      </c>
      <c r="E81" s="21" t="s">
        <v>276</v>
      </c>
      <c r="F81" s="19" t="s">
        <v>277</v>
      </c>
      <c r="G81" s="20">
        <v>4985168</v>
      </c>
    </row>
    <row r="82" spans="2:7" x14ac:dyDescent="0.25">
      <c r="B82" s="54" t="s">
        <v>278</v>
      </c>
      <c r="C82" s="55" t="s">
        <v>245</v>
      </c>
      <c r="D82" s="55">
        <f>[11]Amortizaciones!D24</f>
        <v>1578603</v>
      </c>
      <c r="E82" s="21" t="s">
        <v>279</v>
      </c>
      <c r="F82" s="19" t="s">
        <v>280</v>
      </c>
      <c r="G82" s="20">
        <v>1101732</v>
      </c>
    </row>
    <row r="83" spans="2:7" x14ac:dyDescent="0.25">
      <c r="B83" s="54" t="s">
        <v>281</v>
      </c>
      <c r="C83" s="55" t="s">
        <v>249</v>
      </c>
      <c r="D83" s="55">
        <f>[11]Amortizaciones!D25</f>
        <v>0</v>
      </c>
      <c r="E83" s="21" t="s">
        <v>282</v>
      </c>
      <c r="F83" s="19" t="s">
        <v>283</v>
      </c>
      <c r="G83" s="20">
        <v>1713803</v>
      </c>
    </row>
    <row r="84" spans="2:7" x14ac:dyDescent="0.25">
      <c r="B84" s="54" t="s">
        <v>284</v>
      </c>
      <c r="C84" s="55" t="s">
        <v>285</v>
      </c>
      <c r="D84" s="55">
        <v>0</v>
      </c>
      <c r="E84" s="21" t="s">
        <v>286</v>
      </c>
      <c r="F84" s="19" t="s">
        <v>287</v>
      </c>
      <c r="G84" s="20">
        <v>6988068</v>
      </c>
    </row>
    <row r="85" spans="2:7" x14ac:dyDescent="0.25">
      <c r="B85" s="54" t="s">
        <v>288</v>
      </c>
      <c r="C85" s="55" t="s">
        <v>289</v>
      </c>
      <c r="D85" s="55">
        <f>[11]Amortizaciones!D27</f>
        <v>0</v>
      </c>
      <c r="E85" s="21" t="s">
        <v>290</v>
      </c>
      <c r="F85" s="19" t="s">
        <v>291</v>
      </c>
      <c r="G85" s="20">
        <v>292870</v>
      </c>
    </row>
    <row r="86" spans="2:7" x14ac:dyDescent="0.25">
      <c r="B86" s="54" t="s">
        <v>292</v>
      </c>
      <c r="C86" s="55" t="s">
        <v>293</v>
      </c>
      <c r="D86" s="55">
        <f>[11]Amortizaciones!D28</f>
        <v>0</v>
      </c>
      <c r="E86" s="21" t="s">
        <v>294</v>
      </c>
      <c r="F86" s="19" t="s">
        <v>295</v>
      </c>
      <c r="G86" s="20">
        <v>240850</v>
      </c>
    </row>
    <row r="87" spans="2:7" x14ac:dyDescent="0.25">
      <c r="B87" s="54" t="s">
        <v>296</v>
      </c>
      <c r="C87" s="55" t="s">
        <v>297</v>
      </c>
      <c r="D87" s="55">
        <f>[11]Amortizaciones!D29</f>
        <v>0</v>
      </c>
      <c r="E87" s="21" t="s">
        <v>298</v>
      </c>
      <c r="F87" s="19" t="s">
        <v>299</v>
      </c>
      <c r="G87" s="20">
        <v>1979523</v>
      </c>
    </row>
    <row r="88" spans="2:7" x14ac:dyDescent="0.25">
      <c r="B88" s="54" t="s">
        <v>300</v>
      </c>
      <c r="C88" s="55" t="s">
        <v>301</v>
      </c>
      <c r="D88" s="55">
        <f>[11]Amortizaciones!D30</f>
        <v>563194</v>
      </c>
      <c r="E88" s="21" t="s">
        <v>302</v>
      </c>
      <c r="F88" s="19" t="s">
        <v>303</v>
      </c>
      <c r="G88" s="20">
        <v>2485050</v>
      </c>
    </row>
    <row r="89" spans="2:7" x14ac:dyDescent="0.25">
      <c r="B89" s="54" t="s">
        <v>304</v>
      </c>
      <c r="C89" s="55" t="s">
        <v>213</v>
      </c>
      <c r="D89" s="55">
        <f>[11]Amortizaciones!D31</f>
        <v>0</v>
      </c>
      <c r="E89" s="21" t="s">
        <v>305</v>
      </c>
      <c r="F89" s="19" t="s">
        <v>306</v>
      </c>
      <c r="G89" s="20">
        <v>38896696</v>
      </c>
    </row>
    <row r="90" spans="2:7" x14ac:dyDescent="0.25">
      <c r="B90" s="54" t="s">
        <v>307</v>
      </c>
      <c r="C90" s="55" t="s">
        <v>229</v>
      </c>
      <c r="D90" s="55">
        <f>[11]Amortizaciones!D32</f>
        <v>0</v>
      </c>
      <c r="E90" s="21" t="s">
        <v>308</v>
      </c>
      <c r="F90" s="19" t="s">
        <v>309</v>
      </c>
      <c r="G90" s="20">
        <v>360000</v>
      </c>
    </row>
    <row r="91" spans="2:7" x14ac:dyDescent="0.25">
      <c r="B91" s="54" t="s">
        <v>310</v>
      </c>
      <c r="C91" s="55" t="s">
        <v>311</v>
      </c>
      <c r="D91" s="55">
        <f>SUM(D80:D90)</f>
        <v>3823142</v>
      </c>
      <c r="E91" s="52" t="s">
        <v>312</v>
      </c>
      <c r="F91" s="19" t="s">
        <v>313</v>
      </c>
      <c r="G91" s="20">
        <v>498938</v>
      </c>
    </row>
    <row r="92" spans="2:7" x14ac:dyDescent="0.25">
      <c r="B92" s="54"/>
      <c r="C92" s="57" t="s">
        <v>314</v>
      </c>
      <c r="D92" s="55">
        <f>D77+D91</f>
        <v>18845669</v>
      </c>
      <c r="E92" s="52" t="s">
        <v>315</v>
      </c>
      <c r="F92" s="19" t="s">
        <v>316</v>
      </c>
      <c r="G92" s="20">
        <v>333408</v>
      </c>
    </row>
    <row r="93" spans="2:7" x14ac:dyDescent="0.25">
      <c r="E93" s="52" t="s">
        <v>317</v>
      </c>
      <c r="F93" s="19" t="s">
        <v>318</v>
      </c>
      <c r="G93" s="20">
        <v>6339853</v>
      </c>
    </row>
    <row r="94" spans="2:7" x14ac:dyDescent="0.25">
      <c r="E94" s="52" t="s">
        <v>319</v>
      </c>
      <c r="F94" s="19" t="s">
        <v>320</v>
      </c>
      <c r="G94" s="27">
        <v>3263196</v>
      </c>
    </row>
    <row r="95" spans="2:7" ht="13.5" customHeight="1" thickBot="1" x14ac:dyDescent="0.3">
      <c r="E95" s="21"/>
      <c r="F95" s="28" t="s">
        <v>321</v>
      </c>
      <c r="G95" s="29">
        <f>SUM(G80:G94)</f>
        <v>74621230</v>
      </c>
    </row>
    <row r="96" spans="2:7" x14ac:dyDescent="0.25">
      <c r="E96" s="52" t="s">
        <v>322</v>
      </c>
      <c r="F96" s="22" t="s">
        <v>323</v>
      </c>
      <c r="G96" s="23">
        <v>2852649</v>
      </c>
    </row>
    <row r="97" spans="2:7" x14ac:dyDescent="0.25">
      <c r="E97" s="52" t="s">
        <v>324</v>
      </c>
      <c r="F97" s="19" t="s">
        <v>325</v>
      </c>
      <c r="G97" s="20">
        <v>3021660</v>
      </c>
    </row>
    <row r="98" spans="2:7" x14ac:dyDescent="0.25">
      <c r="E98" s="52" t="s">
        <v>326</v>
      </c>
      <c r="F98" s="19" t="s">
        <v>327</v>
      </c>
      <c r="G98" s="20">
        <v>504809</v>
      </c>
    </row>
    <row r="99" spans="2:7" x14ac:dyDescent="0.25">
      <c r="E99" s="52" t="s">
        <v>328</v>
      </c>
      <c r="F99" s="19" t="s">
        <v>329</v>
      </c>
      <c r="G99" s="20">
        <v>1869520</v>
      </c>
    </row>
    <row r="100" spans="2:7" x14ac:dyDescent="0.25">
      <c r="E100" s="52" t="s">
        <v>330</v>
      </c>
      <c r="F100" s="19" t="s">
        <v>331</v>
      </c>
      <c r="G100" s="27">
        <v>376385</v>
      </c>
    </row>
    <row r="101" spans="2:7" ht="15.75" thickBot="1" x14ac:dyDescent="0.3">
      <c r="E101" s="21"/>
      <c r="F101" s="28" t="s">
        <v>332</v>
      </c>
      <c r="G101" s="29">
        <f>SUM(G96:G100)</f>
        <v>8625023</v>
      </c>
    </row>
    <row r="102" spans="2:7" ht="15.75" thickBot="1" x14ac:dyDescent="0.3">
      <c r="E102" s="52"/>
      <c r="F102" s="59" t="s">
        <v>333</v>
      </c>
      <c r="G102" s="60">
        <f>[11]Amortizaciones!D19</f>
        <v>15022527</v>
      </c>
    </row>
    <row r="103" spans="2:7" x14ac:dyDescent="0.25">
      <c r="E103" s="52" t="s">
        <v>334</v>
      </c>
      <c r="F103" s="19" t="s">
        <v>335</v>
      </c>
      <c r="G103" s="23"/>
    </row>
    <row r="104" spans="2:7" x14ac:dyDescent="0.25">
      <c r="E104" s="52" t="s">
        <v>336</v>
      </c>
      <c r="F104" s="61" t="s">
        <v>337</v>
      </c>
      <c r="G104" s="20"/>
    </row>
    <row r="105" spans="2:7" ht="15.75" thickBot="1" x14ac:dyDescent="0.3">
      <c r="E105" s="21"/>
      <c r="F105" s="28" t="s">
        <v>338</v>
      </c>
      <c r="G105" s="29">
        <f>SUM(G103:G104)</f>
        <v>0</v>
      </c>
    </row>
    <row r="106" spans="2:7" ht="13.7" customHeight="1" thickBot="1" x14ac:dyDescent="0.3">
      <c r="B106" s="6"/>
      <c r="C106" s="62"/>
      <c r="D106" s="62"/>
      <c r="E106" s="52"/>
      <c r="F106" s="48" t="s">
        <v>339</v>
      </c>
      <c r="G106" s="49">
        <f>G19+G27+G32+G48+G57+G79+G95+G101+G102+G105</f>
        <v>1005095592</v>
      </c>
    </row>
    <row r="107" spans="2:7" ht="13.7" customHeight="1" x14ac:dyDescent="0.25">
      <c r="B107" s="6"/>
      <c r="C107" s="62"/>
      <c r="D107" s="62"/>
      <c r="E107" s="21"/>
      <c r="F107" s="63"/>
      <c r="G107" s="64"/>
    </row>
    <row r="108" spans="2:7" ht="13.7" customHeight="1" thickBot="1" x14ac:dyDescent="0.3">
      <c r="B108" s="6"/>
      <c r="C108" s="62"/>
      <c r="D108" s="62"/>
      <c r="E108" s="21"/>
    </row>
    <row r="109" spans="2:7" ht="13.7" customHeight="1" thickBot="1" x14ac:dyDescent="0.3">
      <c r="B109" s="6"/>
      <c r="C109" s="62"/>
      <c r="D109" s="62"/>
      <c r="E109" s="21"/>
      <c r="F109" s="13" t="s">
        <v>340</v>
      </c>
      <c r="G109" s="65">
        <f>D61-G106</f>
        <v>134059406</v>
      </c>
    </row>
    <row r="110" spans="2:7" ht="13.7" customHeight="1" thickBot="1" x14ac:dyDescent="0.3">
      <c r="B110" s="6"/>
      <c r="C110" s="62"/>
      <c r="D110" s="62"/>
      <c r="E110" s="21"/>
    </row>
    <row r="111" spans="2:7" ht="13.7" customHeight="1" thickBot="1" x14ac:dyDescent="0.3">
      <c r="C111" s="48" t="s">
        <v>270</v>
      </c>
      <c r="D111" s="17">
        <f>+[11]E.S.P.!D6</f>
        <v>2020</v>
      </c>
      <c r="E111" s="52"/>
      <c r="F111" s="48" t="s">
        <v>341</v>
      </c>
      <c r="G111" s="17">
        <f>+[11]E.S.P.!D6</f>
        <v>2020</v>
      </c>
    </row>
    <row r="112" spans="2:7" ht="13.7" customHeight="1" x14ac:dyDescent="0.25">
      <c r="B112" s="6" t="s">
        <v>342</v>
      </c>
      <c r="C112" s="66" t="s">
        <v>343</v>
      </c>
      <c r="D112" s="67">
        <v>6212179</v>
      </c>
      <c r="E112" s="21" t="s">
        <v>344</v>
      </c>
      <c r="F112" s="66" t="s">
        <v>309</v>
      </c>
      <c r="G112" s="67">
        <v>0</v>
      </c>
    </row>
    <row r="113" spans="2:7" ht="13.7" customHeight="1" x14ac:dyDescent="0.25">
      <c r="B113" s="6" t="s">
        <v>345</v>
      </c>
      <c r="C113" s="68" t="s">
        <v>346</v>
      </c>
      <c r="D113" s="69">
        <v>93612590</v>
      </c>
      <c r="E113" s="21" t="s">
        <v>347</v>
      </c>
      <c r="F113" s="68" t="s">
        <v>348</v>
      </c>
      <c r="G113" s="69">
        <v>0</v>
      </c>
    </row>
    <row r="114" spans="2:7" ht="13.7" customHeight="1" x14ac:dyDescent="0.25">
      <c r="B114" s="6" t="s">
        <v>349</v>
      </c>
      <c r="C114" s="68" t="s">
        <v>48</v>
      </c>
      <c r="D114" s="69">
        <v>0</v>
      </c>
      <c r="E114" s="21" t="s">
        <v>350</v>
      </c>
      <c r="F114" s="68" t="s">
        <v>351</v>
      </c>
      <c r="G114" s="69">
        <v>0</v>
      </c>
    </row>
    <row r="115" spans="2:7" ht="13.7" customHeight="1" x14ac:dyDescent="0.25">
      <c r="B115" s="6" t="s">
        <v>352</v>
      </c>
      <c r="C115" s="68" t="s">
        <v>353</v>
      </c>
      <c r="D115" s="69">
        <v>511899</v>
      </c>
      <c r="E115" s="21" t="s">
        <v>354</v>
      </c>
      <c r="F115" s="68" t="s">
        <v>355</v>
      </c>
      <c r="G115" s="69">
        <v>0</v>
      </c>
    </row>
    <row r="116" spans="2:7" ht="13.7" customHeight="1" x14ac:dyDescent="0.25">
      <c r="B116" s="6" t="s">
        <v>356</v>
      </c>
      <c r="C116" s="68" t="s">
        <v>357</v>
      </c>
      <c r="D116" s="69">
        <v>3723821</v>
      </c>
      <c r="E116" s="21" t="s">
        <v>358</v>
      </c>
      <c r="F116" s="68" t="s">
        <v>359</v>
      </c>
      <c r="G116" s="69">
        <v>2707385</v>
      </c>
    </row>
    <row r="117" spans="2:7" ht="13.7" customHeight="1" x14ac:dyDescent="0.25">
      <c r="B117" s="6" t="s">
        <v>360</v>
      </c>
      <c r="C117" s="68" t="s">
        <v>361</v>
      </c>
      <c r="D117" s="69">
        <v>0</v>
      </c>
      <c r="E117" s="21" t="s">
        <v>362</v>
      </c>
      <c r="F117" s="68" t="s">
        <v>363</v>
      </c>
      <c r="G117" s="69">
        <v>0</v>
      </c>
    </row>
    <row r="118" spans="2:7" ht="13.7" customHeight="1" x14ac:dyDescent="0.25">
      <c r="B118" s="6" t="s">
        <v>364</v>
      </c>
      <c r="C118" s="68" t="s">
        <v>365</v>
      </c>
      <c r="D118" s="69">
        <v>0</v>
      </c>
      <c r="E118" s="21" t="s">
        <v>366</v>
      </c>
      <c r="F118" s="68" t="s">
        <v>367</v>
      </c>
      <c r="G118" s="69">
        <v>0</v>
      </c>
    </row>
    <row r="119" spans="2:7" ht="13.7" customHeight="1" x14ac:dyDescent="0.25">
      <c r="B119" s="6" t="s">
        <v>368</v>
      </c>
      <c r="C119" s="68" t="s">
        <v>369</v>
      </c>
      <c r="D119" s="69">
        <v>542131</v>
      </c>
      <c r="E119" s="21" t="s">
        <v>370</v>
      </c>
      <c r="F119" s="68" t="s">
        <v>371</v>
      </c>
      <c r="G119" s="69">
        <v>2012241</v>
      </c>
    </row>
    <row r="120" spans="2:7" ht="13.7" customHeight="1" x14ac:dyDescent="0.25">
      <c r="B120" s="6" t="s">
        <v>372</v>
      </c>
      <c r="C120" s="68" t="s">
        <v>373</v>
      </c>
      <c r="D120" s="69">
        <v>0</v>
      </c>
      <c r="E120" s="21" t="s">
        <v>374</v>
      </c>
      <c r="F120" s="68" t="s">
        <v>375</v>
      </c>
      <c r="G120" s="69">
        <v>0</v>
      </c>
    </row>
    <row r="121" spans="2:7" ht="13.7" customHeight="1" x14ac:dyDescent="0.25">
      <c r="B121" s="6" t="s">
        <v>376</v>
      </c>
      <c r="C121" s="19" t="s">
        <v>377</v>
      </c>
      <c r="D121" s="69">
        <v>4773020</v>
      </c>
      <c r="E121" s="21" t="s">
        <v>378</v>
      </c>
      <c r="F121" s="68" t="s">
        <v>379</v>
      </c>
      <c r="G121" s="69">
        <v>1511302</v>
      </c>
    </row>
    <row r="122" spans="2:7" ht="13.7" customHeight="1" thickBot="1" x14ac:dyDescent="0.3">
      <c r="B122" s="6"/>
      <c r="C122" s="28" t="s">
        <v>380</v>
      </c>
      <c r="D122" s="37">
        <f>SUM(D112:D121)</f>
        <v>109375640</v>
      </c>
      <c r="E122" s="21" t="s">
        <v>381</v>
      </c>
      <c r="F122" s="19" t="s">
        <v>382</v>
      </c>
      <c r="G122" s="20">
        <v>387680</v>
      </c>
    </row>
    <row r="123" spans="2:7" ht="13.7" customHeight="1" thickBot="1" x14ac:dyDescent="0.3">
      <c r="B123" s="6" t="s">
        <v>383</v>
      </c>
      <c r="C123" s="70" t="s">
        <v>309</v>
      </c>
      <c r="D123" s="67">
        <v>191896</v>
      </c>
      <c r="E123" s="52"/>
      <c r="F123" s="28" t="s">
        <v>384</v>
      </c>
      <c r="G123" s="37">
        <f>SUM(G112:G122)</f>
        <v>6618608</v>
      </c>
    </row>
    <row r="124" spans="2:7" ht="13.7" customHeight="1" x14ac:dyDescent="0.25">
      <c r="B124" s="6" t="s">
        <v>385</v>
      </c>
      <c r="C124" s="68" t="s">
        <v>313</v>
      </c>
      <c r="D124" s="69">
        <v>100614</v>
      </c>
      <c r="E124" s="21" t="s">
        <v>386</v>
      </c>
      <c r="F124" s="68" t="s">
        <v>387</v>
      </c>
      <c r="G124" s="69">
        <v>0</v>
      </c>
    </row>
    <row r="125" spans="2:7" ht="13.7" customHeight="1" x14ac:dyDescent="0.25">
      <c r="B125" s="6" t="s">
        <v>388</v>
      </c>
      <c r="C125" s="19" t="s">
        <v>389</v>
      </c>
      <c r="D125" s="69">
        <v>13347</v>
      </c>
      <c r="E125" s="21" t="s">
        <v>390</v>
      </c>
      <c r="F125" s="68" t="s">
        <v>391</v>
      </c>
      <c r="G125" s="69">
        <v>0</v>
      </c>
    </row>
    <row r="126" spans="2:7" ht="13.7" customHeight="1" thickBot="1" x14ac:dyDescent="0.3">
      <c r="B126" s="6"/>
      <c r="C126" s="28" t="s">
        <v>392</v>
      </c>
      <c r="D126" s="37">
        <f>SUM(D123:D125)</f>
        <v>305857</v>
      </c>
      <c r="E126" s="21" t="s">
        <v>393</v>
      </c>
      <c r="F126" s="68" t="s">
        <v>394</v>
      </c>
      <c r="G126" s="69">
        <v>0</v>
      </c>
    </row>
    <row r="127" spans="2:7" ht="13.7" customHeight="1" x14ac:dyDescent="0.25">
      <c r="B127" s="6" t="s">
        <v>395</v>
      </c>
      <c r="C127" s="66" t="s">
        <v>274</v>
      </c>
      <c r="D127" s="67">
        <v>1144873</v>
      </c>
      <c r="E127" s="21" t="s">
        <v>396</v>
      </c>
      <c r="F127" s="68" t="s">
        <v>397</v>
      </c>
      <c r="G127" s="69">
        <v>0</v>
      </c>
    </row>
    <row r="128" spans="2:7" ht="13.7" customHeight="1" x14ac:dyDescent="0.25">
      <c r="B128" s="6" t="s">
        <v>398</v>
      </c>
      <c r="C128" s="68" t="s">
        <v>399</v>
      </c>
      <c r="D128" s="69">
        <v>1451353</v>
      </c>
      <c r="E128" s="21" t="s">
        <v>400</v>
      </c>
      <c r="F128" s="68" t="s">
        <v>401</v>
      </c>
      <c r="G128" s="69">
        <v>0</v>
      </c>
    </row>
    <row r="129" spans="2:7" ht="13.7" customHeight="1" x14ac:dyDescent="0.25">
      <c r="B129" s="6" t="s">
        <v>402</v>
      </c>
      <c r="C129" s="68" t="s">
        <v>277</v>
      </c>
      <c r="D129" s="69">
        <v>0</v>
      </c>
      <c r="E129" s="21" t="s">
        <v>403</v>
      </c>
      <c r="F129" s="68" t="s">
        <v>404</v>
      </c>
      <c r="G129" s="69">
        <v>819976</v>
      </c>
    </row>
    <row r="130" spans="2:7" ht="13.7" customHeight="1" x14ac:dyDescent="0.25">
      <c r="B130" s="6" t="s">
        <v>405</v>
      </c>
      <c r="C130" s="68" t="s">
        <v>283</v>
      </c>
      <c r="D130" s="69">
        <v>94184</v>
      </c>
      <c r="E130" s="21" t="s">
        <v>406</v>
      </c>
      <c r="F130" s="68" t="s">
        <v>407</v>
      </c>
      <c r="G130" s="69">
        <v>0</v>
      </c>
    </row>
    <row r="131" spans="2:7" ht="13.7" customHeight="1" x14ac:dyDescent="0.25">
      <c r="B131" s="6" t="s">
        <v>408</v>
      </c>
      <c r="C131" s="68" t="s">
        <v>287</v>
      </c>
      <c r="D131" s="69">
        <v>154275</v>
      </c>
      <c r="E131" s="21" t="s">
        <v>409</v>
      </c>
      <c r="F131" s="68" t="s">
        <v>410</v>
      </c>
      <c r="G131" s="69">
        <v>6227</v>
      </c>
    </row>
    <row r="132" spans="2:7" ht="13.7" customHeight="1" x14ac:dyDescent="0.25">
      <c r="B132" s="6" t="s">
        <v>411</v>
      </c>
      <c r="C132" s="68" t="s">
        <v>291</v>
      </c>
      <c r="D132" s="69">
        <v>5258643</v>
      </c>
      <c r="E132" s="21" t="s">
        <v>412</v>
      </c>
      <c r="F132" s="68" t="s">
        <v>413</v>
      </c>
      <c r="G132" s="69">
        <v>0</v>
      </c>
    </row>
    <row r="133" spans="2:7" ht="13.7" customHeight="1" x14ac:dyDescent="0.25">
      <c r="B133" s="6" t="s">
        <v>414</v>
      </c>
      <c r="C133" s="68" t="s">
        <v>295</v>
      </c>
      <c r="D133" s="69">
        <v>767863</v>
      </c>
      <c r="E133" s="21" t="s">
        <v>415</v>
      </c>
      <c r="F133" s="68" t="s">
        <v>416</v>
      </c>
      <c r="G133" s="69">
        <v>3075554</v>
      </c>
    </row>
    <row r="134" spans="2:7" ht="13.7" customHeight="1" x14ac:dyDescent="0.25">
      <c r="B134" s="6" t="s">
        <v>417</v>
      </c>
      <c r="C134" s="68" t="s">
        <v>418</v>
      </c>
      <c r="D134" s="69">
        <v>933455</v>
      </c>
      <c r="E134" s="21" t="s">
        <v>419</v>
      </c>
      <c r="F134" s="68" t="s">
        <v>420</v>
      </c>
      <c r="G134" s="69">
        <v>844407</v>
      </c>
    </row>
    <row r="135" spans="2:7" ht="13.7" customHeight="1" x14ac:dyDescent="0.25">
      <c r="B135" s="6" t="s">
        <v>421</v>
      </c>
      <c r="C135" s="68" t="s">
        <v>422</v>
      </c>
      <c r="D135" s="69">
        <v>5421776</v>
      </c>
      <c r="E135" s="21" t="s">
        <v>423</v>
      </c>
      <c r="F135" s="68" t="s">
        <v>424</v>
      </c>
      <c r="G135" s="69">
        <v>0</v>
      </c>
    </row>
    <row r="136" spans="2:7" ht="13.7" customHeight="1" x14ac:dyDescent="0.25">
      <c r="B136" s="6" t="s">
        <v>425</v>
      </c>
      <c r="C136" s="68" t="s">
        <v>318</v>
      </c>
      <c r="D136" s="69">
        <v>1616911</v>
      </c>
      <c r="E136" s="21" t="s">
        <v>426</v>
      </c>
      <c r="F136" s="68" t="s">
        <v>427</v>
      </c>
      <c r="G136" s="69">
        <v>3500</v>
      </c>
    </row>
    <row r="137" spans="2:7" ht="13.7" customHeight="1" x14ac:dyDescent="0.25">
      <c r="B137" s="6" t="s">
        <v>428</v>
      </c>
      <c r="C137" s="19" t="s">
        <v>320</v>
      </c>
      <c r="D137" s="71">
        <v>770637</v>
      </c>
      <c r="E137" s="21" t="s">
        <v>429</v>
      </c>
      <c r="F137" s="68" t="s">
        <v>430</v>
      </c>
      <c r="G137" s="69">
        <v>3006554</v>
      </c>
    </row>
    <row r="138" spans="2:7" ht="13.7" customHeight="1" thickBot="1" x14ac:dyDescent="0.3">
      <c r="B138" s="6"/>
      <c r="C138" s="28" t="s">
        <v>321</v>
      </c>
      <c r="D138" s="37">
        <f>SUM(D127:D137)</f>
        <v>17613970</v>
      </c>
      <c r="E138" s="21" t="s">
        <v>431</v>
      </c>
      <c r="F138" s="19" t="s">
        <v>432</v>
      </c>
      <c r="G138" s="20">
        <v>353916</v>
      </c>
    </row>
    <row r="139" spans="2:7" ht="13.7" customHeight="1" thickBot="1" x14ac:dyDescent="0.3">
      <c r="B139" s="6" t="s">
        <v>433</v>
      </c>
      <c r="C139" s="66" t="s">
        <v>327</v>
      </c>
      <c r="D139" s="67">
        <v>123792</v>
      </c>
      <c r="E139" s="7"/>
      <c r="F139" s="28" t="s">
        <v>434</v>
      </c>
      <c r="G139" s="37">
        <f>SUM(G124:G138)</f>
        <v>8110134</v>
      </c>
    </row>
    <row r="140" spans="2:7" ht="13.7" customHeight="1" thickBot="1" x14ac:dyDescent="0.3">
      <c r="B140" s="6" t="s">
        <v>435</v>
      </c>
      <c r="C140" s="68" t="s">
        <v>329</v>
      </c>
      <c r="D140" s="69">
        <v>51160</v>
      </c>
      <c r="E140" s="7"/>
      <c r="F140" s="48" t="s">
        <v>436</v>
      </c>
      <c r="G140" s="72">
        <f>G123-G139</f>
        <v>-1491526</v>
      </c>
    </row>
    <row r="141" spans="2:7" ht="13.7" customHeight="1" x14ac:dyDescent="0.25">
      <c r="B141" s="6" t="s">
        <v>437</v>
      </c>
      <c r="C141" s="19" t="s">
        <v>331</v>
      </c>
      <c r="D141" s="71">
        <v>7984</v>
      </c>
      <c r="E141" s="73"/>
    </row>
    <row r="142" spans="2:7" ht="13.7" customHeight="1" thickBot="1" x14ac:dyDescent="0.3">
      <c r="B142" s="6"/>
      <c r="C142" s="28" t="s">
        <v>332</v>
      </c>
      <c r="D142" s="37">
        <f>SUM(D139:D141)</f>
        <v>182936</v>
      </c>
      <c r="E142" s="73"/>
    </row>
    <row r="143" spans="2:7" ht="13.7" customHeight="1" thickBot="1" x14ac:dyDescent="0.3">
      <c r="B143" s="6"/>
      <c r="C143" s="59" t="s">
        <v>438</v>
      </c>
      <c r="D143" s="74">
        <f>[11]Amortizaciones!D33</f>
        <v>3823142</v>
      </c>
      <c r="E143" s="21"/>
      <c r="F143" s="48" t="s">
        <v>439</v>
      </c>
      <c r="G143" s="17">
        <f>+[11]E.S.P.!D6</f>
        <v>2020</v>
      </c>
    </row>
    <row r="144" spans="2:7" ht="13.7" customHeight="1" x14ac:dyDescent="0.25">
      <c r="B144" s="6" t="s">
        <v>440</v>
      </c>
      <c r="C144" s="66" t="s">
        <v>441</v>
      </c>
      <c r="D144" s="67">
        <v>477808</v>
      </c>
      <c r="E144" s="21" t="s">
        <v>442</v>
      </c>
      <c r="F144" s="66" t="s">
        <v>443</v>
      </c>
      <c r="G144" s="67">
        <v>608461</v>
      </c>
    </row>
    <row r="145" spans="2:7" ht="13.7" customHeight="1" x14ac:dyDescent="0.25">
      <c r="B145" s="6" t="s">
        <v>444</v>
      </c>
      <c r="C145" s="68" t="s">
        <v>445</v>
      </c>
      <c r="D145" s="69">
        <v>245555</v>
      </c>
      <c r="E145" s="21" t="s">
        <v>446</v>
      </c>
      <c r="F145" s="68" t="s">
        <v>447</v>
      </c>
      <c r="G145" s="69">
        <v>2074266</v>
      </c>
    </row>
    <row r="146" spans="2:7" ht="13.7" customHeight="1" x14ac:dyDescent="0.25">
      <c r="B146" s="6" t="s">
        <v>448</v>
      </c>
      <c r="C146" s="75" t="s">
        <v>449</v>
      </c>
      <c r="D146" s="69">
        <v>0</v>
      </c>
      <c r="E146" s="21" t="s">
        <v>450</v>
      </c>
      <c r="F146" s="68" t="s">
        <v>451</v>
      </c>
      <c r="G146" s="69">
        <v>3226806</v>
      </c>
    </row>
    <row r="147" spans="2:7" ht="13.7" customHeight="1" x14ac:dyDescent="0.25">
      <c r="B147" s="6" t="s">
        <v>452</v>
      </c>
      <c r="C147" s="19" t="s">
        <v>453</v>
      </c>
      <c r="D147" s="71">
        <v>33007</v>
      </c>
      <c r="E147" s="21" t="s">
        <v>454</v>
      </c>
      <c r="F147" s="68" t="s">
        <v>455</v>
      </c>
      <c r="G147" s="69">
        <v>0</v>
      </c>
    </row>
    <row r="148" spans="2:7" ht="13.7" customHeight="1" thickBot="1" x14ac:dyDescent="0.3">
      <c r="B148" s="6"/>
      <c r="C148" s="28" t="s">
        <v>456</v>
      </c>
      <c r="D148" s="37">
        <f>SUM(D144:D147)</f>
        <v>756370</v>
      </c>
      <c r="E148" s="21" t="s">
        <v>457</v>
      </c>
      <c r="F148" s="68" t="s">
        <v>458</v>
      </c>
      <c r="G148" s="69">
        <v>0</v>
      </c>
    </row>
    <row r="149" spans="2:7" ht="13.7" customHeight="1" x14ac:dyDescent="0.25">
      <c r="B149" s="6" t="s">
        <v>459</v>
      </c>
      <c r="C149" s="66" t="s">
        <v>460</v>
      </c>
      <c r="D149" s="67">
        <v>447200</v>
      </c>
      <c r="E149" s="21" t="s">
        <v>461</v>
      </c>
      <c r="F149" s="68" t="s">
        <v>462</v>
      </c>
      <c r="G149" s="69">
        <v>0</v>
      </c>
    </row>
    <row r="150" spans="2:7" ht="13.7" customHeight="1" x14ac:dyDescent="0.25">
      <c r="B150" s="6" t="s">
        <v>463</v>
      </c>
      <c r="C150" s="68" t="s">
        <v>464</v>
      </c>
      <c r="D150" s="69">
        <v>5335443</v>
      </c>
      <c r="E150" s="21" t="s">
        <v>465</v>
      </c>
      <c r="F150" s="68" t="s">
        <v>466</v>
      </c>
      <c r="G150" s="69">
        <v>68173</v>
      </c>
    </row>
    <row r="151" spans="2:7" ht="13.7" customHeight="1" x14ac:dyDescent="0.25">
      <c r="B151" s="6" t="s">
        <v>467</v>
      </c>
      <c r="C151" s="19" t="s">
        <v>468</v>
      </c>
      <c r="D151" s="71">
        <v>263862</v>
      </c>
      <c r="E151" s="21" t="s">
        <v>469</v>
      </c>
      <c r="F151" s="68" t="s">
        <v>470</v>
      </c>
      <c r="G151" s="69">
        <v>18287367</v>
      </c>
    </row>
    <row r="152" spans="2:7" ht="13.7" customHeight="1" thickBot="1" x14ac:dyDescent="0.3">
      <c r="B152" s="6"/>
      <c r="C152" s="28" t="s">
        <v>471</v>
      </c>
      <c r="D152" s="37">
        <f>SUM(D149:D151)</f>
        <v>6046505</v>
      </c>
      <c r="E152" s="21" t="s">
        <v>472</v>
      </c>
      <c r="F152" s="68" t="s">
        <v>473</v>
      </c>
      <c r="G152" s="69">
        <v>86902</v>
      </c>
    </row>
    <row r="153" spans="2:7" ht="13.7" customHeight="1" thickBot="1" x14ac:dyDescent="0.3">
      <c r="B153" s="6"/>
      <c r="C153" s="48" t="s">
        <v>474</v>
      </c>
      <c r="D153" s="76">
        <f>D122+D126+D138+D142+D143+D148+D152</f>
        <v>138104420</v>
      </c>
      <c r="E153" s="21" t="s">
        <v>475</v>
      </c>
      <c r="F153" s="19" t="s">
        <v>476</v>
      </c>
      <c r="G153" s="20">
        <v>276728</v>
      </c>
    </row>
    <row r="154" spans="2:7" ht="13.7" customHeight="1" thickBot="1" x14ac:dyDescent="0.3">
      <c r="B154" s="6"/>
      <c r="E154" s="21"/>
      <c r="F154" s="28" t="s">
        <v>477</v>
      </c>
      <c r="G154" s="37">
        <f>SUM(G144:G153)</f>
        <v>24628703</v>
      </c>
    </row>
    <row r="155" spans="2:7" ht="13.7" customHeight="1" thickBot="1" x14ac:dyDescent="0.3">
      <c r="B155" s="6"/>
      <c r="C155" s="77" t="s">
        <v>478</v>
      </c>
      <c r="D155" s="65">
        <f>G109-D153</f>
        <v>-4045014</v>
      </c>
      <c r="E155" s="21" t="s">
        <v>479</v>
      </c>
      <c r="F155" s="66" t="s">
        <v>480</v>
      </c>
      <c r="G155" s="67">
        <v>8727874</v>
      </c>
    </row>
    <row r="156" spans="2:7" ht="13.7" customHeight="1" x14ac:dyDescent="0.25">
      <c r="E156" s="21" t="s">
        <v>481</v>
      </c>
      <c r="F156" s="68" t="s">
        <v>482</v>
      </c>
      <c r="G156" s="69">
        <v>4005146</v>
      </c>
    </row>
    <row r="157" spans="2:7" ht="13.7" customHeight="1" x14ac:dyDescent="0.25">
      <c r="E157" s="21" t="s">
        <v>483</v>
      </c>
      <c r="F157" s="68" t="s">
        <v>484</v>
      </c>
      <c r="G157" s="69">
        <v>0</v>
      </c>
    </row>
    <row r="158" spans="2:7" ht="13.7" customHeight="1" x14ac:dyDescent="0.25">
      <c r="E158" s="21" t="s">
        <v>485</v>
      </c>
      <c r="F158" s="68" t="s">
        <v>486</v>
      </c>
      <c r="G158" s="69">
        <v>0</v>
      </c>
    </row>
    <row r="159" spans="2:7" ht="13.7" customHeight="1" x14ac:dyDescent="0.25">
      <c r="E159" s="21" t="s">
        <v>487</v>
      </c>
      <c r="F159" s="68" t="s">
        <v>488</v>
      </c>
      <c r="G159" s="69">
        <v>0</v>
      </c>
    </row>
    <row r="160" spans="2:7" ht="13.7" customHeight="1" x14ac:dyDescent="0.25">
      <c r="E160" s="21" t="s">
        <v>489</v>
      </c>
      <c r="F160" s="68" t="s">
        <v>490</v>
      </c>
      <c r="G160" s="69">
        <v>1196</v>
      </c>
    </row>
    <row r="161" spans="5:7" ht="13.7" customHeight="1" x14ac:dyDescent="0.25">
      <c r="E161" s="21" t="s">
        <v>491</v>
      </c>
      <c r="F161" s="68" t="s">
        <v>492</v>
      </c>
      <c r="G161" s="69">
        <v>3635426</v>
      </c>
    </row>
    <row r="162" spans="5:7" ht="13.7" customHeight="1" x14ac:dyDescent="0.25">
      <c r="E162" s="21" t="s">
        <v>493</v>
      </c>
      <c r="F162" s="68" t="s">
        <v>494</v>
      </c>
      <c r="G162" s="69">
        <v>0</v>
      </c>
    </row>
    <row r="163" spans="5:7" ht="13.7" customHeight="1" x14ac:dyDescent="0.25">
      <c r="E163" s="21" t="s">
        <v>495</v>
      </c>
      <c r="F163" s="68" t="s">
        <v>496</v>
      </c>
      <c r="G163" s="69">
        <v>0</v>
      </c>
    </row>
    <row r="164" spans="5:7" ht="13.7" customHeight="1" x14ac:dyDescent="0.25">
      <c r="E164" s="21" t="s">
        <v>497</v>
      </c>
      <c r="F164" s="68" t="s">
        <v>498</v>
      </c>
      <c r="G164" s="69">
        <v>1222514</v>
      </c>
    </row>
    <row r="165" spans="5:7" ht="13.7" customHeight="1" x14ac:dyDescent="0.25">
      <c r="E165" s="21" t="s">
        <v>499</v>
      </c>
      <c r="F165" s="68" t="s">
        <v>500</v>
      </c>
      <c r="G165" s="69">
        <v>0</v>
      </c>
    </row>
    <row r="166" spans="5:7" ht="13.7" customHeight="1" x14ac:dyDescent="0.25">
      <c r="E166" s="21" t="s">
        <v>501</v>
      </c>
      <c r="F166" s="68" t="s">
        <v>502</v>
      </c>
      <c r="G166" s="69">
        <v>923735</v>
      </c>
    </row>
    <row r="167" spans="5:7" ht="13.7" customHeight="1" x14ac:dyDescent="0.25">
      <c r="E167" s="21" t="s">
        <v>503</v>
      </c>
      <c r="F167" s="19" t="s">
        <v>504</v>
      </c>
      <c r="G167" s="20">
        <v>1178405</v>
      </c>
    </row>
    <row r="168" spans="5:7" ht="13.7" customHeight="1" thickBot="1" x14ac:dyDescent="0.3">
      <c r="E168" s="21"/>
      <c r="F168" s="28" t="s">
        <v>505</v>
      </c>
      <c r="G168" s="37">
        <f>SUM(G155:G167)</f>
        <v>19694296</v>
      </c>
    </row>
    <row r="169" spans="5:7" ht="13.7" customHeight="1" thickBot="1" x14ac:dyDescent="0.3">
      <c r="E169" s="21"/>
      <c r="F169" s="48" t="s">
        <v>506</v>
      </c>
      <c r="G169" s="72">
        <f>G154-G168</f>
        <v>4934407</v>
      </c>
    </row>
    <row r="170" spans="5:7" ht="13.7" customHeight="1" thickBot="1" x14ac:dyDescent="0.3">
      <c r="E170" s="21"/>
      <c r="F170" s="78"/>
      <c r="G170" s="78"/>
    </row>
    <row r="171" spans="5:7" ht="13.7" customHeight="1" thickBot="1" x14ac:dyDescent="0.3">
      <c r="E171" s="21"/>
      <c r="F171" s="77" t="s">
        <v>507</v>
      </c>
      <c r="G171" s="79"/>
    </row>
    <row r="172" spans="5:7" ht="13.7" customHeight="1" thickBot="1" x14ac:dyDescent="0.3">
      <c r="E172" s="21"/>
      <c r="F172" s="80"/>
      <c r="G172" s="81">
        <f>+D155+G140+G169</f>
        <v>-602133</v>
      </c>
    </row>
    <row r="173" spans="5:7" ht="13.7" customHeight="1" thickBot="1" x14ac:dyDescent="0.3">
      <c r="E173" s="21"/>
      <c r="F173" s="5"/>
      <c r="G173" s="5"/>
    </row>
    <row r="174" spans="5:7" ht="13.7" customHeight="1" thickBot="1" x14ac:dyDescent="0.3">
      <c r="E174" s="21"/>
      <c r="F174" s="48" t="s">
        <v>508</v>
      </c>
      <c r="G174" s="17">
        <f>+G143</f>
        <v>2020</v>
      </c>
    </row>
    <row r="175" spans="5:7" ht="13.7" customHeight="1" x14ac:dyDescent="0.25">
      <c r="E175" s="21"/>
      <c r="F175" s="66" t="s">
        <v>509</v>
      </c>
      <c r="G175" s="67"/>
    </row>
    <row r="176" spans="5:7" ht="13.7" customHeight="1" x14ac:dyDescent="0.25">
      <c r="E176" s="21"/>
      <c r="F176" s="68" t="s">
        <v>510</v>
      </c>
      <c r="G176" s="69"/>
    </row>
    <row r="177" spans="1:8" ht="13.7" customHeight="1" thickBot="1" x14ac:dyDescent="0.3">
      <c r="F177" s="68" t="s">
        <v>511</v>
      </c>
      <c r="G177" s="69">
        <v>135623387.32677099</v>
      </c>
    </row>
    <row r="178" spans="1:8" ht="13.7" customHeight="1" thickBot="1" x14ac:dyDescent="0.3">
      <c r="F178" s="48" t="s">
        <v>512</v>
      </c>
      <c r="G178" s="72">
        <f>SUM(G175:G177)</f>
        <v>135623387.32677099</v>
      </c>
    </row>
    <row r="179" spans="1:8" ht="13.7" customHeight="1" thickBot="1" x14ac:dyDescent="0.3"/>
    <row r="180" spans="1:8" ht="13.7" customHeight="1" thickBot="1" x14ac:dyDescent="0.3">
      <c r="F180" s="77" t="s">
        <v>513</v>
      </c>
      <c r="G180" s="79"/>
    </row>
    <row r="181" spans="1:8" ht="13.7" customHeight="1" thickBot="1" x14ac:dyDescent="0.3">
      <c r="F181" s="83"/>
      <c r="G181" s="81">
        <f>+G172+G178</f>
        <v>135021254.32677099</v>
      </c>
    </row>
    <row r="182" spans="1:8" ht="13.7" customHeight="1" x14ac:dyDescent="0.25"/>
    <row r="183" spans="1:8" ht="13.5" customHeight="1" x14ac:dyDescent="0.25"/>
    <row r="184" spans="1:8" ht="13.7" customHeight="1" x14ac:dyDescent="0.25">
      <c r="E184" s="84"/>
      <c r="F184" s="84"/>
      <c r="G184" s="84"/>
      <c r="H184" s="84"/>
    </row>
    <row r="185" spans="1:8" s="84" customFormat="1" ht="13.7" customHeight="1" x14ac:dyDescent="0.25">
      <c r="A185" s="85"/>
      <c r="E185" s="82"/>
      <c r="F185" s="86"/>
      <c r="G185" s="86"/>
    </row>
    <row r="186" spans="1:8" s="84" customFormat="1" ht="12.75" x14ac:dyDescent="0.25">
      <c r="A186" s="85"/>
      <c r="E186" s="82"/>
      <c r="F186" s="86"/>
      <c r="G186" s="86"/>
    </row>
    <row r="187" spans="1:8" s="84" customFormat="1" ht="12.75" hidden="1" x14ac:dyDescent="0.25">
      <c r="A187" s="85"/>
      <c r="E187" s="82"/>
      <c r="F187" s="86"/>
      <c r="G187" s="86"/>
    </row>
    <row r="188" spans="1:8" s="84" customFormat="1" ht="12.75" hidden="1" x14ac:dyDescent="0.25">
      <c r="A188" s="85"/>
      <c r="E188" s="82"/>
      <c r="F188" s="86"/>
      <c r="G188" s="86"/>
    </row>
    <row r="189" spans="1:8" s="84" customFormat="1" ht="12.75" hidden="1" x14ac:dyDescent="0.25">
      <c r="A189" s="85"/>
      <c r="E189" s="82"/>
      <c r="F189" s="86"/>
      <c r="G189" s="86"/>
    </row>
    <row r="190" spans="1:8" s="84" customFormat="1" ht="12.75" hidden="1" x14ac:dyDescent="0.25">
      <c r="A190" s="85"/>
      <c r="E190" s="82"/>
      <c r="F190" s="86"/>
      <c r="G190" s="86"/>
    </row>
    <row r="191" spans="1:8" s="84" customFormat="1" ht="12.75" hidden="1" x14ac:dyDescent="0.25">
      <c r="A191" s="85"/>
      <c r="E191" s="82"/>
      <c r="F191" s="86"/>
      <c r="G191" s="86"/>
    </row>
    <row r="192" spans="1:8" s="84" customFormat="1" ht="12.75" hidden="1" x14ac:dyDescent="0.25">
      <c r="A192" s="85"/>
      <c r="E192" s="82"/>
      <c r="F192" s="86"/>
      <c r="G192" s="86"/>
    </row>
    <row r="193" spans="5:7" s="84" customFormat="1" ht="12.75" hidden="1" x14ac:dyDescent="0.25">
      <c r="E193" s="82"/>
      <c r="F193" s="86"/>
      <c r="G193" s="86"/>
    </row>
    <row r="194" spans="5:7" s="84" customFormat="1" ht="12.75" hidden="1" x14ac:dyDescent="0.25">
      <c r="E194" s="82"/>
      <c r="F194" s="86"/>
      <c r="G194" s="86"/>
    </row>
    <row r="195" spans="5:7" s="84" customFormat="1" ht="12.75" hidden="1" x14ac:dyDescent="0.25">
      <c r="E195" s="82"/>
      <c r="F195" s="86"/>
      <c r="G195" s="86"/>
    </row>
    <row r="196" spans="5:7" s="84" customFormat="1" ht="12.75" hidden="1" x14ac:dyDescent="0.25">
      <c r="E196" s="82"/>
      <c r="F196" s="86"/>
      <c r="G196" s="86"/>
    </row>
    <row r="197" spans="5:7" s="84" customFormat="1" ht="12.75" hidden="1" x14ac:dyDescent="0.25">
      <c r="E197" s="82"/>
      <c r="F197" s="86"/>
      <c r="G197" s="86"/>
    </row>
    <row r="198" spans="5:7" s="84" customFormat="1" ht="12.75" hidden="1" x14ac:dyDescent="0.25">
      <c r="E198" s="82"/>
      <c r="F198" s="86"/>
      <c r="G198" s="86"/>
    </row>
    <row r="199" spans="5:7" s="84" customFormat="1" ht="12.75" hidden="1" x14ac:dyDescent="0.25">
      <c r="E199" s="82"/>
      <c r="F199" s="86"/>
      <c r="G199" s="86"/>
    </row>
    <row r="200" spans="5:7" s="84" customFormat="1" ht="12.75" hidden="1" x14ac:dyDescent="0.25">
      <c r="E200" s="82"/>
      <c r="F200" s="86"/>
      <c r="G200" s="86"/>
    </row>
    <row r="201" spans="5:7" s="84" customFormat="1" ht="12.75" hidden="1" x14ac:dyDescent="0.25">
      <c r="E201" s="82"/>
      <c r="F201" s="86"/>
      <c r="G201" s="86"/>
    </row>
    <row r="202" spans="5:7" s="84" customFormat="1" ht="12.75" hidden="1" x14ac:dyDescent="0.25">
      <c r="E202" s="82"/>
      <c r="F202" s="86"/>
      <c r="G202" s="86"/>
    </row>
    <row r="203" spans="5:7" s="84" customFormat="1" ht="12.75" hidden="1" x14ac:dyDescent="0.25">
      <c r="E203" s="82"/>
      <c r="F203" s="86"/>
      <c r="G203" s="86"/>
    </row>
    <row r="204" spans="5:7" s="84" customFormat="1" ht="12.75" hidden="1" x14ac:dyDescent="0.25">
      <c r="E204" s="82"/>
      <c r="F204" s="86"/>
      <c r="G204" s="86"/>
    </row>
    <row r="205" spans="5:7" s="84" customFormat="1" ht="12.75" hidden="1" x14ac:dyDescent="0.25">
      <c r="E205" s="82"/>
      <c r="F205" s="86"/>
      <c r="G205" s="86"/>
    </row>
    <row r="206" spans="5:7" s="84" customFormat="1" ht="12.75" hidden="1" x14ac:dyDescent="0.25">
      <c r="E206" s="82"/>
      <c r="F206" s="86"/>
      <c r="G206" s="86"/>
    </row>
    <row r="207" spans="5:7" s="84" customFormat="1" ht="12.75" hidden="1" x14ac:dyDescent="0.25">
      <c r="E207" s="82"/>
      <c r="F207" s="86"/>
      <c r="G207" s="86"/>
    </row>
    <row r="208" spans="5:7" s="84" customFormat="1" ht="12.75" hidden="1" x14ac:dyDescent="0.25">
      <c r="E208" s="82"/>
      <c r="F208" s="86"/>
      <c r="G208" s="86"/>
    </row>
    <row r="209" spans="3:8" s="84" customFormat="1" ht="12.75" hidden="1" x14ac:dyDescent="0.25">
      <c r="E209" s="82"/>
      <c r="F209" s="86"/>
      <c r="G209" s="86"/>
    </row>
    <row r="210" spans="3:8" s="84" customFormat="1" ht="12.75" hidden="1" x14ac:dyDescent="0.25">
      <c r="E210" s="82"/>
      <c r="F210" s="86"/>
      <c r="G210" s="86"/>
    </row>
    <row r="211" spans="3:8" s="84" customFormat="1" ht="12.75" hidden="1" x14ac:dyDescent="0.25">
      <c r="E211" s="82"/>
      <c r="F211" s="86"/>
      <c r="G211" s="86"/>
    </row>
    <row r="212" spans="3:8" s="84" customFormat="1" ht="12.75" hidden="1" x14ac:dyDescent="0.25">
      <c r="E212" s="82"/>
      <c r="F212" s="86"/>
      <c r="G212" s="86"/>
    </row>
    <row r="213" spans="3:8" s="84" customFormat="1" ht="12.75" hidden="1" x14ac:dyDescent="0.25">
      <c r="E213" s="82"/>
      <c r="F213" s="86"/>
      <c r="G213" s="86"/>
    </row>
    <row r="214" spans="3:8" s="84" customFormat="1" hidden="1" x14ac:dyDescent="0.25">
      <c r="E214" s="82"/>
      <c r="F214" s="87"/>
      <c r="G214" s="58"/>
      <c r="H214" s="5"/>
    </row>
    <row r="215" spans="3:8" hidden="1" x14ac:dyDescent="0.25">
      <c r="C215" s="86"/>
      <c r="D215" s="86"/>
      <c r="F215" s="87"/>
    </row>
    <row r="216" spans="3:8" hidden="1" x14ac:dyDescent="0.25"/>
    <row r="217" spans="3:8" hidden="1" x14ac:dyDescent="0.25"/>
    <row r="218" spans="3:8" hidden="1" x14ac:dyDescent="0.25"/>
    <row r="219" spans="3:8" hidden="1" x14ac:dyDescent="0.25"/>
    <row r="220" spans="3:8" hidden="1" x14ac:dyDescent="0.25"/>
    <row r="221" spans="3:8" hidden="1" x14ac:dyDescent="0.25"/>
    <row r="222" spans="3:8" hidden="1" x14ac:dyDescent="0.25"/>
    <row r="223" spans="3:8" hidden="1" x14ac:dyDescent="0.25"/>
    <row r="224" spans="3:8"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sheetData>
  <mergeCells count="6">
    <mergeCell ref="C1:D1"/>
    <mergeCell ref="E1:F1"/>
    <mergeCell ref="C2:D2"/>
    <mergeCell ref="E2:F2"/>
    <mergeCell ref="C3:D3"/>
    <mergeCell ref="E3:F3"/>
  </mergeCells>
  <conditionalFormatting sqref="D7:D12">
    <cfRule type="cellIs" dxfId="329" priority="2" stopIfTrue="1" operator="greaterThan">
      <formula>50</formula>
    </cfRule>
    <cfRule type="cellIs" dxfId="328" priority="11" stopIfTrue="1" operator="equal">
      <formula>0</formula>
    </cfRule>
  </conditionalFormatting>
  <conditionalFormatting sqref="D7:D61">
    <cfRule type="cellIs" dxfId="327" priority="9" stopIfTrue="1" operator="between">
      <formula>-0.1</formula>
      <formula>-50</formula>
    </cfRule>
    <cfRule type="cellIs" dxfId="326" priority="10" stopIfTrue="1" operator="between">
      <formula>0.1</formula>
      <formula>50</formula>
    </cfRule>
  </conditionalFormatting>
  <conditionalFormatting sqref="G152:G181 G7:G150">
    <cfRule type="cellIs" dxfId="325" priority="7" stopIfTrue="1" operator="between">
      <formula>-0.1</formula>
      <formula>-50</formula>
    </cfRule>
    <cfRule type="cellIs" dxfId="324" priority="8" stopIfTrue="1" operator="between">
      <formula>0.1</formula>
      <formula>50</formula>
    </cfRule>
  </conditionalFormatting>
  <conditionalFormatting sqref="D111:D155">
    <cfRule type="cellIs" dxfId="323" priority="5" stopIfTrue="1" operator="between">
      <formula>-0.1</formula>
      <formula>-50</formula>
    </cfRule>
    <cfRule type="cellIs" dxfId="322" priority="6" stopIfTrue="1" operator="between">
      <formula>0.1</formula>
      <formula>50</formula>
    </cfRule>
  </conditionalFormatting>
  <conditionalFormatting sqref="G165">
    <cfRule type="expression" dxfId="321" priority="4" stopIfTrue="1">
      <formula>AND($G$165&gt;0,$G$151&gt;0)</formula>
    </cfRule>
  </conditionalFormatting>
  <conditionalFormatting sqref="G151">
    <cfRule type="expression" dxfId="320" priority="1" stopIfTrue="1">
      <formula>AND($G$151&gt;0,$G$165&gt;0)</formula>
    </cfRule>
  </conditionalFormatting>
  <dataValidations count="11">
    <dataValidation type="custom" operator="greaterThan" showInputMessage="1" showErrorMessage="1" errorTitle="RDM" error="No se admite ingresar RDM como ingresos y egresos a la vez. Tampoco se admiten valores menores a $50._x000a_" sqref="G151 JB151 SX151 ACT151 AMP151 AWL151 BGH151 BQD151 BZZ151 CJV151 CTR151 DDN151 DNJ151 DXF151 EHB151 EQX151 FAT151 FKP151 FUL151 GEH151 GOD151 GXZ151 HHV151 HRR151 IBN151 ILJ151 IVF151 JFB151 JOX151 JYT151 KIP151 KSL151 LCH151 LMD151 LVZ151 MFV151 MPR151 MZN151 NJJ151 NTF151 ODB151 OMX151 OWT151 PGP151 PQL151 QAH151 QKD151 QTZ151 RDV151 RNR151 RXN151 SHJ151 SRF151 TBB151 TKX151 TUT151 UEP151 UOL151 UYH151 VID151 VRZ151 WBV151 WLR151 WVN151 G65687 JB65687 SX65687 ACT65687 AMP65687 AWL65687 BGH65687 BQD65687 BZZ65687 CJV65687 CTR65687 DDN65687 DNJ65687 DXF65687 EHB65687 EQX65687 FAT65687 FKP65687 FUL65687 GEH65687 GOD65687 GXZ65687 HHV65687 HRR65687 IBN65687 ILJ65687 IVF65687 JFB65687 JOX65687 JYT65687 KIP65687 KSL65687 LCH65687 LMD65687 LVZ65687 MFV65687 MPR65687 MZN65687 NJJ65687 NTF65687 ODB65687 OMX65687 OWT65687 PGP65687 PQL65687 QAH65687 QKD65687 QTZ65687 RDV65687 RNR65687 RXN65687 SHJ65687 SRF65687 TBB65687 TKX65687 TUT65687 UEP65687 UOL65687 UYH65687 VID65687 VRZ65687 WBV65687 WLR65687 WVN65687 G131223 JB131223 SX131223 ACT131223 AMP131223 AWL131223 BGH131223 BQD131223 BZZ131223 CJV131223 CTR131223 DDN131223 DNJ131223 DXF131223 EHB131223 EQX131223 FAT131223 FKP131223 FUL131223 GEH131223 GOD131223 GXZ131223 HHV131223 HRR131223 IBN131223 ILJ131223 IVF131223 JFB131223 JOX131223 JYT131223 KIP131223 KSL131223 LCH131223 LMD131223 LVZ131223 MFV131223 MPR131223 MZN131223 NJJ131223 NTF131223 ODB131223 OMX131223 OWT131223 PGP131223 PQL131223 QAH131223 QKD131223 QTZ131223 RDV131223 RNR131223 RXN131223 SHJ131223 SRF131223 TBB131223 TKX131223 TUT131223 UEP131223 UOL131223 UYH131223 VID131223 VRZ131223 WBV131223 WLR131223 WVN131223 G196759 JB196759 SX196759 ACT196759 AMP196759 AWL196759 BGH196759 BQD196759 BZZ196759 CJV196759 CTR196759 DDN196759 DNJ196759 DXF196759 EHB196759 EQX196759 FAT196759 FKP196759 FUL196759 GEH196759 GOD196759 GXZ196759 HHV196759 HRR196759 IBN196759 ILJ196759 IVF196759 JFB196759 JOX196759 JYT196759 KIP196759 KSL196759 LCH196759 LMD196759 LVZ196759 MFV196759 MPR196759 MZN196759 NJJ196759 NTF196759 ODB196759 OMX196759 OWT196759 PGP196759 PQL196759 QAH196759 QKD196759 QTZ196759 RDV196759 RNR196759 RXN196759 SHJ196759 SRF196759 TBB196759 TKX196759 TUT196759 UEP196759 UOL196759 UYH196759 VID196759 VRZ196759 WBV196759 WLR196759 WVN196759 G262295 JB262295 SX262295 ACT262295 AMP262295 AWL262295 BGH262295 BQD262295 BZZ262295 CJV262295 CTR262295 DDN262295 DNJ262295 DXF262295 EHB262295 EQX262295 FAT262295 FKP262295 FUL262295 GEH262295 GOD262295 GXZ262295 HHV262295 HRR262295 IBN262295 ILJ262295 IVF262295 JFB262295 JOX262295 JYT262295 KIP262295 KSL262295 LCH262295 LMD262295 LVZ262295 MFV262295 MPR262295 MZN262295 NJJ262295 NTF262295 ODB262295 OMX262295 OWT262295 PGP262295 PQL262295 QAH262295 QKD262295 QTZ262295 RDV262295 RNR262295 RXN262295 SHJ262295 SRF262295 TBB262295 TKX262295 TUT262295 UEP262295 UOL262295 UYH262295 VID262295 VRZ262295 WBV262295 WLR262295 WVN262295 G327831 JB327831 SX327831 ACT327831 AMP327831 AWL327831 BGH327831 BQD327831 BZZ327831 CJV327831 CTR327831 DDN327831 DNJ327831 DXF327831 EHB327831 EQX327831 FAT327831 FKP327831 FUL327831 GEH327831 GOD327831 GXZ327831 HHV327831 HRR327831 IBN327831 ILJ327831 IVF327831 JFB327831 JOX327831 JYT327831 KIP327831 KSL327831 LCH327831 LMD327831 LVZ327831 MFV327831 MPR327831 MZN327831 NJJ327831 NTF327831 ODB327831 OMX327831 OWT327831 PGP327831 PQL327831 QAH327831 QKD327831 QTZ327831 RDV327831 RNR327831 RXN327831 SHJ327831 SRF327831 TBB327831 TKX327831 TUT327831 UEP327831 UOL327831 UYH327831 VID327831 VRZ327831 WBV327831 WLR327831 WVN327831 G393367 JB393367 SX393367 ACT393367 AMP393367 AWL393367 BGH393367 BQD393367 BZZ393367 CJV393367 CTR393367 DDN393367 DNJ393367 DXF393367 EHB393367 EQX393367 FAT393367 FKP393367 FUL393367 GEH393367 GOD393367 GXZ393367 HHV393367 HRR393367 IBN393367 ILJ393367 IVF393367 JFB393367 JOX393367 JYT393367 KIP393367 KSL393367 LCH393367 LMD393367 LVZ393367 MFV393367 MPR393367 MZN393367 NJJ393367 NTF393367 ODB393367 OMX393367 OWT393367 PGP393367 PQL393367 QAH393367 QKD393367 QTZ393367 RDV393367 RNR393367 RXN393367 SHJ393367 SRF393367 TBB393367 TKX393367 TUT393367 UEP393367 UOL393367 UYH393367 VID393367 VRZ393367 WBV393367 WLR393367 WVN393367 G458903 JB458903 SX458903 ACT458903 AMP458903 AWL458903 BGH458903 BQD458903 BZZ458903 CJV458903 CTR458903 DDN458903 DNJ458903 DXF458903 EHB458903 EQX458903 FAT458903 FKP458903 FUL458903 GEH458903 GOD458903 GXZ458903 HHV458903 HRR458903 IBN458903 ILJ458903 IVF458903 JFB458903 JOX458903 JYT458903 KIP458903 KSL458903 LCH458903 LMD458903 LVZ458903 MFV458903 MPR458903 MZN458903 NJJ458903 NTF458903 ODB458903 OMX458903 OWT458903 PGP458903 PQL458903 QAH458903 QKD458903 QTZ458903 RDV458903 RNR458903 RXN458903 SHJ458903 SRF458903 TBB458903 TKX458903 TUT458903 UEP458903 UOL458903 UYH458903 VID458903 VRZ458903 WBV458903 WLR458903 WVN458903 G524439 JB524439 SX524439 ACT524439 AMP524439 AWL524439 BGH524439 BQD524439 BZZ524439 CJV524439 CTR524439 DDN524439 DNJ524439 DXF524439 EHB524439 EQX524439 FAT524439 FKP524439 FUL524439 GEH524439 GOD524439 GXZ524439 HHV524439 HRR524439 IBN524439 ILJ524439 IVF524439 JFB524439 JOX524439 JYT524439 KIP524439 KSL524439 LCH524439 LMD524439 LVZ524439 MFV524439 MPR524439 MZN524439 NJJ524439 NTF524439 ODB524439 OMX524439 OWT524439 PGP524439 PQL524439 QAH524439 QKD524439 QTZ524439 RDV524439 RNR524439 RXN524439 SHJ524439 SRF524439 TBB524439 TKX524439 TUT524439 UEP524439 UOL524439 UYH524439 VID524439 VRZ524439 WBV524439 WLR524439 WVN524439 G589975 JB589975 SX589975 ACT589975 AMP589975 AWL589975 BGH589975 BQD589975 BZZ589975 CJV589975 CTR589975 DDN589975 DNJ589975 DXF589975 EHB589975 EQX589975 FAT589975 FKP589975 FUL589975 GEH589975 GOD589975 GXZ589975 HHV589975 HRR589975 IBN589975 ILJ589975 IVF589975 JFB589975 JOX589975 JYT589975 KIP589975 KSL589975 LCH589975 LMD589975 LVZ589975 MFV589975 MPR589975 MZN589975 NJJ589975 NTF589975 ODB589975 OMX589975 OWT589975 PGP589975 PQL589975 QAH589975 QKD589975 QTZ589975 RDV589975 RNR589975 RXN589975 SHJ589975 SRF589975 TBB589975 TKX589975 TUT589975 UEP589975 UOL589975 UYH589975 VID589975 VRZ589975 WBV589975 WLR589975 WVN589975 G655511 JB655511 SX655511 ACT655511 AMP655511 AWL655511 BGH655511 BQD655511 BZZ655511 CJV655511 CTR655511 DDN655511 DNJ655511 DXF655511 EHB655511 EQX655511 FAT655511 FKP655511 FUL655511 GEH655511 GOD655511 GXZ655511 HHV655511 HRR655511 IBN655511 ILJ655511 IVF655511 JFB655511 JOX655511 JYT655511 KIP655511 KSL655511 LCH655511 LMD655511 LVZ655511 MFV655511 MPR655511 MZN655511 NJJ655511 NTF655511 ODB655511 OMX655511 OWT655511 PGP655511 PQL655511 QAH655511 QKD655511 QTZ655511 RDV655511 RNR655511 RXN655511 SHJ655511 SRF655511 TBB655511 TKX655511 TUT655511 UEP655511 UOL655511 UYH655511 VID655511 VRZ655511 WBV655511 WLR655511 WVN655511 G721047 JB721047 SX721047 ACT721047 AMP721047 AWL721047 BGH721047 BQD721047 BZZ721047 CJV721047 CTR721047 DDN721047 DNJ721047 DXF721047 EHB721047 EQX721047 FAT721047 FKP721047 FUL721047 GEH721047 GOD721047 GXZ721047 HHV721047 HRR721047 IBN721047 ILJ721047 IVF721047 JFB721047 JOX721047 JYT721047 KIP721047 KSL721047 LCH721047 LMD721047 LVZ721047 MFV721047 MPR721047 MZN721047 NJJ721047 NTF721047 ODB721047 OMX721047 OWT721047 PGP721047 PQL721047 QAH721047 QKD721047 QTZ721047 RDV721047 RNR721047 RXN721047 SHJ721047 SRF721047 TBB721047 TKX721047 TUT721047 UEP721047 UOL721047 UYH721047 VID721047 VRZ721047 WBV721047 WLR721047 WVN721047 G786583 JB786583 SX786583 ACT786583 AMP786583 AWL786583 BGH786583 BQD786583 BZZ786583 CJV786583 CTR786583 DDN786583 DNJ786583 DXF786583 EHB786583 EQX786583 FAT786583 FKP786583 FUL786583 GEH786583 GOD786583 GXZ786583 HHV786583 HRR786583 IBN786583 ILJ786583 IVF786583 JFB786583 JOX786583 JYT786583 KIP786583 KSL786583 LCH786583 LMD786583 LVZ786583 MFV786583 MPR786583 MZN786583 NJJ786583 NTF786583 ODB786583 OMX786583 OWT786583 PGP786583 PQL786583 QAH786583 QKD786583 QTZ786583 RDV786583 RNR786583 RXN786583 SHJ786583 SRF786583 TBB786583 TKX786583 TUT786583 UEP786583 UOL786583 UYH786583 VID786583 VRZ786583 WBV786583 WLR786583 WVN786583 G852119 JB852119 SX852119 ACT852119 AMP852119 AWL852119 BGH852119 BQD852119 BZZ852119 CJV852119 CTR852119 DDN852119 DNJ852119 DXF852119 EHB852119 EQX852119 FAT852119 FKP852119 FUL852119 GEH852119 GOD852119 GXZ852119 HHV852119 HRR852119 IBN852119 ILJ852119 IVF852119 JFB852119 JOX852119 JYT852119 KIP852119 KSL852119 LCH852119 LMD852119 LVZ852119 MFV852119 MPR852119 MZN852119 NJJ852119 NTF852119 ODB852119 OMX852119 OWT852119 PGP852119 PQL852119 QAH852119 QKD852119 QTZ852119 RDV852119 RNR852119 RXN852119 SHJ852119 SRF852119 TBB852119 TKX852119 TUT852119 UEP852119 UOL852119 UYH852119 VID852119 VRZ852119 WBV852119 WLR852119 WVN852119 G917655 JB917655 SX917655 ACT917655 AMP917655 AWL917655 BGH917655 BQD917655 BZZ917655 CJV917655 CTR917655 DDN917655 DNJ917655 DXF917655 EHB917655 EQX917655 FAT917655 FKP917655 FUL917655 GEH917655 GOD917655 GXZ917655 HHV917655 HRR917655 IBN917655 ILJ917655 IVF917655 JFB917655 JOX917655 JYT917655 KIP917655 KSL917655 LCH917655 LMD917655 LVZ917655 MFV917655 MPR917655 MZN917655 NJJ917655 NTF917655 ODB917655 OMX917655 OWT917655 PGP917655 PQL917655 QAH917655 QKD917655 QTZ917655 RDV917655 RNR917655 RXN917655 SHJ917655 SRF917655 TBB917655 TKX917655 TUT917655 UEP917655 UOL917655 UYH917655 VID917655 VRZ917655 WBV917655 WLR917655 WVN917655 G983191 JB983191 SX983191 ACT983191 AMP983191 AWL983191 BGH983191 BQD983191 BZZ983191 CJV983191 CTR983191 DDN983191 DNJ983191 DXF983191 EHB983191 EQX983191 FAT983191 FKP983191 FUL983191 GEH983191 GOD983191 GXZ983191 HHV983191 HRR983191 IBN983191 ILJ983191 IVF983191 JFB983191 JOX983191 JYT983191 KIP983191 KSL983191 LCH983191 LMD983191 LVZ983191 MFV983191 MPR983191 MZN983191 NJJ983191 NTF983191 ODB983191 OMX983191 OWT983191 PGP983191 PQL983191 QAH983191 QKD983191 QTZ983191 RDV983191 RNR983191 RXN983191 SHJ983191 SRF983191 TBB983191 TKX983191 TUT983191 UEP983191 UOL983191 UYH983191 VID983191 VRZ983191 WBV983191 WLR983191 WVN983191">
      <formula1>AND(OR(G151=0, G151&gt;50),G165=0)</formula1>
    </dataValidation>
    <dataValidation type="whole" operator="greaterThan" allowBlank="1" showInputMessage="1" showErrorMessage="1" sqref="D8:D12 IX8:IX12 ST8:ST12 ACP8:ACP12 AML8:AML12 AWH8:AWH12 BGD8:BGD12 BPZ8:BPZ12 BZV8:BZV12 CJR8:CJR12 CTN8:CTN12 DDJ8:DDJ12 DNF8:DNF12 DXB8:DXB12 EGX8:EGX12 EQT8:EQT12 FAP8:FAP12 FKL8:FKL12 FUH8:FUH12 GED8:GED12 GNZ8:GNZ12 GXV8:GXV12 HHR8:HHR12 HRN8:HRN12 IBJ8:IBJ12 ILF8:ILF12 IVB8:IVB12 JEX8:JEX12 JOT8:JOT12 JYP8:JYP12 KIL8:KIL12 KSH8:KSH12 LCD8:LCD12 LLZ8:LLZ12 LVV8:LVV12 MFR8:MFR12 MPN8:MPN12 MZJ8:MZJ12 NJF8:NJF12 NTB8:NTB12 OCX8:OCX12 OMT8:OMT12 OWP8:OWP12 PGL8:PGL12 PQH8:PQH12 QAD8:QAD12 QJZ8:QJZ12 QTV8:QTV12 RDR8:RDR12 RNN8:RNN12 RXJ8:RXJ12 SHF8:SHF12 SRB8:SRB12 TAX8:TAX12 TKT8:TKT12 TUP8:TUP12 UEL8:UEL12 UOH8:UOH12 UYD8:UYD12 VHZ8:VHZ12 VRV8:VRV12 WBR8:WBR12 WLN8:WLN12 WVJ8:WVJ12 D65544:D65548 IX65544:IX65548 ST65544:ST65548 ACP65544:ACP65548 AML65544:AML65548 AWH65544:AWH65548 BGD65544:BGD65548 BPZ65544:BPZ65548 BZV65544:BZV65548 CJR65544:CJR65548 CTN65544:CTN65548 DDJ65544:DDJ65548 DNF65544:DNF65548 DXB65544:DXB65548 EGX65544:EGX65548 EQT65544:EQT65548 FAP65544:FAP65548 FKL65544:FKL65548 FUH65544:FUH65548 GED65544:GED65548 GNZ65544:GNZ65548 GXV65544:GXV65548 HHR65544:HHR65548 HRN65544:HRN65548 IBJ65544:IBJ65548 ILF65544:ILF65548 IVB65544:IVB65548 JEX65544:JEX65548 JOT65544:JOT65548 JYP65544:JYP65548 KIL65544:KIL65548 KSH65544:KSH65548 LCD65544:LCD65548 LLZ65544:LLZ65548 LVV65544:LVV65548 MFR65544:MFR65548 MPN65544:MPN65548 MZJ65544:MZJ65548 NJF65544:NJF65548 NTB65544:NTB65548 OCX65544:OCX65548 OMT65544:OMT65548 OWP65544:OWP65548 PGL65544:PGL65548 PQH65544:PQH65548 QAD65544:QAD65548 QJZ65544:QJZ65548 QTV65544:QTV65548 RDR65544:RDR65548 RNN65544:RNN65548 RXJ65544:RXJ65548 SHF65544:SHF65548 SRB65544:SRB65548 TAX65544:TAX65548 TKT65544:TKT65548 TUP65544:TUP65548 UEL65544:UEL65548 UOH65544:UOH65548 UYD65544:UYD65548 VHZ65544:VHZ65548 VRV65544:VRV65548 WBR65544:WBR65548 WLN65544:WLN65548 WVJ65544:WVJ65548 D131080:D131084 IX131080:IX131084 ST131080:ST131084 ACP131080:ACP131084 AML131080:AML131084 AWH131080:AWH131084 BGD131080:BGD131084 BPZ131080:BPZ131084 BZV131080:BZV131084 CJR131080:CJR131084 CTN131080:CTN131084 DDJ131080:DDJ131084 DNF131080:DNF131084 DXB131080:DXB131084 EGX131080:EGX131084 EQT131080:EQT131084 FAP131080:FAP131084 FKL131080:FKL131084 FUH131080:FUH131084 GED131080:GED131084 GNZ131080:GNZ131084 GXV131080:GXV131084 HHR131080:HHR131084 HRN131080:HRN131084 IBJ131080:IBJ131084 ILF131080:ILF131084 IVB131080:IVB131084 JEX131080:JEX131084 JOT131080:JOT131084 JYP131080:JYP131084 KIL131080:KIL131084 KSH131080:KSH131084 LCD131080:LCD131084 LLZ131080:LLZ131084 LVV131080:LVV131084 MFR131080:MFR131084 MPN131080:MPN131084 MZJ131080:MZJ131084 NJF131080:NJF131084 NTB131080:NTB131084 OCX131080:OCX131084 OMT131080:OMT131084 OWP131080:OWP131084 PGL131080:PGL131084 PQH131080:PQH131084 QAD131080:QAD131084 QJZ131080:QJZ131084 QTV131080:QTV131084 RDR131080:RDR131084 RNN131080:RNN131084 RXJ131080:RXJ131084 SHF131080:SHF131084 SRB131080:SRB131084 TAX131080:TAX131084 TKT131080:TKT131084 TUP131080:TUP131084 UEL131080:UEL131084 UOH131080:UOH131084 UYD131080:UYD131084 VHZ131080:VHZ131084 VRV131080:VRV131084 WBR131080:WBR131084 WLN131080:WLN131084 WVJ131080:WVJ131084 D196616:D196620 IX196616:IX196620 ST196616:ST196620 ACP196616:ACP196620 AML196616:AML196620 AWH196616:AWH196620 BGD196616:BGD196620 BPZ196616:BPZ196620 BZV196616:BZV196620 CJR196616:CJR196620 CTN196616:CTN196620 DDJ196616:DDJ196620 DNF196616:DNF196620 DXB196616:DXB196620 EGX196616:EGX196620 EQT196616:EQT196620 FAP196616:FAP196620 FKL196616:FKL196620 FUH196616:FUH196620 GED196616:GED196620 GNZ196616:GNZ196620 GXV196616:GXV196620 HHR196616:HHR196620 HRN196616:HRN196620 IBJ196616:IBJ196620 ILF196616:ILF196620 IVB196616:IVB196620 JEX196616:JEX196620 JOT196616:JOT196620 JYP196616:JYP196620 KIL196616:KIL196620 KSH196616:KSH196620 LCD196616:LCD196620 LLZ196616:LLZ196620 LVV196616:LVV196620 MFR196616:MFR196620 MPN196616:MPN196620 MZJ196616:MZJ196620 NJF196616:NJF196620 NTB196616:NTB196620 OCX196616:OCX196620 OMT196616:OMT196620 OWP196616:OWP196620 PGL196616:PGL196620 PQH196616:PQH196620 QAD196616:QAD196620 QJZ196616:QJZ196620 QTV196616:QTV196620 RDR196616:RDR196620 RNN196616:RNN196620 RXJ196616:RXJ196620 SHF196616:SHF196620 SRB196616:SRB196620 TAX196616:TAX196620 TKT196616:TKT196620 TUP196616:TUP196620 UEL196616:UEL196620 UOH196616:UOH196620 UYD196616:UYD196620 VHZ196616:VHZ196620 VRV196616:VRV196620 WBR196616:WBR196620 WLN196616:WLN196620 WVJ196616:WVJ196620 D262152:D262156 IX262152:IX262156 ST262152:ST262156 ACP262152:ACP262156 AML262152:AML262156 AWH262152:AWH262156 BGD262152:BGD262156 BPZ262152:BPZ262156 BZV262152:BZV262156 CJR262152:CJR262156 CTN262152:CTN262156 DDJ262152:DDJ262156 DNF262152:DNF262156 DXB262152:DXB262156 EGX262152:EGX262156 EQT262152:EQT262156 FAP262152:FAP262156 FKL262152:FKL262156 FUH262152:FUH262156 GED262152:GED262156 GNZ262152:GNZ262156 GXV262152:GXV262156 HHR262152:HHR262156 HRN262152:HRN262156 IBJ262152:IBJ262156 ILF262152:ILF262156 IVB262152:IVB262156 JEX262152:JEX262156 JOT262152:JOT262156 JYP262152:JYP262156 KIL262152:KIL262156 KSH262152:KSH262156 LCD262152:LCD262156 LLZ262152:LLZ262156 LVV262152:LVV262156 MFR262152:MFR262156 MPN262152:MPN262156 MZJ262152:MZJ262156 NJF262152:NJF262156 NTB262152:NTB262156 OCX262152:OCX262156 OMT262152:OMT262156 OWP262152:OWP262156 PGL262152:PGL262156 PQH262152:PQH262156 QAD262152:QAD262156 QJZ262152:QJZ262156 QTV262152:QTV262156 RDR262152:RDR262156 RNN262152:RNN262156 RXJ262152:RXJ262156 SHF262152:SHF262156 SRB262152:SRB262156 TAX262152:TAX262156 TKT262152:TKT262156 TUP262152:TUP262156 UEL262152:UEL262156 UOH262152:UOH262156 UYD262152:UYD262156 VHZ262152:VHZ262156 VRV262152:VRV262156 WBR262152:WBR262156 WLN262152:WLN262156 WVJ262152:WVJ262156 D327688:D327692 IX327688:IX327692 ST327688:ST327692 ACP327688:ACP327692 AML327688:AML327692 AWH327688:AWH327692 BGD327688:BGD327692 BPZ327688:BPZ327692 BZV327688:BZV327692 CJR327688:CJR327692 CTN327688:CTN327692 DDJ327688:DDJ327692 DNF327688:DNF327692 DXB327688:DXB327692 EGX327688:EGX327692 EQT327688:EQT327692 FAP327688:FAP327692 FKL327688:FKL327692 FUH327688:FUH327692 GED327688:GED327692 GNZ327688:GNZ327692 GXV327688:GXV327692 HHR327688:HHR327692 HRN327688:HRN327692 IBJ327688:IBJ327692 ILF327688:ILF327692 IVB327688:IVB327692 JEX327688:JEX327692 JOT327688:JOT327692 JYP327688:JYP327692 KIL327688:KIL327692 KSH327688:KSH327692 LCD327688:LCD327692 LLZ327688:LLZ327692 LVV327688:LVV327692 MFR327688:MFR327692 MPN327688:MPN327692 MZJ327688:MZJ327692 NJF327688:NJF327692 NTB327688:NTB327692 OCX327688:OCX327692 OMT327688:OMT327692 OWP327688:OWP327692 PGL327688:PGL327692 PQH327688:PQH327692 QAD327688:QAD327692 QJZ327688:QJZ327692 QTV327688:QTV327692 RDR327688:RDR327692 RNN327688:RNN327692 RXJ327688:RXJ327692 SHF327688:SHF327692 SRB327688:SRB327692 TAX327688:TAX327692 TKT327688:TKT327692 TUP327688:TUP327692 UEL327688:UEL327692 UOH327688:UOH327692 UYD327688:UYD327692 VHZ327688:VHZ327692 VRV327688:VRV327692 WBR327688:WBR327692 WLN327688:WLN327692 WVJ327688:WVJ327692 D393224:D393228 IX393224:IX393228 ST393224:ST393228 ACP393224:ACP393228 AML393224:AML393228 AWH393224:AWH393228 BGD393224:BGD393228 BPZ393224:BPZ393228 BZV393224:BZV393228 CJR393224:CJR393228 CTN393224:CTN393228 DDJ393224:DDJ393228 DNF393224:DNF393228 DXB393224:DXB393228 EGX393224:EGX393228 EQT393224:EQT393228 FAP393224:FAP393228 FKL393224:FKL393228 FUH393224:FUH393228 GED393224:GED393228 GNZ393224:GNZ393228 GXV393224:GXV393228 HHR393224:HHR393228 HRN393224:HRN393228 IBJ393224:IBJ393228 ILF393224:ILF393228 IVB393224:IVB393228 JEX393224:JEX393228 JOT393224:JOT393228 JYP393224:JYP393228 KIL393224:KIL393228 KSH393224:KSH393228 LCD393224:LCD393228 LLZ393224:LLZ393228 LVV393224:LVV393228 MFR393224:MFR393228 MPN393224:MPN393228 MZJ393224:MZJ393228 NJF393224:NJF393228 NTB393224:NTB393228 OCX393224:OCX393228 OMT393224:OMT393228 OWP393224:OWP393228 PGL393224:PGL393228 PQH393224:PQH393228 QAD393224:QAD393228 QJZ393224:QJZ393228 QTV393224:QTV393228 RDR393224:RDR393228 RNN393224:RNN393228 RXJ393224:RXJ393228 SHF393224:SHF393228 SRB393224:SRB393228 TAX393224:TAX393228 TKT393224:TKT393228 TUP393224:TUP393228 UEL393224:UEL393228 UOH393224:UOH393228 UYD393224:UYD393228 VHZ393224:VHZ393228 VRV393224:VRV393228 WBR393224:WBR393228 WLN393224:WLN393228 WVJ393224:WVJ393228 D458760:D458764 IX458760:IX458764 ST458760:ST458764 ACP458760:ACP458764 AML458760:AML458764 AWH458760:AWH458764 BGD458760:BGD458764 BPZ458760:BPZ458764 BZV458760:BZV458764 CJR458760:CJR458764 CTN458760:CTN458764 DDJ458760:DDJ458764 DNF458760:DNF458764 DXB458760:DXB458764 EGX458760:EGX458764 EQT458760:EQT458764 FAP458760:FAP458764 FKL458760:FKL458764 FUH458760:FUH458764 GED458760:GED458764 GNZ458760:GNZ458764 GXV458760:GXV458764 HHR458760:HHR458764 HRN458760:HRN458764 IBJ458760:IBJ458764 ILF458760:ILF458764 IVB458760:IVB458764 JEX458760:JEX458764 JOT458760:JOT458764 JYP458760:JYP458764 KIL458760:KIL458764 KSH458760:KSH458764 LCD458760:LCD458764 LLZ458760:LLZ458764 LVV458760:LVV458764 MFR458760:MFR458764 MPN458760:MPN458764 MZJ458760:MZJ458764 NJF458760:NJF458764 NTB458760:NTB458764 OCX458760:OCX458764 OMT458760:OMT458764 OWP458760:OWP458764 PGL458760:PGL458764 PQH458760:PQH458764 QAD458760:QAD458764 QJZ458760:QJZ458764 QTV458760:QTV458764 RDR458760:RDR458764 RNN458760:RNN458764 RXJ458760:RXJ458764 SHF458760:SHF458764 SRB458760:SRB458764 TAX458760:TAX458764 TKT458760:TKT458764 TUP458760:TUP458764 UEL458760:UEL458764 UOH458760:UOH458764 UYD458760:UYD458764 VHZ458760:VHZ458764 VRV458760:VRV458764 WBR458760:WBR458764 WLN458760:WLN458764 WVJ458760:WVJ458764 D524296:D524300 IX524296:IX524300 ST524296:ST524300 ACP524296:ACP524300 AML524296:AML524300 AWH524296:AWH524300 BGD524296:BGD524300 BPZ524296:BPZ524300 BZV524296:BZV524300 CJR524296:CJR524300 CTN524296:CTN524300 DDJ524296:DDJ524300 DNF524296:DNF524300 DXB524296:DXB524300 EGX524296:EGX524300 EQT524296:EQT524300 FAP524296:FAP524300 FKL524296:FKL524300 FUH524296:FUH524300 GED524296:GED524300 GNZ524296:GNZ524300 GXV524296:GXV524300 HHR524296:HHR524300 HRN524296:HRN524300 IBJ524296:IBJ524300 ILF524296:ILF524300 IVB524296:IVB524300 JEX524296:JEX524300 JOT524296:JOT524300 JYP524296:JYP524300 KIL524296:KIL524300 KSH524296:KSH524300 LCD524296:LCD524300 LLZ524296:LLZ524300 LVV524296:LVV524300 MFR524296:MFR524300 MPN524296:MPN524300 MZJ524296:MZJ524300 NJF524296:NJF524300 NTB524296:NTB524300 OCX524296:OCX524300 OMT524296:OMT524300 OWP524296:OWP524300 PGL524296:PGL524300 PQH524296:PQH524300 QAD524296:QAD524300 QJZ524296:QJZ524300 QTV524296:QTV524300 RDR524296:RDR524300 RNN524296:RNN524300 RXJ524296:RXJ524300 SHF524296:SHF524300 SRB524296:SRB524300 TAX524296:TAX524300 TKT524296:TKT524300 TUP524296:TUP524300 UEL524296:UEL524300 UOH524296:UOH524300 UYD524296:UYD524300 VHZ524296:VHZ524300 VRV524296:VRV524300 WBR524296:WBR524300 WLN524296:WLN524300 WVJ524296:WVJ524300 D589832:D589836 IX589832:IX589836 ST589832:ST589836 ACP589832:ACP589836 AML589832:AML589836 AWH589832:AWH589836 BGD589832:BGD589836 BPZ589832:BPZ589836 BZV589832:BZV589836 CJR589832:CJR589836 CTN589832:CTN589836 DDJ589832:DDJ589836 DNF589832:DNF589836 DXB589832:DXB589836 EGX589832:EGX589836 EQT589832:EQT589836 FAP589832:FAP589836 FKL589832:FKL589836 FUH589832:FUH589836 GED589832:GED589836 GNZ589832:GNZ589836 GXV589832:GXV589836 HHR589832:HHR589836 HRN589832:HRN589836 IBJ589832:IBJ589836 ILF589832:ILF589836 IVB589832:IVB589836 JEX589832:JEX589836 JOT589832:JOT589836 JYP589832:JYP589836 KIL589832:KIL589836 KSH589832:KSH589836 LCD589832:LCD589836 LLZ589832:LLZ589836 LVV589832:LVV589836 MFR589832:MFR589836 MPN589832:MPN589836 MZJ589832:MZJ589836 NJF589832:NJF589836 NTB589832:NTB589836 OCX589832:OCX589836 OMT589832:OMT589836 OWP589832:OWP589836 PGL589832:PGL589836 PQH589832:PQH589836 QAD589832:QAD589836 QJZ589832:QJZ589836 QTV589832:QTV589836 RDR589832:RDR589836 RNN589832:RNN589836 RXJ589832:RXJ589836 SHF589832:SHF589836 SRB589832:SRB589836 TAX589832:TAX589836 TKT589832:TKT589836 TUP589832:TUP589836 UEL589832:UEL589836 UOH589832:UOH589836 UYD589832:UYD589836 VHZ589832:VHZ589836 VRV589832:VRV589836 WBR589832:WBR589836 WLN589832:WLN589836 WVJ589832:WVJ589836 D655368:D655372 IX655368:IX655372 ST655368:ST655372 ACP655368:ACP655372 AML655368:AML655372 AWH655368:AWH655372 BGD655368:BGD655372 BPZ655368:BPZ655372 BZV655368:BZV655372 CJR655368:CJR655372 CTN655368:CTN655372 DDJ655368:DDJ655372 DNF655368:DNF655372 DXB655368:DXB655372 EGX655368:EGX655372 EQT655368:EQT655372 FAP655368:FAP655372 FKL655368:FKL655372 FUH655368:FUH655372 GED655368:GED655372 GNZ655368:GNZ655372 GXV655368:GXV655372 HHR655368:HHR655372 HRN655368:HRN655372 IBJ655368:IBJ655372 ILF655368:ILF655372 IVB655368:IVB655372 JEX655368:JEX655372 JOT655368:JOT655372 JYP655368:JYP655372 KIL655368:KIL655372 KSH655368:KSH655372 LCD655368:LCD655372 LLZ655368:LLZ655372 LVV655368:LVV655372 MFR655368:MFR655372 MPN655368:MPN655372 MZJ655368:MZJ655372 NJF655368:NJF655372 NTB655368:NTB655372 OCX655368:OCX655372 OMT655368:OMT655372 OWP655368:OWP655372 PGL655368:PGL655372 PQH655368:PQH655372 QAD655368:QAD655372 QJZ655368:QJZ655372 QTV655368:QTV655372 RDR655368:RDR655372 RNN655368:RNN655372 RXJ655368:RXJ655372 SHF655368:SHF655372 SRB655368:SRB655372 TAX655368:TAX655372 TKT655368:TKT655372 TUP655368:TUP655372 UEL655368:UEL655372 UOH655368:UOH655372 UYD655368:UYD655372 VHZ655368:VHZ655372 VRV655368:VRV655372 WBR655368:WBR655372 WLN655368:WLN655372 WVJ655368:WVJ655372 D720904:D720908 IX720904:IX720908 ST720904:ST720908 ACP720904:ACP720908 AML720904:AML720908 AWH720904:AWH720908 BGD720904:BGD720908 BPZ720904:BPZ720908 BZV720904:BZV720908 CJR720904:CJR720908 CTN720904:CTN720908 DDJ720904:DDJ720908 DNF720904:DNF720908 DXB720904:DXB720908 EGX720904:EGX720908 EQT720904:EQT720908 FAP720904:FAP720908 FKL720904:FKL720908 FUH720904:FUH720908 GED720904:GED720908 GNZ720904:GNZ720908 GXV720904:GXV720908 HHR720904:HHR720908 HRN720904:HRN720908 IBJ720904:IBJ720908 ILF720904:ILF720908 IVB720904:IVB720908 JEX720904:JEX720908 JOT720904:JOT720908 JYP720904:JYP720908 KIL720904:KIL720908 KSH720904:KSH720908 LCD720904:LCD720908 LLZ720904:LLZ720908 LVV720904:LVV720908 MFR720904:MFR720908 MPN720904:MPN720908 MZJ720904:MZJ720908 NJF720904:NJF720908 NTB720904:NTB720908 OCX720904:OCX720908 OMT720904:OMT720908 OWP720904:OWP720908 PGL720904:PGL720908 PQH720904:PQH720908 QAD720904:QAD720908 QJZ720904:QJZ720908 QTV720904:QTV720908 RDR720904:RDR720908 RNN720904:RNN720908 RXJ720904:RXJ720908 SHF720904:SHF720908 SRB720904:SRB720908 TAX720904:TAX720908 TKT720904:TKT720908 TUP720904:TUP720908 UEL720904:UEL720908 UOH720904:UOH720908 UYD720904:UYD720908 VHZ720904:VHZ720908 VRV720904:VRV720908 WBR720904:WBR720908 WLN720904:WLN720908 WVJ720904:WVJ720908 D786440:D786444 IX786440:IX786444 ST786440:ST786444 ACP786440:ACP786444 AML786440:AML786444 AWH786440:AWH786444 BGD786440:BGD786444 BPZ786440:BPZ786444 BZV786440:BZV786444 CJR786440:CJR786444 CTN786440:CTN786444 DDJ786440:DDJ786444 DNF786440:DNF786444 DXB786440:DXB786444 EGX786440:EGX786444 EQT786440:EQT786444 FAP786440:FAP786444 FKL786440:FKL786444 FUH786440:FUH786444 GED786440:GED786444 GNZ786440:GNZ786444 GXV786440:GXV786444 HHR786440:HHR786444 HRN786440:HRN786444 IBJ786440:IBJ786444 ILF786440:ILF786444 IVB786440:IVB786444 JEX786440:JEX786444 JOT786440:JOT786444 JYP786440:JYP786444 KIL786440:KIL786444 KSH786440:KSH786444 LCD786440:LCD786444 LLZ786440:LLZ786444 LVV786440:LVV786444 MFR786440:MFR786444 MPN786440:MPN786444 MZJ786440:MZJ786444 NJF786440:NJF786444 NTB786440:NTB786444 OCX786440:OCX786444 OMT786440:OMT786444 OWP786440:OWP786444 PGL786440:PGL786444 PQH786440:PQH786444 QAD786440:QAD786444 QJZ786440:QJZ786444 QTV786440:QTV786444 RDR786440:RDR786444 RNN786440:RNN786444 RXJ786440:RXJ786444 SHF786440:SHF786444 SRB786440:SRB786444 TAX786440:TAX786444 TKT786440:TKT786444 TUP786440:TUP786444 UEL786440:UEL786444 UOH786440:UOH786444 UYD786440:UYD786444 VHZ786440:VHZ786444 VRV786440:VRV786444 WBR786440:WBR786444 WLN786440:WLN786444 WVJ786440:WVJ786444 D851976:D851980 IX851976:IX851980 ST851976:ST851980 ACP851976:ACP851980 AML851976:AML851980 AWH851976:AWH851980 BGD851976:BGD851980 BPZ851976:BPZ851980 BZV851976:BZV851980 CJR851976:CJR851980 CTN851976:CTN851980 DDJ851976:DDJ851980 DNF851976:DNF851980 DXB851976:DXB851980 EGX851976:EGX851980 EQT851976:EQT851980 FAP851976:FAP851980 FKL851976:FKL851980 FUH851976:FUH851980 GED851976:GED851980 GNZ851976:GNZ851980 GXV851976:GXV851980 HHR851976:HHR851980 HRN851976:HRN851980 IBJ851976:IBJ851980 ILF851976:ILF851980 IVB851976:IVB851980 JEX851976:JEX851980 JOT851976:JOT851980 JYP851976:JYP851980 KIL851976:KIL851980 KSH851976:KSH851980 LCD851976:LCD851980 LLZ851976:LLZ851980 LVV851976:LVV851980 MFR851976:MFR851980 MPN851976:MPN851980 MZJ851976:MZJ851980 NJF851976:NJF851980 NTB851976:NTB851980 OCX851976:OCX851980 OMT851976:OMT851980 OWP851976:OWP851980 PGL851976:PGL851980 PQH851976:PQH851980 QAD851976:QAD851980 QJZ851976:QJZ851980 QTV851976:QTV851980 RDR851976:RDR851980 RNN851976:RNN851980 RXJ851976:RXJ851980 SHF851976:SHF851980 SRB851976:SRB851980 TAX851976:TAX851980 TKT851976:TKT851980 TUP851976:TUP851980 UEL851976:UEL851980 UOH851976:UOH851980 UYD851976:UYD851980 VHZ851976:VHZ851980 VRV851976:VRV851980 WBR851976:WBR851980 WLN851976:WLN851980 WVJ851976:WVJ851980 D917512:D917516 IX917512:IX917516 ST917512:ST917516 ACP917512:ACP917516 AML917512:AML917516 AWH917512:AWH917516 BGD917512:BGD917516 BPZ917512:BPZ917516 BZV917512:BZV917516 CJR917512:CJR917516 CTN917512:CTN917516 DDJ917512:DDJ917516 DNF917512:DNF917516 DXB917512:DXB917516 EGX917512:EGX917516 EQT917512:EQT917516 FAP917512:FAP917516 FKL917512:FKL917516 FUH917512:FUH917516 GED917512:GED917516 GNZ917512:GNZ917516 GXV917512:GXV917516 HHR917512:HHR917516 HRN917512:HRN917516 IBJ917512:IBJ917516 ILF917512:ILF917516 IVB917512:IVB917516 JEX917512:JEX917516 JOT917512:JOT917516 JYP917512:JYP917516 KIL917512:KIL917516 KSH917512:KSH917516 LCD917512:LCD917516 LLZ917512:LLZ917516 LVV917512:LVV917516 MFR917512:MFR917516 MPN917512:MPN917516 MZJ917512:MZJ917516 NJF917512:NJF917516 NTB917512:NTB917516 OCX917512:OCX917516 OMT917512:OMT917516 OWP917512:OWP917516 PGL917512:PGL917516 PQH917512:PQH917516 QAD917512:QAD917516 QJZ917512:QJZ917516 QTV917512:QTV917516 RDR917512:RDR917516 RNN917512:RNN917516 RXJ917512:RXJ917516 SHF917512:SHF917516 SRB917512:SRB917516 TAX917512:TAX917516 TKT917512:TKT917516 TUP917512:TUP917516 UEL917512:UEL917516 UOH917512:UOH917516 UYD917512:UYD917516 VHZ917512:VHZ917516 VRV917512:VRV917516 WBR917512:WBR917516 WLN917512:WLN917516 WVJ917512:WVJ917516 D983048:D983052 IX983048:IX983052 ST983048:ST983052 ACP983048:ACP983052 AML983048:AML983052 AWH983048:AWH983052 BGD983048:BGD983052 BPZ983048:BPZ983052 BZV983048:BZV983052 CJR983048:CJR983052 CTN983048:CTN983052 DDJ983048:DDJ983052 DNF983048:DNF983052 DXB983048:DXB983052 EGX983048:EGX983052 EQT983048:EQT983052 FAP983048:FAP983052 FKL983048:FKL983052 FUH983048:FUH983052 GED983048:GED983052 GNZ983048:GNZ983052 GXV983048:GXV983052 HHR983048:HHR983052 HRN983048:HRN983052 IBJ983048:IBJ983052 ILF983048:ILF983052 IVB983048:IVB983052 JEX983048:JEX983052 JOT983048:JOT983052 JYP983048:JYP983052 KIL983048:KIL983052 KSH983048:KSH983052 LCD983048:LCD983052 LLZ983048:LLZ983052 LVV983048:LVV983052 MFR983048:MFR983052 MPN983048:MPN983052 MZJ983048:MZJ983052 NJF983048:NJF983052 NTB983048:NTB983052 OCX983048:OCX983052 OMT983048:OMT983052 OWP983048:OWP983052 PGL983048:PGL983052 PQH983048:PQH983052 QAD983048:QAD983052 QJZ983048:QJZ983052 QTV983048:QTV983052 RDR983048:RDR983052 RNN983048:RNN983052 RXJ983048:RXJ983052 SHF983048:SHF983052 SRB983048:SRB983052 TAX983048:TAX983052 TKT983048:TKT983052 TUP983048:TUP983052 UEL983048:UEL983052 UOH983048:UOH983052 UYD983048:UYD983052 VHZ983048:VHZ983052 VRV983048:VRV983052 WBR983048:WBR983052 WLN983048:WLN983052 WVJ983048:WVJ983052 IY7:IY12 SU7:SU12 ACQ7:ACQ12 AMM7:AMM12 AWI7:AWI12 BGE7:BGE12 BQA7:BQA12 BZW7:BZW12 CJS7:CJS12 CTO7:CTO12 DDK7:DDK12 DNG7:DNG12 DXC7:DXC12 EGY7:EGY12 EQU7:EQU12 FAQ7:FAQ12 FKM7:FKM12 FUI7:FUI12 GEE7:GEE12 GOA7:GOA12 GXW7:GXW12 HHS7:HHS12 HRO7:HRO12 IBK7:IBK12 ILG7:ILG12 IVC7:IVC12 JEY7:JEY12 JOU7:JOU12 JYQ7:JYQ12 KIM7:KIM12 KSI7:KSI12 LCE7:LCE12 LMA7:LMA12 LVW7:LVW12 MFS7:MFS12 MPO7:MPO12 MZK7:MZK12 NJG7:NJG12 NTC7:NTC12 OCY7:OCY12 OMU7:OMU12 OWQ7:OWQ12 PGM7:PGM12 PQI7:PQI12 QAE7:QAE12 QKA7:QKA12 QTW7:QTW12 RDS7:RDS12 RNO7:RNO12 RXK7:RXK12 SHG7:SHG12 SRC7:SRC12 TAY7:TAY12 TKU7:TKU12 TUQ7:TUQ12 UEM7:UEM12 UOI7:UOI12 UYE7:UYE12 VIA7:VIA12 VRW7:VRW12 WBS7:WBS12 WLO7:WLO12 WVK7:WVK12 IY65543:IY65548 SU65543:SU65548 ACQ65543:ACQ65548 AMM65543:AMM65548 AWI65543:AWI65548 BGE65543:BGE65548 BQA65543:BQA65548 BZW65543:BZW65548 CJS65543:CJS65548 CTO65543:CTO65548 DDK65543:DDK65548 DNG65543:DNG65548 DXC65543:DXC65548 EGY65543:EGY65548 EQU65543:EQU65548 FAQ65543:FAQ65548 FKM65543:FKM65548 FUI65543:FUI65548 GEE65543:GEE65548 GOA65543:GOA65548 GXW65543:GXW65548 HHS65543:HHS65548 HRO65543:HRO65548 IBK65543:IBK65548 ILG65543:ILG65548 IVC65543:IVC65548 JEY65543:JEY65548 JOU65543:JOU65548 JYQ65543:JYQ65548 KIM65543:KIM65548 KSI65543:KSI65548 LCE65543:LCE65548 LMA65543:LMA65548 LVW65543:LVW65548 MFS65543:MFS65548 MPO65543:MPO65548 MZK65543:MZK65548 NJG65543:NJG65548 NTC65543:NTC65548 OCY65543:OCY65548 OMU65543:OMU65548 OWQ65543:OWQ65548 PGM65543:PGM65548 PQI65543:PQI65548 QAE65543:QAE65548 QKA65543:QKA65548 QTW65543:QTW65548 RDS65543:RDS65548 RNO65543:RNO65548 RXK65543:RXK65548 SHG65543:SHG65548 SRC65543:SRC65548 TAY65543:TAY65548 TKU65543:TKU65548 TUQ65543:TUQ65548 UEM65543:UEM65548 UOI65543:UOI65548 UYE65543:UYE65548 VIA65543:VIA65548 VRW65543:VRW65548 WBS65543:WBS65548 WLO65543:WLO65548 WVK65543:WVK65548 IY131079:IY131084 SU131079:SU131084 ACQ131079:ACQ131084 AMM131079:AMM131084 AWI131079:AWI131084 BGE131079:BGE131084 BQA131079:BQA131084 BZW131079:BZW131084 CJS131079:CJS131084 CTO131079:CTO131084 DDK131079:DDK131084 DNG131079:DNG131084 DXC131079:DXC131084 EGY131079:EGY131084 EQU131079:EQU131084 FAQ131079:FAQ131084 FKM131079:FKM131084 FUI131079:FUI131084 GEE131079:GEE131084 GOA131079:GOA131084 GXW131079:GXW131084 HHS131079:HHS131084 HRO131079:HRO131084 IBK131079:IBK131084 ILG131079:ILG131084 IVC131079:IVC131084 JEY131079:JEY131084 JOU131079:JOU131084 JYQ131079:JYQ131084 KIM131079:KIM131084 KSI131079:KSI131084 LCE131079:LCE131084 LMA131079:LMA131084 LVW131079:LVW131084 MFS131079:MFS131084 MPO131079:MPO131084 MZK131079:MZK131084 NJG131079:NJG131084 NTC131079:NTC131084 OCY131079:OCY131084 OMU131079:OMU131084 OWQ131079:OWQ131084 PGM131079:PGM131084 PQI131079:PQI131084 QAE131079:QAE131084 QKA131079:QKA131084 QTW131079:QTW131084 RDS131079:RDS131084 RNO131079:RNO131084 RXK131079:RXK131084 SHG131079:SHG131084 SRC131079:SRC131084 TAY131079:TAY131084 TKU131079:TKU131084 TUQ131079:TUQ131084 UEM131079:UEM131084 UOI131079:UOI131084 UYE131079:UYE131084 VIA131079:VIA131084 VRW131079:VRW131084 WBS131079:WBS131084 WLO131079:WLO131084 WVK131079:WVK131084 IY196615:IY196620 SU196615:SU196620 ACQ196615:ACQ196620 AMM196615:AMM196620 AWI196615:AWI196620 BGE196615:BGE196620 BQA196615:BQA196620 BZW196615:BZW196620 CJS196615:CJS196620 CTO196615:CTO196620 DDK196615:DDK196620 DNG196615:DNG196620 DXC196615:DXC196620 EGY196615:EGY196620 EQU196615:EQU196620 FAQ196615:FAQ196620 FKM196615:FKM196620 FUI196615:FUI196620 GEE196615:GEE196620 GOA196615:GOA196620 GXW196615:GXW196620 HHS196615:HHS196620 HRO196615:HRO196620 IBK196615:IBK196620 ILG196615:ILG196620 IVC196615:IVC196620 JEY196615:JEY196620 JOU196615:JOU196620 JYQ196615:JYQ196620 KIM196615:KIM196620 KSI196615:KSI196620 LCE196615:LCE196620 LMA196615:LMA196620 LVW196615:LVW196620 MFS196615:MFS196620 MPO196615:MPO196620 MZK196615:MZK196620 NJG196615:NJG196620 NTC196615:NTC196620 OCY196615:OCY196620 OMU196615:OMU196620 OWQ196615:OWQ196620 PGM196615:PGM196620 PQI196615:PQI196620 QAE196615:QAE196620 QKA196615:QKA196620 QTW196615:QTW196620 RDS196615:RDS196620 RNO196615:RNO196620 RXK196615:RXK196620 SHG196615:SHG196620 SRC196615:SRC196620 TAY196615:TAY196620 TKU196615:TKU196620 TUQ196615:TUQ196620 UEM196615:UEM196620 UOI196615:UOI196620 UYE196615:UYE196620 VIA196615:VIA196620 VRW196615:VRW196620 WBS196615:WBS196620 WLO196615:WLO196620 WVK196615:WVK196620 IY262151:IY262156 SU262151:SU262156 ACQ262151:ACQ262156 AMM262151:AMM262156 AWI262151:AWI262156 BGE262151:BGE262156 BQA262151:BQA262156 BZW262151:BZW262156 CJS262151:CJS262156 CTO262151:CTO262156 DDK262151:DDK262156 DNG262151:DNG262156 DXC262151:DXC262156 EGY262151:EGY262156 EQU262151:EQU262156 FAQ262151:FAQ262156 FKM262151:FKM262156 FUI262151:FUI262156 GEE262151:GEE262156 GOA262151:GOA262156 GXW262151:GXW262156 HHS262151:HHS262156 HRO262151:HRO262156 IBK262151:IBK262156 ILG262151:ILG262156 IVC262151:IVC262156 JEY262151:JEY262156 JOU262151:JOU262156 JYQ262151:JYQ262156 KIM262151:KIM262156 KSI262151:KSI262156 LCE262151:LCE262156 LMA262151:LMA262156 LVW262151:LVW262156 MFS262151:MFS262156 MPO262151:MPO262156 MZK262151:MZK262156 NJG262151:NJG262156 NTC262151:NTC262156 OCY262151:OCY262156 OMU262151:OMU262156 OWQ262151:OWQ262156 PGM262151:PGM262156 PQI262151:PQI262156 QAE262151:QAE262156 QKA262151:QKA262156 QTW262151:QTW262156 RDS262151:RDS262156 RNO262151:RNO262156 RXK262151:RXK262156 SHG262151:SHG262156 SRC262151:SRC262156 TAY262151:TAY262156 TKU262151:TKU262156 TUQ262151:TUQ262156 UEM262151:UEM262156 UOI262151:UOI262156 UYE262151:UYE262156 VIA262151:VIA262156 VRW262151:VRW262156 WBS262151:WBS262156 WLO262151:WLO262156 WVK262151:WVK262156 IY327687:IY327692 SU327687:SU327692 ACQ327687:ACQ327692 AMM327687:AMM327692 AWI327687:AWI327692 BGE327687:BGE327692 BQA327687:BQA327692 BZW327687:BZW327692 CJS327687:CJS327692 CTO327687:CTO327692 DDK327687:DDK327692 DNG327687:DNG327692 DXC327687:DXC327692 EGY327687:EGY327692 EQU327687:EQU327692 FAQ327687:FAQ327692 FKM327687:FKM327692 FUI327687:FUI327692 GEE327687:GEE327692 GOA327687:GOA327692 GXW327687:GXW327692 HHS327687:HHS327692 HRO327687:HRO327692 IBK327687:IBK327692 ILG327687:ILG327692 IVC327687:IVC327692 JEY327687:JEY327692 JOU327687:JOU327692 JYQ327687:JYQ327692 KIM327687:KIM327692 KSI327687:KSI327692 LCE327687:LCE327692 LMA327687:LMA327692 LVW327687:LVW327692 MFS327687:MFS327692 MPO327687:MPO327692 MZK327687:MZK327692 NJG327687:NJG327692 NTC327687:NTC327692 OCY327687:OCY327692 OMU327687:OMU327692 OWQ327687:OWQ327692 PGM327687:PGM327692 PQI327687:PQI327692 QAE327687:QAE327692 QKA327687:QKA327692 QTW327687:QTW327692 RDS327687:RDS327692 RNO327687:RNO327692 RXK327687:RXK327692 SHG327687:SHG327692 SRC327687:SRC327692 TAY327687:TAY327692 TKU327687:TKU327692 TUQ327687:TUQ327692 UEM327687:UEM327692 UOI327687:UOI327692 UYE327687:UYE327692 VIA327687:VIA327692 VRW327687:VRW327692 WBS327687:WBS327692 WLO327687:WLO327692 WVK327687:WVK327692 IY393223:IY393228 SU393223:SU393228 ACQ393223:ACQ393228 AMM393223:AMM393228 AWI393223:AWI393228 BGE393223:BGE393228 BQA393223:BQA393228 BZW393223:BZW393228 CJS393223:CJS393228 CTO393223:CTO393228 DDK393223:DDK393228 DNG393223:DNG393228 DXC393223:DXC393228 EGY393223:EGY393228 EQU393223:EQU393228 FAQ393223:FAQ393228 FKM393223:FKM393228 FUI393223:FUI393228 GEE393223:GEE393228 GOA393223:GOA393228 GXW393223:GXW393228 HHS393223:HHS393228 HRO393223:HRO393228 IBK393223:IBK393228 ILG393223:ILG393228 IVC393223:IVC393228 JEY393223:JEY393228 JOU393223:JOU393228 JYQ393223:JYQ393228 KIM393223:KIM393228 KSI393223:KSI393228 LCE393223:LCE393228 LMA393223:LMA393228 LVW393223:LVW393228 MFS393223:MFS393228 MPO393223:MPO393228 MZK393223:MZK393228 NJG393223:NJG393228 NTC393223:NTC393228 OCY393223:OCY393228 OMU393223:OMU393228 OWQ393223:OWQ393228 PGM393223:PGM393228 PQI393223:PQI393228 QAE393223:QAE393228 QKA393223:QKA393228 QTW393223:QTW393228 RDS393223:RDS393228 RNO393223:RNO393228 RXK393223:RXK393228 SHG393223:SHG393228 SRC393223:SRC393228 TAY393223:TAY393228 TKU393223:TKU393228 TUQ393223:TUQ393228 UEM393223:UEM393228 UOI393223:UOI393228 UYE393223:UYE393228 VIA393223:VIA393228 VRW393223:VRW393228 WBS393223:WBS393228 WLO393223:WLO393228 WVK393223:WVK393228 IY458759:IY458764 SU458759:SU458764 ACQ458759:ACQ458764 AMM458759:AMM458764 AWI458759:AWI458764 BGE458759:BGE458764 BQA458759:BQA458764 BZW458759:BZW458764 CJS458759:CJS458764 CTO458759:CTO458764 DDK458759:DDK458764 DNG458759:DNG458764 DXC458759:DXC458764 EGY458759:EGY458764 EQU458759:EQU458764 FAQ458759:FAQ458764 FKM458759:FKM458764 FUI458759:FUI458764 GEE458759:GEE458764 GOA458759:GOA458764 GXW458759:GXW458764 HHS458759:HHS458764 HRO458759:HRO458764 IBK458759:IBK458764 ILG458759:ILG458764 IVC458759:IVC458764 JEY458759:JEY458764 JOU458759:JOU458764 JYQ458759:JYQ458764 KIM458759:KIM458764 KSI458759:KSI458764 LCE458759:LCE458764 LMA458759:LMA458764 LVW458759:LVW458764 MFS458759:MFS458764 MPO458759:MPO458764 MZK458759:MZK458764 NJG458759:NJG458764 NTC458759:NTC458764 OCY458759:OCY458764 OMU458759:OMU458764 OWQ458759:OWQ458764 PGM458759:PGM458764 PQI458759:PQI458764 QAE458759:QAE458764 QKA458759:QKA458764 QTW458759:QTW458764 RDS458759:RDS458764 RNO458759:RNO458764 RXK458759:RXK458764 SHG458759:SHG458764 SRC458759:SRC458764 TAY458759:TAY458764 TKU458759:TKU458764 TUQ458759:TUQ458764 UEM458759:UEM458764 UOI458759:UOI458764 UYE458759:UYE458764 VIA458759:VIA458764 VRW458759:VRW458764 WBS458759:WBS458764 WLO458759:WLO458764 WVK458759:WVK458764 IY524295:IY524300 SU524295:SU524300 ACQ524295:ACQ524300 AMM524295:AMM524300 AWI524295:AWI524300 BGE524295:BGE524300 BQA524295:BQA524300 BZW524295:BZW524300 CJS524295:CJS524300 CTO524295:CTO524300 DDK524295:DDK524300 DNG524295:DNG524300 DXC524295:DXC524300 EGY524295:EGY524300 EQU524295:EQU524300 FAQ524295:FAQ524300 FKM524295:FKM524300 FUI524295:FUI524300 GEE524295:GEE524300 GOA524295:GOA524300 GXW524295:GXW524300 HHS524295:HHS524300 HRO524295:HRO524300 IBK524295:IBK524300 ILG524295:ILG524300 IVC524295:IVC524300 JEY524295:JEY524300 JOU524295:JOU524300 JYQ524295:JYQ524300 KIM524295:KIM524300 KSI524295:KSI524300 LCE524295:LCE524300 LMA524295:LMA524300 LVW524295:LVW524300 MFS524295:MFS524300 MPO524295:MPO524300 MZK524295:MZK524300 NJG524295:NJG524300 NTC524295:NTC524300 OCY524295:OCY524300 OMU524295:OMU524300 OWQ524295:OWQ524300 PGM524295:PGM524300 PQI524295:PQI524300 QAE524295:QAE524300 QKA524295:QKA524300 QTW524295:QTW524300 RDS524295:RDS524300 RNO524295:RNO524300 RXK524295:RXK524300 SHG524295:SHG524300 SRC524295:SRC524300 TAY524295:TAY524300 TKU524295:TKU524300 TUQ524295:TUQ524300 UEM524295:UEM524300 UOI524295:UOI524300 UYE524295:UYE524300 VIA524295:VIA524300 VRW524295:VRW524300 WBS524295:WBS524300 WLO524295:WLO524300 WVK524295:WVK524300 IY589831:IY589836 SU589831:SU589836 ACQ589831:ACQ589836 AMM589831:AMM589836 AWI589831:AWI589836 BGE589831:BGE589836 BQA589831:BQA589836 BZW589831:BZW589836 CJS589831:CJS589836 CTO589831:CTO589836 DDK589831:DDK589836 DNG589831:DNG589836 DXC589831:DXC589836 EGY589831:EGY589836 EQU589831:EQU589836 FAQ589831:FAQ589836 FKM589831:FKM589836 FUI589831:FUI589836 GEE589831:GEE589836 GOA589831:GOA589836 GXW589831:GXW589836 HHS589831:HHS589836 HRO589831:HRO589836 IBK589831:IBK589836 ILG589831:ILG589836 IVC589831:IVC589836 JEY589831:JEY589836 JOU589831:JOU589836 JYQ589831:JYQ589836 KIM589831:KIM589836 KSI589831:KSI589836 LCE589831:LCE589836 LMA589831:LMA589836 LVW589831:LVW589836 MFS589831:MFS589836 MPO589831:MPO589836 MZK589831:MZK589836 NJG589831:NJG589836 NTC589831:NTC589836 OCY589831:OCY589836 OMU589831:OMU589836 OWQ589831:OWQ589836 PGM589831:PGM589836 PQI589831:PQI589836 QAE589831:QAE589836 QKA589831:QKA589836 QTW589831:QTW589836 RDS589831:RDS589836 RNO589831:RNO589836 RXK589831:RXK589836 SHG589831:SHG589836 SRC589831:SRC589836 TAY589831:TAY589836 TKU589831:TKU589836 TUQ589831:TUQ589836 UEM589831:UEM589836 UOI589831:UOI589836 UYE589831:UYE589836 VIA589831:VIA589836 VRW589831:VRW589836 WBS589831:WBS589836 WLO589831:WLO589836 WVK589831:WVK589836 IY655367:IY655372 SU655367:SU655372 ACQ655367:ACQ655372 AMM655367:AMM655372 AWI655367:AWI655372 BGE655367:BGE655372 BQA655367:BQA655372 BZW655367:BZW655372 CJS655367:CJS655372 CTO655367:CTO655372 DDK655367:DDK655372 DNG655367:DNG655372 DXC655367:DXC655372 EGY655367:EGY655372 EQU655367:EQU655372 FAQ655367:FAQ655372 FKM655367:FKM655372 FUI655367:FUI655372 GEE655367:GEE655372 GOA655367:GOA655372 GXW655367:GXW655372 HHS655367:HHS655372 HRO655367:HRO655372 IBK655367:IBK655372 ILG655367:ILG655372 IVC655367:IVC655372 JEY655367:JEY655372 JOU655367:JOU655372 JYQ655367:JYQ655372 KIM655367:KIM655372 KSI655367:KSI655372 LCE655367:LCE655372 LMA655367:LMA655372 LVW655367:LVW655372 MFS655367:MFS655372 MPO655367:MPO655372 MZK655367:MZK655372 NJG655367:NJG655372 NTC655367:NTC655372 OCY655367:OCY655372 OMU655367:OMU655372 OWQ655367:OWQ655372 PGM655367:PGM655372 PQI655367:PQI655372 QAE655367:QAE655372 QKA655367:QKA655372 QTW655367:QTW655372 RDS655367:RDS655372 RNO655367:RNO655372 RXK655367:RXK655372 SHG655367:SHG655372 SRC655367:SRC655372 TAY655367:TAY655372 TKU655367:TKU655372 TUQ655367:TUQ655372 UEM655367:UEM655372 UOI655367:UOI655372 UYE655367:UYE655372 VIA655367:VIA655372 VRW655367:VRW655372 WBS655367:WBS655372 WLO655367:WLO655372 WVK655367:WVK655372 IY720903:IY720908 SU720903:SU720908 ACQ720903:ACQ720908 AMM720903:AMM720908 AWI720903:AWI720908 BGE720903:BGE720908 BQA720903:BQA720908 BZW720903:BZW720908 CJS720903:CJS720908 CTO720903:CTO720908 DDK720903:DDK720908 DNG720903:DNG720908 DXC720903:DXC720908 EGY720903:EGY720908 EQU720903:EQU720908 FAQ720903:FAQ720908 FKM720903:FKM720908 FUI720903:FUI720908 GEE720903:GEE720908 GOA720903:GOA720908 GXW720903:GXW720908 HHS720903:HHS720908 HRO720903:HRO720908 IBK720903:IBK720908 ILG720903:ILG720908 IVC720903:IVC720908 JEY720903:JEY720908 JOU720903:JOU720908 JYQ720903:JYQ720908 KIM720903:KIM720908 KSI720903:KSI720908 LCE720903:LCE720908 LMA720903:LMA720908 LVW720903:LVW720908 MFS720903:MFS720908 MPO720903:MPO720908 MZK720903:MZK720908 NJG720903:NJG720908 NTC720903:NTC720908 OCY720903:OCY720908 OMU720903:OMU720908 OWQ720903:OWQ720908 PGM720903:PGM720908 PQI720903:PQI720908 QAE720903:QAE720908 QKA720903:QKA720908 QTW720903:QTW720908 RDS720903:RDS720908 RNO720903:RNO720908 RXK720903:RXK720908 SHG720903:SHG720908 SRC720903:SRC720908 TAY720903:TAY720908 TKU720903:TKU720908 TUQ720903:TUQ720908 UEM720903:UEM720908 UOI720903:UOI720908 UYE720903:UYE720908 VIA720903:VIA720908 VRW720903:VRW720908 WBS720903:WBS720908 WLO720903:WLO720908 WVK720903:WVK720908 IY786439:IY786444 SU786439:SU786444 ACQ786439:ACQ786444 AMM786439:AMM786444 AWI786439:AWI786444 BGE786439:BGE786444 BQA786439:BQA786444 BZW786439:BZW786444 CJS786439:CJS786444 CTO786439:CTO786444 DDK786439:DDK786444 DNG786439:DNG786444 DXC786439:DXC786444 EGY786439:EGY786444 EQU786439:EQU786444 FAQ786439:FAQ786444 FKM786439:FKM786444 FUI786439:FUI786444 GEE786439:GEE786444 GOA786439:GOA786444 GXW786439:GXW786444 HHS786439:HHS786444 HRO786439:HRO786444 IBK786439:IBK786444 ILG786439:ILG786444 IVC786439:IVC786444 JEY786439:JEY786444 JOU786439:JOU786444 JYQ786439:JYQ786444 KIM786439:KIM786444 KSI786439:KSI786444 LCE786439:LCE786444 LMA786439:LMA786444 LVW786439:LVW786444 MFS786439:MFS786444 MPO786439:MPO786444 MZK786439:MZK786444 NJG786439:NJG786444 NTC786439:NTC786444 OCY786439:OCY786444 OMU786439:OMU786444 OWQ786439:OWQ786444 PGM786439:PGM786444 PQI786439:PQI786444 QAE786439:QAE786444 QKA786439:QKA786444 QTW786439:QTW786444 RDS786439:RDS786444 RNO786439:RNO786444 RXK786439:RXK786444 SHG786439:SHG786444 SRC786439:SRC786444 TAY786439:TAY786444 TKU786439:TKU786444 TUQ786439:TUQ786444 UEM786439:UEM786444 UOI786439:UOI786444 UYE786439:UYE786444 VIA786439:VIA786444 VRW786439:VRW786444 WBS786439:WBS786444 WLO786439:WLO786444 WVK786439:WVK786444 IY851975:IY851980 SU851975:SU851980 ACQ851975:ACQ851980 AMM851975:AMM851980 AWI851975:AWI851980 BGE851975:BGE851980 BQA851975:BQA851980 BZW851975:BZW851980 CJS851975:CJS851980 CTO851975:CTO851980 DDK851975:DDK851980 DNG851975:DNG851980 DXC851975:DXC851980 EGY851975:EGY851980 EQU851975:EQU851980 FAQ851975:FAQ851980 FKM851975:FKM851980 FUI851975:FUI851980 GEE851975:GEE851980 GOA851975:GOA851980 GXW851975:GXW851980 HHS851975:HHS851980 HRO851975:HRO851980 IBK851975:IBK851980 ILG851975:ILG851980 IVC851975:IVC851980 JEY851975:JEY851980 JOU851975:JOU851980 JYQ851975:JYQ851980 KIM851975:KIM851980 KSI851975:KSI851980 LCE851975:LCE851980 LMA851975:LMA851980 LVW851975:LVW851980 MFS851975:MFS851980 MPO851975:MPO851980 MZK851975:MZK851980 NJG851975:NJG851980 NTC851975:NTC851980 OCY851975:OCY851980 OMU851975:OMU851980 OWQ851975:OWQ851980 PGM851975:PGM851980 PQI851975:PQI851980 QAE851975:QAE851980 QKA851975:QKA851980 QTW851975:QTW851980 RDS851975:RDS851980 RNO851975:RNO851980 RXK851975:RXK851980 SHG851975:SHG851980 SRC851975:SRC851980 TAY851975:TAY851980 TKU851975:TKU851980 TUQ851975:TUQ851980 UEM851975:UEM851980 UOI851975:UOI851980 UYE851975:UYE851980 VIA851975:VIA851980 VRW851975:VRW851980 WBS851975:WBS851980 WLO851975:WLO851980 WVK851975:WVK851980 IY917511:IY917516 SU917511:SU917516 ACQ917511:ACQ917516 AMM917511:AMM917516 AWI917511:AWI917516 BGE917511:BGE917516 BQA917511:BQA917516 BZW917511:BZW917516 CJS917511:CJS917516 CTO917511:CTO917516 DDK917511:DDK917516 DNG917511:DNG917516 DXC917511:DXC917516 EGY917511:EGY917516 EQU917511:EQU917516 FAQ917511:FAQ917516 FKM917511:FKM917516 FUI917511:FUI917516 GEE917511:GEE917516 GOA917511:GOA917516 GXW917511:GXW917516 HHS917511:HHS917516 HRO917511:HRO917516 IBK917511:IBK917516 ILG917511:ILG917516 IVC917511:IVC917516 JEY917511:JEY917516 JOU917511:JOU917516 JYQ917511:JYQ917516 KIM917511:KIM917516 KSI917511:KSI917516 LCE917511:LCE917516 LMA917511:LMA917516 LVW917511:LVW917516 MFS917511:MFS917516 MPO917511:MPO917516 MZK917511:MZK917516 NJG917511:NJG917516 NTC917511:NTC917516 OCY917511:OCY917516 OMU917511:OMU917516 OWQ917511:OWQ917516 PGM917511:PGM917516 PQI917511:PQI917516 QAE917511:QAE917516 QKA917511:QKA917516 QTW917511:QTW917516 RDS917511:RDS917516 RNO917511:RNO917516 RXK917511:RXK917516 SHG917511:SHG917516 SRC917511:SRC917516 TAY917511:TAY917516 TKU917511:TKU917516 TUQ917511:TUQ917516 UEM917511:UEM917516 UOI917511:UOI917516 UYE917511:UYE917516 VIA917511:VIA917516 VRW917511:VRW917516 WBS917511:WBS917516 WLO917511:WLO917516 WVK917511:WVK917516 IY983047:IY983052 SU983047:SU983052 ACQ983047:ACQ983052 AMM983047:AMM983052 AWI983047:AWI983052 BGE983047:BGE983052 BQA983047:BQA983052 BZW983047:BZW983052 CJS983047:CJS983052 CTO983047:CTO983052 DDK983047:DDK983052 DNG983047:DNG983052 DXC983047:DXC983052 EGY983047:EGY983052 EQU983047:EQU983052 FAQ983047:FAQ983052 FKM983047:FKM983052 FUI983047:FUI983052 GEE983047:GEE983052 GOA983047:GOA983052 GXW983047:GXW983052 HHS983047:HHS983052 HRO983047:HRO983052 IBK983047:IBK983052 ILG983047:ILG983052 IVC983047:IVC983052 JEY983047:JEY983052 JOU983047:JOU983052 JYQ983047:JYQ983052 KIM983047:KIM983052 KSI983047:KSI983052 LCE983047:LCE983052 LMA983047:LMA983052 LVW983047:LVW983052 MFS983047:MFS983052 MPO983047:MPO983052 MZK983047:MZK983052 NJG983047:NJG983052 NTC983047:NTC983052 OCY983047:OCY983052 OMU983047:OMU983052 OWQ983047:OWQ983052 PGM983047:PGM983052 PQI983047:PQI983052 QAE983047:QAE983052 QKA983047:QKA983052 QTW983047:QTW983052 RDS983047:RDS983052 RNO983047:RNO983052 RXK983047:RXK983052 SHG983047:SHG983052 SRC983047:SRC983052 TAY983047:TAY983052 TKU983047:TKU983052 TUQ983047:TUQ983052 UEM983047:UEM983052 UOI983047:UOI983052 UYE983047:UYE983052 VIA983047:VIA983052 VRW983047:VRW983052 WBS983047:WBS983052 WLO983047:WLO983052 WVK983047:WVK983052">
      <formula1>50</formula1>
    </dataValidation>
    <dataValidation type="whole" operator="greaterThan" showInputMessage="1" showErrorMessage="1" errorTitle="eee" error="Valores mayores a $50" sqref="D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D65543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D131079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D196615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D262151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D327687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D393223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D458759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D524295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D589831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D655367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D720903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D786439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D851975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D917511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D983047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WVJ983047">
      <formula1>50</formula1>
    </dataValidation>
    <dataValidation type="custom" operator="greaterThan" showInputMessage="1" showErrorMessage="1" errorTitle="rdm2" error="No se admite ingresar a la vez RDM como ingresos y como egresos. Tampoco se admiten valores negattivos o positivos menores de 50" sqref="JB165:JC165 SX165:SY165 ACT165:ACU165 AMP165:AMQ165 AWL165:AWM165 BGH165:BGI165 BQD165:BQE165 BZZ165:CAA165 CJV165:CJW165 CTR165:CTS165 DDN165:DDO165 DNJ165:DNK165 DXF165:DXG165 EHB165:EHC165 EQX165:EQY165 FAT165:FAU165 FKP165:FKQ165 FUL165:FUM165 GEH165:GEI165 GOD165:GOE165 GXZ165:GYA165 HHV165:HHW165 HRR165:HRS165 IBN165:IBO165 ILJ165:ILK165 IVF165:IVG165 JFB165:JFC165 JOX165:JOY165 JYT165:JYU165 KIP165:KIQ165 KSL165:KSM165 LCH165:LCI165 LMD165:LME165 LVZ165:LWA165 MFV165:MFW165 MPR165:MPS165 MZN165:MZO165 NJJ165:NJK165 NTF165:NTG165 ODB165:ODC165 OMX165:OMY165 OWT165:OWU165 PGP165:PGQ165 PQL165:PQM165 QAH165:QAI165 QKD165:QKE165 QTZ165:QUA165 RDV165:RDW165 RNR165:RNS165 RXN165:RXO165 SHJ165:SHK165 SRF165:SRG165 TBB165:TBC165 TKX165:TKY165 TUT165:TUU165 UEP165:UEQ165 UOL165:UOM165 UYH165:UYI165 VID165:VIE165 VRZ165:VSA165 WBV165:WBW165 WLR165:WLS165 WVN165:WVO165 JB65701:JC65701 SX65701:SY65701 ACT65701:ACU65701 AMP65701:AMQ65701 AWL65701:AWM65701 BGH65701:BGI65701 BQD65701:BQE65701 BZZ65701:CAA65701 CJV65701:CJW65701 CTR65701:CTS65701 DDN65701:DDO65701 DNJ65701:DNK65701 DXF65701:DXG65701 EHB65701:EHC65701 EQX65701:EQY65701 FAT65701:FAU65701 FKP65701:FKQ65701 FUL65701:FUM65701 GEH65701:GEI65701 GOD65701:GOE65701 GXZ65701:GYA65701 HHV65701:HHW65701 HRR65701:HRS65701 IBN65701:IBO65701 ILJ65701:ILK65701 IVF65701:IVG65701 JFB65701:JFC65701 JOX65701:JOY65701 JYT65701:JYU65701 KIP65701:KIQ65701 KSL65701:KSM65701 LCH65701:LCI65701 LMD65701:LME65701 LVZ65701:LWA65701 MFV65701:MFW65701 MPR65701:MPS65701 MZN65701:MZO65701 NJJ65701:NJK65701 NTF65701:NTG65701 ODB65701:ODC65701 OMX65701:OMY65701 OWT65701:OWU65701 PGP65701:PGQ65701 PQL65701:PQM65701 QAH65701:QAI65701 QKD65701:QKE65701 QTZ65701:QUA65701 RDV65701:RDW65701 RNR65701:RNS65701 RXN65701:RXO65701 SHJ65701:SHK65701 SRF65701:SRG65701 TBB65701:TBC65701 TKX65701:TKY65701 TUT65701:TUU65701 UEP65701:UEQ65701 UOL65701:UOM65701 UYH65701:UYI65701 VID65701:VIE65701 VRZ65701:VSA65701 WBV65701:WBW65701 WLR65701:WLS65701 WVN65701:WVO65701 JB131237:JC131237 SX131237:SY131237 ACT131237:ACU131237 AMP131237:AMQ131237 AWL131237:AWM131237 BGH131237:BGI131237 BQD131237:BQE131237 BZZ131237:CAA131237 CJV131237:CJW131237 CTR131237:CTS131237 DDN131237:DDO131237 DNJ131237:DNK131237 DXF131237:DXG131237 EHB131237:EHC131237 EQX131237:EQY131237 FAT131237:FAU131237 FKP131237:FKQ131237 FUL131237:FUM131237 GEH131237:GEI131237 GOD131237:GOE131237 GXZ131237:GYA131237 HHV131237:HHW131237 HRR131237:HRS131237 IBN131237:IBO131237 ILJ131237:ILK131237 IVF131237:IVG131237 JFB131237:JFC131237 JOX131237:JOY131237 JYT131237:JYU131237 KIP131237:KIQ131237 KSL131237:KSM131237 LCH131237:LCI131237 LMD131237:LME131237 LVZ131237:LWA131237 MFV131237:MFW131237 MPR131237:MPS131237 MZN131237:MZO131237 NJJ131237:NJK131237 NTF131237:NTG131237 ODB131237:ODC131237 OMX131237:OMY131237 OWT131237:OWU131237 PGP131237:PGQ131237 PQL131237:PQM131237 QAH131237:QAI131237 QKD131237:QKE131237 QTZ131237:QUA131237 RDV131237:RDW131237 RNR131237:RNS131237 RXN131237:RXO131237 SHJ131237:SHK131237 SRF131237:SRG131237 TBB131237:TBC131237 TKX131237:TKY131237 TUT131237:TUU131237 UEP131237:UEQ131237 UOL131237:UOM131237 UYH131237:UYI131237 VID131237:VIE131237 VRZ131237:VSA131237 WBV131237:WBW131237 WLR131237:WLS131237 WVN131237:WVO131237 JB196773:JC196773 SX196773:SY196773 ACT196773:ACU196773 AMP196773:AMQ196773 AWL196773:AWM196773 BGH196773:BGI196773 BQD196773:BQE196773 BZZ196773:CAA196773 CJV196773:CJW196773 CTR196773:CTS196773 DDN196773:DDO196773 DNJ196773:DNK196773 DXF196773:DXG196773 EHB196773:EHC196773 EQX196773:EQY196773 FAT196773:FAU196773 FKP196773:FKQ196773 FUL196773:FUM196773 GEH196773:GEI196773 GOD196773:GOE196773 GXZ196773:GYA196773 HHV196773:HHW196773 HRR196773:HRS196773 IBN196773:IBO196773 ILJ196773:ILK196773 IVF196773:IVG196773 JFB196773:JFC196773 JOX196773:JOY196773 JYT196773:JYU196773 KIP196773:KIQ196773 KSL196773:KSM196773 LCH196773:LCI196773 LMD196773:LME196773 LVZ196773:LWA196773 MFV196773:MFW196773 MPR196773:MPS196773 MZN196773:MZO196773 NJJ196773:NJK196773 NTF196773:NTG196773 ODB196773:ODC196773 OMX196773:OMY196773 OWT196773:OWU196773 PGP196773:PGQ196773 PQL196773:PQM196773 QAH196773:QAI196773 QKD196773:QKE196773 QTZ196773:QUA196773 RDV196773:RDW196773 RNR196773:RNS196773 RXN196773:RXO196773 SHJ196773:SHK196773 SRF196773:SRG196773 TBB196773:TBC196773 TKX196773:TKY196773 TUT196773:TUU196773 UEP196773:UEQ196773 UOL196773:UOM196773 UYH196773:UYI196773 VID196773:VIE196773 VRZ196773:VSA196773 WBV196773:WBW196773 WLR196773:WLS196773 WVN196773:WVO196773 JB262309:JC262309 SX262309:SY262309 ACT262309:ACU262309 AMP262309:AMQ262309 AWL262309:AWM262309 BGH262309:BGI262309 BQD262309:BQE262309 BZZ262309:CAA262309 CJV262309:CJW262309 CTR262309:CTS262309 DDN262309:DDO262309 DNJ262309:DNK262309 DXF262309:DXG262309 EHB262309:EHC262309 EQX262309:EQY262309 FAT262309:FAU262309 FKP262309:FKQ262309 FUL262309:FUM262309 GEH262309:GEI262309 GOD262309:GOE262309 GXZ262309:GYA262309 HHV262309:HHW262309 HRR262309:HRS262309 IBN262309:IBO262309 ILJ262309:ILK262309 IVF262309:IVG262309 JFB262309:JFC262309 JOX262309:JOY262309 JYT262309:JYU262309 KIP262309:KIQ262309 KSL262309:KSM262309 LCH262309:LCI262309 LMD262309:LME262309 LVZ262309:LWA262309 MFV262309:MFW262309 MPR262309:MPS262309 MZN262309:MZO262309 NJJ262309:NJK262309 NTF262309:NTG262309 ODB262309:ODC262309 OMX262309:OMY262309 OWT262309:OWU262309 PGP262309:PGQ262309 PQL262309:PQM262309 QAH262309:QAI262309 QKD262309:QKE262309 QTZ262309:QUA262309 RDV262309:RDW262309 RNR262309:RNS262309 RXN262309:RXO262309 SHJ262309:SHK262309 SRF262309:SRG262309 TBB262309:TBC262309 TKX262309:TKY262309 TUT262309:TUU262309 UEP262309:UEQ262309 UOL262309:UOM262309 UYH262309:UYI262309 VID262309:VIE262309 VRZ262309:VSA262309 WBV262309:WBW262309 WLR262309:WLS262309 WVN262309:WVO262309 JB327845:JC327845 SX327845:SY327845 ACT327845:ACU327845 AMP327845:AMQ327845 AWL327845:AWM327845 BGH327845:BGI327845 BQD327845:BQE327845 BZZ327845:CAA327845 CJV327845:CJW327845 CTR327845:CTS327845 DDN327845:DDO327845 DNJ327845:DNK327845 DXF327845:DXG327845 EHB327845:EHC327845 EQX327845:EQY327845 FAT327845:FAU327845 FKP327845:FKQ327845 FUL327845:FUM327845 GEH327845:GEI327845 GOD327845:GOE327845 GXZ327845:GYA327845 HHV327845:HHW327845 HRR327845:HRS327845 IBN327845:IBO327845 ILJ327845:ILK327845 IVF327845:IVG327845 JFB327845:JFC327845 JOX327845:JOY327845 JYT327845:JYU327845 KIP327845:KIQ327845 KSL327845:KSM327845 LCH327845:LCI327845 LMD327845:LME327845 LVZ327845:LWA327845 MFV327845:MFW327845 MPR327845:MPS327845 MZN327845:MZO327845 NJJ327845:NJK327845 NTF327845:NTG327845 ODB327845:ODC327845 OMX327845:OMY327845 OWT327845:OWU327845 PGP327845:PGQ327845 PQL327845:PQM327845 QAH327845:QAI327845 QKD327845:QKE327845 QTZ327845:QUA327845 RDV327845:RDW327845 RNR327845:RNS327845 RXN327845:RXO327845 SHJ327845:SHK327845 SRF327845:SRG327845 TBB327845:TBC327845 TKX327845:TKY327845 TUT327845:TUU327845 UEP327845:UEQ327845 UOL327845:UOM327845 UYH327845:UYI327845 VID327845:VIE327845 VRZ327845:VSA327845 WBV327845:WBW327845 WLR327845:WLS327845 WVN327845:WVO327845 JB393381:JC393381 SX393381:SY393381 ACT393381:ACU393381 AMP393381:AMQ393381 AWL393381:AWM393381 BGH393381:BGI393381 BQD393381:BQE393381 BZZ393381:CAA393381 CJV393381:CJW393381 CTR393381:CTS393381 DDN393381:DDO393381 DNJ393381:DNK393381 DXF393381:DXG393381 EHB393381:EHC393381 EQX393381:EQY393381 FAT393381:FAU393381 FKP393381:FKQ393381 FUL393381:FUM393381 GEH393381:GEI393381 GOD393381:GOE393381 GXZ393381:GYA393381 HHV393381:HHW393381 HRR393381:HRS393381 IBN393381:IBO393381 ILJ393381:ILK393381 IVF393381:IVG393381 JFB393381:JFC393381 JOX393381:JOY393381 JYT393381:JYU393381 KIP393381:KIQ393381 KSL393381:KSM393381 LCH393381:LCI393381 LMD393381:LME393381 LVZ393381:LWA393381 MFV393381:MFW393381 MPR393381:MPS393381 MZN393381:MZO393381 NJJ393381:NJK393381 NTF393381:NTG393381 ODB393381:ODC393381 OMX393381:OMY393381 OWT393381:OWU393381 PGP393381:PGQ393381 PQL393381:PQM393381 QAH393381:QAI393381 QKD393381:QKE393381 QTZ393381:QUA393381 RDV393381:RDW393381 RNR393381:RNS393381 RXN393381:RXO393381 SHJ393381:SHK393381 SRF393381:SRG393381 TBB393381:TBC393381 TKX393381:TKY393381 TUT393381:TUU393381 UEP393381:UEQ393381 UOL393381:UOM393381 UYH393381:UYI393381 VID393381:VIE393381 VRZ393381:VSA393381 WBV393381:WBW393381 WLR393381:WLS393381 WVN393381:WVO393381 JB458917:JC458917 SX458917:SY458917 ACT458917:ACU458917 AMP458917:AMQ458917 AWL458917:AWM458917 BGH458917:BGI458917 BQD458917:BQE458917 BZZ458917:CAA458917 CJV458917:CJW458917 CTR458917:CTS458917 DDN458917:DDO458917 DNJ458917:DNK458917 DXF458917:DXG458917 EHB458917:EHC458917 EQX458917:EQY458917 FAT458917:FAU458917 FKP458917:FKQ458917 FUL458917:FUM458917 GEH458917:GEI458917 GOD458917:GOE458917 GXZ458917:GYA458917 HHV458917:HHW458917 HRR458917:HRS458917 IBN458917:IBO458917 ILJ458917:ILK458917 IVF458917:IVG458917 JFB458917:JFC458917 JOX458917:JOY458917 JYT458917:JYU458917 KIP458917:KIQ458917 KSL458917:KSM458917 LCH458917:LCI458917 LMD458917:LME458917 LVZ458917:LWA458917 MFV458917:MFW458917 MPR458917:MPS458917 MZN458917:MZO458917 NJJ458917:NJK458917 NTF458917:NTG458917 ODB458917:ODC458917 OMX458917:OMY458917 OWT458917:OWU458917 PGP458917:PGQ458917 PQL458917:PQM458917 QAH458917:QAI458917 QKD458917:QKE458917 QTZ458917:QUA458917 RDV458917:RDW458917 RNR458917:RNS458917 RXN458917:RXO458917 SHJ458917:SHK458917 SRF458917:SRG458917 TBB458917:TBC458917 TKX458917:TKY458917 TUT458917:TUU458917 UEP458917:UEQ458917 UOL458917:UOM458917 UYH458917:UYI458917 VID458917:VIE458917 VRZ458917:VSA458917 WBV458917:WBW458917 WLR458917:WLS458917 WVN458917:WVO458917 JB524453:JC524453 SX524453:SY524453 ACT524453:ACU524453 AMP524453:AMQ524453 AWL524453:AWM524453 BGH524453:BGI524453 BQD524453:BQE524453 BZZ524453:CAA524453 CJV524453:CJW524453 CTR524453:CTS524453 DDN524453:DDO524453 DNJ524453:DNK524453 DXF524453:DXG524453 EHB524453:EHC524453 EQX524453:EQY524453 FAT524453:FAU524453 FKP524453:FKQ524453 FUL524453:FUM524453 GEH524453:GEI524453 GOD524453:GOE524453 GXZ524453:GYA524453 HHV524453:HHW524453 HRR524453:HRS524453 IBN524453:IBO524453 ILJ524453:ILK524453 IVF524453:IVG524453 JFB524453:JFC524453 JOX524453:JOY524453 JYT524453:JYU524453 KIP524453:KIQ524453 KSL524453:KSM524453 LCH524453:LCI524453 LMD524453:LME524453 LVZ524453:LWA524453 MFV524453:MFW524453 MPR524453:MPS524453 MZN524453:MZO524453 NJJ524453:NJK524453 NTF524453:NTG524453 ODB524453:ODC524453 OMX524453:OMY524453 OWT524453:OWU524453 PGP524453:PGQ524453 PQL524453:PQM524453 QAH524453:QAI524453 QKD524453:QKE524453 QTZ524453:QUA524453 RDV524453:RDW524453 RNR524453:RNS524453 RXN524453:RXO524453 SHJ524453:SHK524453 SRF524453:SRG524453 TBB524453:TBC524453 TKX524453:TKY524453 TUT524453:TUU524453 UEP524453:UEQ524453 UOL524453:UOM524453 UYH524453:UYI524453 VID524453:VIE524453 VRZ524453:VSA524453 WBV524453:WBW524453 WLR524453:WLS524453 WVN524453:WVO524453 JB589989:JC589989 SX589989:SY589989 ACT589989:ACU589989 AMP589989:AMQ589989 AWL589989:AWM589989 BGH589989:BGI589989 BQD589989:BQE589989 BZZ589989:CAA589989 CJV589989:CJW589989 CTR589989:CTS589989 DDN589989:DDO589989 DNJ589989:DNK589989 DXF589989:DXG589989 EHB589989:EHC589989 EQX589989:EQY589989 FAT589989:FAU589989 FKP589989:FKQ589989 FUL589989:FUM589989 GEH589989:GEI589989 GOD589989:GOE589989 GXZ589989:GYA589989 HHV589989:HHW589989 HRR589989:HRS589989 IBN589989:IBO589989 ILJ589989:ILK589989 IVF589989:IVG589989 JFB589989:JFC589989 JOX589989:JOY589989 JYT589989:JYU589989 KIP589989:KIQ589989 KSL589989:KSM589989 LCH589989:LCI589989 LMD589989:LME589989 LVZ589989:LWA589989 MFV589989:MFW589989 MPR589989:MPS589989 MZN589989:MZO589989 NJJ589989:NJK589989 NTF589989:NTG589989 ODB589989:ODC589989 OMX589989:OMY589989 OWT589989:OWU589989 PGP589989:PGQ589989 PQL589989:PQM589989 QAH589989:QAI589989 QKD589989:QKE589989 QTZ589989:QUA589989 RDV589989:RDW589989 RNR589989:RNS589989 RXN589989:RXO589989 SHJ589989:SHK589989 SRF589989:SRG589989 TBB589989:TBC589989 TKX589989:TKY589989 TUT589989:TUU589989 UEP589989:UEQ589989 UOL589989:UOM589989 UYH589989:UYI589989 VID589989:VIE589989 VRZ589989:VSA589989 WBV589989:WBW589989 WLR589989:WLS589989 WVN589989:WVO589989 JB655525:JC655525 SX655525:SY655525 ACT655525:ACU655525 AMP655525:AMQ655525 AWL655525:AWM655525 BGH655525:BGI655525 BQD655525:BQE655525 BZZ655525:CAA655525 CJV655525:CJW655525 CTR655525:CTS655525 DDN655525:DDO655525 DNJ655525:DNK655525 DXF655525:DXG655525 EHB655525:EHC655525 EQX655525:EQY655525 FAT655525:FAU655525 FKP655525:FKQ655525 FUL655525:FUM655525 GEH655525:GEI655525 GOD655525:GOE655525 GXZ655525:GYA655525 HHV655525:HHW655525 HRR655525:HRS655525 IBN655525:IBO655525 ILJ655525:ILK655525 IVF655525:IVG655525 JFB655525:JFC655525 JOX655525:JOY655525 JYT655525:JYU655525 KIP655525:KIQ655525 KSL655525:KSM655525 LCH655525:LCI655525 LMD655525:LME655525 LVZ655525:LWA655525 MFV655525:MFW655525 MPR655525:MPS655525 MZN655525:MZO655525 NJJ655525:NJK655525 NTF655525:NTG655525 ODB655525:ODC655525 OMX655525:OMY655525 OWT655525:OWU655525 PGP655525:PGQ655525 PQL655525:PQM655525 QAH655525:QAI655525 QKD655525:QKE655525 QTZ655525:QUA655525 RDV655525:RDW655525 RNR655525:RNS655525 RXN655525:RXO655525 SHJ655525:SHK655525 SRF655525:SRG655525 TBB655525:TBC655525 TKX655525:TKY655525 TUT655525:TUU655525 UEP655525:UEQ655525 UOL655525:UOM655525 UYH655525:UYI655525 VID655525:VIE655525 VRZ655525:VSA655525 WBV655525:WBW655525 WLR655525:WLS655525 WVN655525:WVO655525 JB721061:JC721061 SX721061:SY721061 ACT721061:ACU721061 AMP721061:AMQ721061 AWL721061:AWM721061 BGH721061:BGI721061 BQD721061:BQE721061 BZZ721061:CAA721061 CJV721061:CJW721061 CTR721061:CTS721061 DDN721061:DDO721061 DNJ721061:DNK721061 DXF721061:DXG721061 EHB721061:EHC721061 EQX721061:EQY721061 FAT721061:FAU721061 FKP721061:FKQ721061 FUL721061:FUM721061 GEH721061:GEI721061 GOD721061:GOE721061 GXZ721061:GYA721061 HHV721061:HHW721061 HRR721061:HRS721061 IBN721061:IBO721061 ILJ721061:ILK721061 IVF721061:IVG721061 JFB721061:JFC721061 JOX721061:JOY721061 JYT721061:JYU721061 KIP721061:KIQ721061 KSL721061:KSM721061 LCH721061:LCI721061 LMD721061:LME721061 LVZ721061:LWA721061 MFV721061:MFW721061 MPR721061:MPS721061 MZN721061:MZO721061 NJJ721061:NJK721061 NTF721061:NTG721061 ODB721061:ODC721061 OMX721061:OMY721061 OWT721061:OWU721061 PGP721061:PGQ721061 PQL721061:PQM721061 QAH721061:QAI721061 QKD721061:QKE721061 QTZ721061:QUA721061 RDV721061:RDW721061 RNR721061:RNS721061 RXN721061:RXO721061 SHJ721061:SHK721061 SRF721061:SRG721061 TBB721061:TBC721061 TKX721061:TKY721061 TUT721061:TUU721061 UEP721061:UEQ721061 UOL721061:UOM721061 UYH721061:UYI721061 VID721061:VIE721061 VRZ721061:VSA721061 WBV721061:WBW721061 WLR721061:WLS721061 WVN721061:WVO721061 JB786597:JC786597 SX786597:SY786597 ACT786597:ACU786597 AMP786597:AMQ786597 AWL786597:AWM786597 BGH786597:BGI786597 BQD786597:BQE786597 BZZ786597:CAA786597 CJV786597:CJW786597 CTR786597:CTS786597 DDN786597:DDO786597 DNJ786597:DNK786597 DXF786597:DXG786597 EHB786597:EHC786597 EQX786597:EQY786597 FAT786597:FAU786597 FKP786597:FKQ786597 FUL786597:FUM786597 GEH786597:GEI786597 GOD786597:GOE786597 GXZ786597:GYA786597 HHV786597:HHW786597 HRR786597:HRS786597 IBN786597:IBO786597 ILJ786597:ILK786597 IVF786597:IVG786597 JFB786597:JFC786597 JOX786597:JOY786597 JYT786597:JYU786597 KIP786597:KIQ786597 KSL786597:KSM786597 LCH786597:LCI786597 LMD786597:LME786597 LVZ786597:LWA786597 MFV786597:MFW786597 MPR786597:MPS786597 MZN786597:MZO786597 NJJ786597:NJK786597 NTF786597:NTG786597 ODB786597:ODC786597 OMX786597:OMY786597 OWT786597:OWU786597 PGP786597:PGQ786597 PQL786597:PQM786597 QAH786597:QAI786597 QKD786597:QKE786597 QTZ786597:QUA786597 RDV786597:RDW786597 RNR786597:RNS786597 RXN786597:RXO786597 SHJ786597:SHK786597 SRF786597:SRG786597 TBB786597:TBC786597 TKX786597:TKY786597 TUT786597:TUU786597 UEP786597:UEQ786597 UOL786597:UOM786597 UYH786597:UYI786597 VID786597:VIE786597 VRZ786597:VSA786597 WBV786597:WBW786597 WLR786597:WLS786597 WVN786597:WVO786597 JB852133:JC852133 SX852133:SY852133 ACT852133:ACU852133 AMP852133:AMQ852133 AWL852133:AWM852133 BGH852133:BGI852133 BQD852133:BQE852133 BZZ852133:CAA852133 CJV852133:CJW852133 CTR852133:CTS852133 DDN852133:DDO852133 DNJ852133:DNK852133 DXF852133:DXG852133 EHB852133:EHC852133 EQX852133:EQY852133 FAT852133:FAU852133 FKP852133:FKQ852133 FUL852133:FUM852133 GEH852133:GEI852133 GOD852133:GOE852133 GXZ852133:GYA852133 HHV852133:HHW852133 HRR852133:HRS852133 IBN852133:IBO852133 ILJ852133:ILK852133 IVF852133:IVG852133 JFB852133:JFC852133 JOX852133:JOY852133 JYT852133:JYU852133 KIP852133:KIQ852133 KSL852133:KSM852133 LCH852133:LCI852133 LMD852133:LME852133 LVZ852133:LWA852133 MFV852133:MFW852133 MPR852133:MPS852133 MZN852133:MZO852133 NJJ852133:NJK852133 NTF852133:NTG852133 ODB852133:ODC852133 OMX852133:OMY852133 OWT852133:OWU852133 PGP852133:PGQ852133 PQL852133:PQM852133 QAH852133:QAI852133 QKD852133:QKE852133 QTZ852133:QUA852133 RDV852133:RDW852133 RNR852133:RNS852133 RXN852133:RXO852133 SHJ852133:SHK852133 SRF852133:SRG852133 TBB852133:TBC852133 TKX852133:TKY852133 TUT852133:TUU852133 UEP852133:UEQ852133 UOL852133:UOM852133 UYH852133:UYI852133 VID852133:VIE852133 VRZ852133:VSA852133 WBV852133:WBW852133 WLR852133:WLS852133 WVN852133:WVO852133 JB917669:JC917669 SX917669:SY917669 ACT917669:ACU917669 AMP917669:AMQ917669 AWL917669:AWM917669 BGH917669:BGI917669 BQD917669:BQE917669 BZZ917669:CAA917669 CJV917669:CJW917669 CTR917669:CTS917669 DDN917669:DDO917669 DNJ917669:DNK917669 DXF917669:DXG917669 EHB917669:EHC917669 EQX917669:EQY917669 FAT917669:FAU917669 FKP917669:FKQ917669 FUL917669:FUM917669 GEH917669:GEI917669 GOD917669:GOE917669 GXZ917669:GYA917669 HHV917669:HHW917669 HRR917669:HRS917669 IBN917669:IBO917669 ILJ917669:ILK917669 IVF917669:IVG917669 JFB917669:JFC917669 JOX917669:JOY917669 JYT917669:JYU917669 KIP917669:KIQ917669 KSL917669:KSM917669 LCH917669:LCI917669 LMD917669:LME917669 LVZ917669:LWA917669 MFV917669:MFW917669 MPR917669:MPS917669 MZN917669:MZO917669 NJJ917669:NJK917669 NTF917669:NTG917669 ODB917669:ODC917669 OMX917669:OMY917669 OWT917669:OWU917669 PGP917669:PGQ917669 PQL917669:PQM917669 QAH917669:QAI917669 QKD917669:QKE917669 QTZ917669:QUA917669 RDV917669:RDW917669 RNR917669:RNS917669 RXN917669:RXO917669 SHJ917669:SHK917669 SRF917669:SRG917669 TBB917669:TBC917669 TKX917669:TKY917669 TUT917669:TUU917669 UEP917669:UEQ917669 UOL917669:UOM917669 UYH917669:UYI917669 VID917669:VIE917669 VRZ917669:VSA917669 WBV917669:WBW917669 WLR917669:WLS917669 WVN917669:WVO917669 JB983205:JC983205 SX983205:SY983205 ACT983205:ACU983205 AMP983205:AMQ983205 AWL983205:AWM983205 BGH983205:BGI983205 BQD983205:BQE983205 BZZ983205:CAA983205 CJV983205:CJW983205 CTR983205:CTS983205 DDN983205:DDO983205 DNJ983205:DNK983205 DXF983205:DXG983205 EHB983205:EHC983205 EQX983205:EQY983205 FAT983205:FAU983205 FKP983205:FKQ983205 FUL983205:FUM983205 GEH983205:GEI983205 GOD983205:GOE983205 GXZ983205:GYA983205 HHV983205:HHW983205 HRR983205:HRS983205 IBN983205:IBO983205 ILJ983205:ILK983205 IVF983205:IVG983205 JFB983205:JFC983205 JOX983205:JOY983205 JYT983205:JYU983205 KIP983205:KIQ983205 KSL983205:KSM983205 LCH983205:LCI983205 LMD983205:LME983205 LVZ983205:LWA983205 MFV983205:MFW983205 MPR983205:MPS983205 MZN983205:MZO983205 NJJ983205:NJK983205 NTF983205:NTG983205 ODB983205:ODC983205 OMX983205:OMY983205 OWT983205:OWU983205 PGP983205:PGQ983205 PQL983205:PQM983205 QAH983205:QAI983205 QKD983205:QKE983205 QTZ983205:QUA983205 RDV983205:RDW983205 RNR983205:RNS983205 RXN983205:RXO983205 SHJ983205:SHK983205 SRF983205:SRG983205 TBB983205:TBC983205 TKX983205:TKY983205 TUT983205:TUU983205 UEP983205:UEQ983205 UOL983205:UOM983205 UYH983205:UYI983205 VID983205:VIE983205 VRZ983205:VSA983205 WBV983205:WBW983205 WLR983205:WLS983205 WVN983205:WVO983205 G983205 G917669 G852133 G786597 G721061 G655525 G589989 G524453 G458917 G393381 G327845 G262309 G196773 G131237 G65701 G165">
      <formula1>AND(OR(G165=0, G165&gt;50),G151=0)</formula1>
    </dataValidation>
    <dataValidation type="custom" operator="greaterThan" showInputMessage="1" showErrorMessage="1" errorTitle="RDM" error="No se admite ingresar a la vez RDM como ingresos y como egresos. Tampoco se admiten valores negattivos o positivos menores de 50_x000a_" sqref="JC151 SY151 ACU151 AMQ151 AWM151 BGI151 BQE151 CAA151 CJW151 CTS151 DDO151 DNK151 DXG151 EHC151 EQY151 FAU151 FKQ151 FUM151 GEI151 GOE151 GYA151 HHW151 HRS151 IBO151 ILK151 IVG151 JFC151 JOY151 JYU151 KIQ151 KSM151 LCI151 LME151 LWA151 MFW151 MPS151 MZO151 NJK151 NTG151 ODC151 OMY151 OWU151 PGQ151 PQM151 QAI151 QKE151 QUA151 RDW151 RNS151 RXO151 SHK151 SRG151 TBC151 TKY151 TUU151 UEQ151 UOM151 UYI151 VIE151 VSA151 WBW151 WLS151 WVO151 JC65687 SY65687 ACU65687 AMQ65687 AWM65687 BGI65687 BQE65687 CAA65687 CJW65687 CTS65687 DDO65687 DNK65687 DXG65687 EHC65687 EQY65687 FAU65687 FKQ65687 FUM65687 GEI65687 GOE65687 GYA65687 HHW65687 HRS65687 IBO65687 ILK65687 IVG65687 JFC65687 JOY65687 JYU65687 KIQ65687 KSM65687 LCI65687 LME65687 LWA65687 MFW65687 MPS65687 MZO65687 NJK65687 NTG65687 ODC65687 OMY65687 OWU65687 PGQ65687 PQM65687 QAI65687 QKE65687 QUA65687 RDW65687 RNS65687 RXO65687 SHK65687 SRG65687 TBC65687 TKY65687 TUU65687 UEQ65687 UOM65687 UYI65687 VIE65687 VSA65687 WBW65687 WLS65687 WVO65687 JC131223 SY131223 ACU131223 AMQ131223 AWM131223 BGI131223 BQE131223 CAA131223 CJW131223 CTS131223 DDO131223 DNK131223 DXG131223 EHC131223 EQY131223 FAU131223 FKQ131223 FUM131223 GEI131223 GOE131223 GYA131223 HHW131223 HRS131223 IBO131223 ILK131223 IVG131223 JFC131223 JOY131223 JYU131223 KIQ131223 KSM131223 LCI131223 LME131223 LWA131223 MFW131223 MPS131223 MZO131223 NJK131223 NTG131223 ODC131223 OMY131223 OWU131223 PGQ131223 PQM131223 QAI131223 QKE131223 QUA131223 RDW131223 RNS131223 RXO131223 SHK131223 SRG131223 TBC131223 TKY131223 TUU131223 UEQ131223 UOM131223 UYI131223 VIE131223 VSA131223 WBW131223 WLS131223 WVO131223 JC196759 SY196759 ACU196759 AMQ196759 AWM196759 BGI196759 BQE196759 CAA196759 CJW196759 CTS196759 DDO196759 DNK196759 DXG196759 EHC196759 EQY196759 FAU196759 FKQ196759 FUM196759 GEI196759 GOE196759 GYA196759 HHW196759 HRS196759 IBO196759 ILK196759 IVG196759 JFC196759 JOY196759 JYU196759 KIQ196759 KSM196759 LCI196759 LME196759 LWA196759 MFW196759 MPS196759 MZO196759 NJK196759 NTG196759 ODC196759 OMY196759 OWU196759 PGQ196759 PQM196759 QAI196759 QKE196759 QUA196759 RDW196759 RNS196759 RXO196759 SHK196759 SRG196759 TBC196759 TKY196759 TUU196759 UEQ196759 UOM196759 UYI196759 VIE196759 VSA196759 WBW196759 WLS196759 WVO196759 JC262295 SY262295 ACU262295 AMQ262295 AWM262295 BGI262295 BQE262295 CAA262295 CJW262295 CTS262295 DDO262295 DNK262295 DXG262295 EHC262295 EQY262295 FAU262295 FKQ262295 FUM262295 GEI262295 GOE262295 GYA262295 HHW262295 HRS262295 IBO262295 ILK262295 IVG262295 JFC262295 JOY262295 JYU262295 KIQ262295 KSM262295 LCI262295 LME262295 LWA262295 MFW262295 MPS262295 MZO262295 NJK262295 NTG262295 ODC262295 OMY262295 OWU262295 PGQ262295 PQM262295 QAI262295 QKE262295 QUA262295 RDW262295 RNS262295 RXO262295 SHK262295 SRG262295 TBC262295 TKY262295 TUU262295 UEQ262295 UOM262295 UYI262295 VIE262295 VSA262295 WBW262295 WLS262295 WVO262295 JC327831 SY327831 ACU327831 AMQ327831 AWM327831 BGI327831 BQE327831 CAA327831 CJW327831 CTS327831 DDO327831 DNK327831 DXG327831 EHC327831 EQY327831 FAU327831 FKQ327831 FUM327831 GEI327831 GOE327831 GYA327831 HHW327831 HRS327831 IBO327831 ILK327831 IVG327831 JFC327831 JOY327831 JYU327831 KIQ327831 KSM327831 LCI327831 LME327831 LWA327831 MFW327831 MPS327831 MZO327831 NJK327831 NTG327831 ODC327831 OMY327831 OWU327831 PGQ327831 PQM327831 QAI327831 QKE327831 QUA327831 RDW327831 RNS327831 RXO327831 SHK327831 SRG327831 TBC327831 TKY327831 TUU327831 UEQ327831 UOM327831 UYI327831 VIE327831 VSA327831 WBW327831 WLS327831 WVO327831 JC393367 SY393367 ACU393367 AMQ393367 AWM393367 BGI393367 BQE393367 CAA393367 CJW393367 CTS393367 DDO393367 DNK393367 DXG393367 EHC393367 EQY393367 FAU393367 FKQ393367 FUM393367 GEI393367 GOE393367 GYA393367 HHW393367 HRS393367 IBO393367 ILK393367 IVG393367 JFC393367 JOY393367 JYU393367 KIQ393367 KSM393367 LCI393367 LME393367 LWA393367 MFW393367 MPS393367 MZO393367 NJK393367 NTG393367 ODC393367 OMY393367 OWU393367 PGQ393367 PQM393367 QAI393367 QKE393367 QUA393367 RDW393367 RNS393367 RXO393367 SHK393367 SRG393367 TBC393367 TKY393367 TUU393367 UEQ393367 UOM393367 UYI393367 VIE393367 VSA393367 WBW393367 WLS393367 WVO393367 JC458903 SY458903 ACU458903 AMQ458903 AWM458903 BGI458903 BQE458903 CAA458903 CJW458903 CTS458903 DDO458903 DNK458903 DXG458903 EHC458903 EQY458903 FAU458903 FKQ458903 FUM458903 GEI458903 GOE458903 GYA458903 HHW458903 HRS458903 IBO458903 ILK458903 IVG458903 JFC458903 JOY458903 JYU458903 KIQ458903 KSM458903 LCI458903 LME458903 LWA458903 MFW458903 MPS458903 MZO458903 NJK458903 NTG458903 ODC458903 OMY458903 OWU458903 PGQ458903 PQM458903 QAI458903 QKE458903 QUA458903 RDW458903 RNS458903 RXO458903 SHK458903 SRG458903 TBC458903 TKY458903 TUU458903 UEQ458903 UOM458903 UYI458903 VIE458903 VSA458903 WBW458903 WLS458903 WVO458903 JC524439 SY524439 ACU524439 AMQ524439 AWM524439 BGI524439 BQE524439 CAA524439 CJW524439 CTS524439 DDO524439 DNK524439 DXG524439 EHC524439 EQY524439 FAU524439 FKQ524439 FUM524439 GEI524439 GOE524439 GYA524439 HHW524439 HRS524439 IBO524439 ILK524439 IVG524439 JFC524439 JOY524439 JYU524439 KIQ524439 KSM524439 LCI524439 LME524439 LWA524439 MFW524439 MPS524439 MZO524439 NJK524439 NTG524439 ODC524439 OMY524439 OWU524439 PGQ524439 PQM524439 QAI524439 QKE524439 QUA524439 RDW524439 RNS524439 RXO524439 SHK524439 SRG524439 TBC524439 TKY524439 TUU524439 UEQ524439 UOM524439 UYI524439 VIE524439 VSA524439 WBW524439 WLS524439 WVO524439 JC589975 SY589975 ACU589975 AMQ589975 AWM589975 BGI589975 BQE589975 CAA589975 CJW589975 CTS589975 DDO589975 DNK589975 DXG589975 EHC589975 EQY589975 FAU589975 FKQ589975 FUM589975 GEI589975 GOE589975 GYA589975 HHW589975 HRS589975 IBO589975 ILK589975 IVG589975 JFC589975 JOY589975 JYU589975 KIQ589975 KSM589975 LCI589975 LME589975 LWA589975 MFW589975 MPS589975 MZO589975 NJK589975 NTG589975 ODC589975 OMY589975 OWU589975 PGQ589975 PQM589975 QAI589975 QKE589975 QUA589975 RDW589975 RNS589975 RXO589975 SHK589975 SRG589975 TBC589975 TKY589975 TUU589975 UEQ589975 UOM589975 UYI589975 VIE589975 VSA589975 WBW589975 WLS589975 WVO589975 JC655511 SY655511 ACU655511 AMQ655511 AWM655511 BGI655511 BQE655511 CAA655511 CJW655511 CTS655511 DDO655511 DNK655511 DXG655511 EHC655511 EQY655511 FAU655511 FKQ655511 FUM655511 GEI655511 GOE655511 GYA655511 HHW655511 HRS655511 IBO655511 ILK655511 IVG655511 JFC655511 JOY655511 JYU655511 KIQ655511 KSM655511 LCI655511 LME655511 LWA655511 MFW655511 MPS655511 MZO655511 NJK655511 NTG655511 ODC655511 OMY655511 OWU655511 PGQ655511 PQM655511 QAI655511 QKE655511 QUA655511 RDW655511 RNS655511 RXO655511 SHK655511 SRG655511 TBC655511 TKY655511 TUU655511 UEQ655511 UOM655511 UYI655511 VIE655511 VSA655511 WBW655511 WLS655511 WVO655511 JC721047 SY721047 ACU721047 AMQ721047 AWM721047 BGI721047 BQE721047 CAA721047 CJW721047 CTS721047 DDO721047 DNK721047 DXG721047 EHC721047 EQY721047 FAU721047 FKQ721047 FUM721047 GEI721047 GOE721047 GYA721047 HHW721047 HRS721047 IBO721047 ILK721047 IVG721047 JFC721047 JOY721047 JYU721047 KIQ721047 KSM721047 LCI721047 LME721047 LWA721047 MFW721047 MPS721047 MZO721047 NJK721047 NTG721047 ODC721047 OMY721047 OWU721047 PGQ721047 PQM721047 QAI721047 QKE721047 QUA721047 RDW721047 RNS721047 RXO721047 SHK721047 SRG721047 TBC721047 TKY721047 TUU721047 UEQ721047 UOM721047 UYI721047 VIE721047 VSA721047 WBW721047 WLS721047 WVO721047 JC786583 SY786583 ACU786583 AMQ786583 AWM786583 BGI786583 BQE786583 CAA786583 CJW786583 CTS786583 DDO786583 DNK786583 DXG786583 EHC786583 EQY786583 FAU786583 FKQ786583 FUM786583 GEI786583 GOE786583 GYA786583 HHW786583 HRS786583 IBO786583 ILK786583 IVG786583 JFC786583 JOY786583 JYU786583 KIQ786583 KSM786583 LCI786583 LME786583 LWA786583 MFW786583 MPS786583 MZO786583 NJK786583 NTG786583 ODC786583 OMY786583 OWU786583 PGQ786583 PQM786583 QAI786583 QKE786583 QUA786583 RDW786583 RNS786583 RXO786583 SHK786583 SRG786583 TBC786583 TKY786583 TUU786583 UEQ786583 UOM786583 UYI786583 VIE786583 VSA786583 WBW786583 WLS786583 WVO786583 JC852119 SY852119 ACU852119 AMQ852119 AWM852119 BGI852119 BQE852119 CAA852119 CJW852119 CTS852119 DDO852119 DNK852119 DXG852119 EHC852119 EQY852119 FAU852119 FKQ852119 FUM852119 GEI852119 GOE852119 GYA852119 HHW852119 HRS852119 IBO852119 ILK852119 IVG852119 JFC852119 JOY852119 JYU852119 KIQ852119 KSM852119 LCI852119 LME852119 LWA852119 MFW852119 MPS852119 MZO852119 NJK852119 NTG852119 ODC852119 OMY852119 OWU852119 PGQ852119 PQM852119 QAI852119 QKE852119 QUA852119 RDW852119 RNS852119 RXO852119 SHK852119 SRG852119 TBC852119 TKY852119 TUU852119 UEQ852119 UOM852119 UYI852119 VIE852119 VSA852119 WBW852119 WLS852119 WVO852119 JC917655 SY917655 ACU917655 AMQ917655 AWM917655 BGI917655 BQE917655 CAA917655 CJW917655 CTS917655 DDO917655 DNK917655 DXG917655 EHC917655 EQY917655 FAU917655 FKQ917655 FUM917655 GEI917655 GOE917655 GYA917655 HHW917655 HRS917655 IBO917655 ILK917655 IVG917655 JFC917655 JOY917655 JYU917655 KIQ917655 KSM917655 LCI917655 LME917655 LWA917655 MFW917655 MPS917655 MZO917655 NJK917655 NTG917655 ODC917655 OMY917655 OWU917655 PGQ917655 PQM917655 QAI917655 QKE917655 QUA917655 RDW917655 RNS917655 RXO917655 SHK917655 SRG917655 TBC917655 TKY917655 TUU917655 UEQ917655 UOM917655 UYI917655 VIE917655 VSA917655 WBW917655 WLS917655 WVO917655 JC983191 SY983191 ACU983191 AMQ983191 AWM983191 BGI983191 BQE983191 CAA983191 CJW983191 CTS983191 DDO983191 DNK983191 DXG983191 EHC983191 EQY983191 FAU983191 FKQ983191 FUM983191 GEI983191 GOE983191 GYA983191 HHW983191 HRS983191 IBO983191 ILK983191 IVG983191 JFC983191 JOY983191 JYU983191 KIQ983191 KSM983191 LCI983191 LME983191 LWA983191 MFW983191 MPS983191 MZO983191 NJK983191 NTG983191 ODC983191 OMY983191 OWU983191 PGQ983191 PQM983191 QAI983191 QKE983191 QUA983191 RDW983191 RNS983191 RXO983191 SHK983191 SRG983191 TBC983191 TKY983191 TUU983191 UEQ983191 UOM983191 UYI983191 VIE983191 VSA983191 WBW983191 WLS983191 WVO983191">
      <formula1>AND(OR(JC151=0, JC151&gt;50),JC165=0)</formula1>
    </dataValidation>
    <dataValidation type="custom" operator="greaterThan" showInputMessage="1" showErrorMessage="1" errorTitle="eee" sqref="D56 IX56 ST56 ACP56 AML56 AWH56 BGD56 BPZ56 BZV56 CJR56 CTN56 DDJ56 DNF56 DXB56 EGX56 EQT56 FAP56 FKL56 FUH56 GED56 GNZ56 GXV56 HHR56 HRN56 IBJ56 ILF56 IVB56 JEX56 JOT56 JYP56 KIL56 KSH56 LCD56 LLZ56 LVV56 MFR56 MPN56 MZJ56 NJF56 NTB56 OCX56 OMT56 OWP56 PGL56 PQH56 QAD56 QJZ56 QTV56 RDR56 RNN56 RXJ56 SHF56 SRB56 TAX56 TKT56 TUP56 UEL56 UOH56 UYD56 VHZ56 VRV56 WBR56 WLN56 WVJ56 D65592 IX65592 ST65592 ACP65592 AML65592 AWH65592 BGD65592 BPZ65592 BZV65592 CJR65592 CTN65592 DDJ65592 DNF65592 DXB65592 EGX65592 EQT65592 FAP65592 FKL65592 FUH65592 GED65592 GNZ65592 GXV65592 HHR65592 HRN65592 IBJ65592 ILF65592 IVB65592 JEX65592 JOT65592 JYP65592 KIL65592 KSH65592 LCD65592 LLZ65592 LVV65592 MFR65592 MPN65592 MZJ65592 NJF65592 NTB65592 OCX65592 OMT65592 OWP65592 PGL65592 PQH65592 QAD65592 QJZ65592 QTV65592 RDR65592 RNN65592 RXJ65592 SHF65592 SRB65592 TAX65592 TKT65592 TUP65592 UEL65592 UOH65592 UYD65592 VHZ65592 VRV65592 WBR65592 WLN65592 WVJ65592 D131128 IX131128 ST131128 ACP131128 AML131128 AWH131128 BGD131128 BPZ131128 BZV131128 CJR131128 CTN131128 DDJ131128 DNF131128 DXB131128 EGX131128 EQT131128 FAP131128 FKL131128 FUH131128 GED131128 GNZ131128 GXV131128 HHR131128 HRN131128 IBJ131128 ILF131128 IVB131128 JEX131128 JOT131128 JYP131128 KIL131128 KSH131128 LCD131128 LLZ131128 LVV131128 MFR131128 MPN131128 MZJ131128 NJF131128 NTB131128 OCX131128 OMT131128 OWP131128 PGL131128 PQH131128 QAD131128 QJZ131128 QTV131128 RDR131128 RNN131128 RXJ131128 SHF131128 SRB131128 TAX131128 TKT131128 TUP131128 UEL131128 UOH131128 UYD131128 VHZ131128 VRV131128 WBR131128 WLN131128 WVJ131128 D196664 IX196664 ST196664 ACP196664 AML196664 AWH196664 BGD196664 BPZ196664 BZV196664 CJR196664 CTN196664 DDJ196664 DNF196664 DXB196664 EGX196664 EQT196664 FAP196664 FKL196664 FUH196664 GED196664 GNZ196664 GXV196664 HHR196664 HRN196664 IBJ196664 ILF196664 IVB196664 JEX196664 JOT196664 JYP196664 KIL196664 KSH196664 LCD196664 LLZ196664 LVV196664 MFR196664 MPN196664 MZJ196664 NJF196664 NTB196664 OCX196664 OMT196664 OWP196664 PGL196664 PQH196664 QAD196664 QJZ196664 QTV196664 RDR196664 RNN196664 RXJ196664 SHF196664 SRB196664 TAX196664 TKT196664 TUP196664 UEL196664 UOH196664 UYD196664 VHZ196664 VRV196664 WBR196664 WLN196664 WVJ196664 D262200 IX262200 ST262200 ACP262200 AML262200 AWH262200 BGD262200 BPZ262200 BZV262200 CJR262200 CTN262200 DDJ262200 DNF262200 DXB262200 EGX262200 EQT262200 FAP262200 FKL262200 FUH262200 GED262200 GNZ262200 GXV262200 HHR262200 HRN262200 IBJ262200 ILF262200 IVB262200 JEX262200 JOT262200 JYP262200 KIL262200 KSH262200 LCD262200 LLZ262200 LVV262200 MFR262200 MPN262200 MZJ262200 NJF262200 NTB262200 OCX262200 OMT262200 OWP262200 PGL262200 PQH262200 QAD262200 QJZ262200 QTV262200 RDR262200 RNN262200 RXJ262200 SHF262200 SRB262200 TAX262200 TKT262200 TUP262200 UEL262200 UOH262200 UYD262200 VHZ262200 VRV262200 WBR262200 WLN262200 WVJ262200 D327736 IX327736 ST327736 ACP327736 AML327736 AWH327736 BGD327736 BPZ327736 BZV327736 CJR327736 CTN327736 DDJ327736 DNF327736 DXB327736 EGX327736 EQT327736 FAP327736 FKL327736 FUH327736 GED327736 GNZ327736 GXV327736 HHR327736 HRN327736 IBJ327736 ILF327736 IVB327736 JEX327736 JOT327736 JYP327736 KIL327736 KSH327736 LCD327736 LLZ327736 LVV327736 MFR327736 MPN327736 MZJ327736 NJF327736 NTB327736 OCX327736 OMT327736 OWP327736 PGL327736 PQH327736 QAD327736 QJZ327736 QTV327736 RDR327736 RNN327736 RXJ327736 SHF327736 SRB327736 TAX327736 TKT327736 TUP327736 UEL327736 UOH327736 UYD327736 VHZ327736 VRV327736 WBR327736 WLN327736 WVJ327736 D393272 IX393272 ST393272 ACP393272 AML393272 AWH393272 BGD393272 BPZ393272 BZV393272 CJR393272 CTN393272 DDJ393272 DNF393272 DXB393272 EGX393272 EQT393272 FAP393272 FKL393272 FUH393272 GED393272 GNZ393272 GXV393272 HHR393272 HRN393272 IBJ393272 ILF393272 IVB393272 JEX393272 JOT393272 JYP393272 KIL393272 KSH393272 LCD393272 LLZ393272 LVV393272 MFR393272 MPN393272 MZJ393272 NJF393272 NTB393272 OCX393272 OMT393272 OWP393272 PGL393272 PQH393272 QAD393272 QJZ393272 QTV393272 RDR393272 RNN393272 RXJ393272 SHF393272 SRB393272 TAX393272 TKT393272 TUP393272 UEL393272 UOH393272 UYD393272 VHZ393272 VRV393272 WBR393272 WLN393272 WVJ393272 D458808 IX458808 ST458808 ACP458808 AML458808 AWH458808 BGD458808 BPZ458808 BZV458808 CJR458808 CTN458808 DDJ458808 DNF458808 DXB458808 EGX458808 EQT458808 FAP458808 FKL458808 FUH458808 GED458808 GNZ458808 GXV458808 HHR458808 HRN458808 IBJ458808 ILF458808 IVB458808 JEX458808 JOT458808 JYP458808 KIL458808 KSH458808 LCD458808 LLZ458808 LVV458808 MFR458808 MPN458808 MZJ458808 NJF458808 NTB458808 OCX458808 OMT458808 OWP458808 PGL458808 PQH458808 QAD458808 QJZ458808 QTV458808 RDR458808 RNN458808 RXJ458808 SHF458808 SRB458808 TAX458808 TKT458808 TUP458808 UEL458808 UOH458808 UYD458808 VHZ458808 VRV458808 WBR458808 WLN458808 WVJ458808 D524344 IX524344 ST524344 ACP524344 AML524344 AWH524344 BGD524344 BPZ524344 BZV524344 CJR524344 CTN524344 DDJ524344 DNF524344 DXB524344 EGX524344 EQT524344 FAP524344 FKL524344 FUH524344 GED524344 GNZ524344 GXV524344 HHR524344 HRN524344 IBJ524344 ILF524344 IVB524344 JEX524344 JOT524344 JYP524344 KIL524344 KSH524344 LCD524344 LLZ524344 LVV524344 MFR524344 MPN524344 MZJ524344 NJF524344 NTB524344 OCX524344 OMT524344 OWP524344 PGL524344 PQH524344 QAD524344 QJZ524344 QTV524344 RDR524344 RNN524344 RXJ524344 SHF524344 SRB524344 TAX524344 TKT524344 TUP524344 UEL524344 UOH524344 UYD524344 VHZ524344 VRV524344 WBR524344 WLN524344 WVJ524344 D589880 IX589880 ST589880 ACP589880 AML589880 AWH589880 BGD589880 BPZ589880 BZV589880 CJR589880 CTN589880 DDJ589880 DNF589880 DXB589880 EGX589880 EQT589880 FAP589880 FKL589880 FUH589880 GED589880 GNZ589880 GXV589880 HHR589880 HRN589880 IBJ589880 ILF589880 IVB589880 JEX589880 JOT589880 JYP589880 KIL589880 KSH589880 LCD589880 LLZ589880 LVV589880 MFR589880 MPN589880 MZJ589880 NJF589880 NTB589880 OCX589880 OMT589880 OWP589880 PGL589880 PQH589880 QAD589880 QJZ589880 QTV589880 RDR589880 RNN589880 RXJ589880 SHF589880 SRB589880 TAX589880 TKT589880 TUP589880 UEL589880 UOH589880 UYD589880 VHZ589880 VRV589880 WBR589880 WLN589880 WVJ589880 D655416 IX655416 ST655416 ACP655416 AML655416 AWH655416 BGD655416 BPZ655416 BZV655416 CJR655416 CTN655416 DDJ655416 DNF655416 DXB655416 EGX655416 EQT655416 FAP655416 FKL655416 FUH655416 GED655416 GNZ655416 GXV655416 HHR655416 HRN655416 IBJ655416 ILF655416 IVB655416 JEX655416 JOT655416 JYP655416 KIL655416 KSH655416 LCD655416 LLZ655416 LVV655416 MFR655416 MPN655416 MZJ655416 NJF655416 NTB655416 OCX655416 OMT655416 OWP655416 PGL655416 PQH655416 QAD655416 QJZ655416 QTV655416 RDR655416 RNN655416 RXJ655416 SHF655416 SRB655416 TAX655416 TKT655416 TUP655416 UEL655416 UOH655416 UYD655416 VHZ655416 VRV655416 WBR655416 WLN655416 WVJ655416 D720952 IX720952 ST720952 ACP720952 AML720952 AWH720952 BGD720952 BPZ720952 BZV720952 CJR720952 CTN720952 DDJ720952 DNF720952 DXB720952 EGX720952 EQT720952 FAP720952 FKL720952 FUH720952 GED720952 GNZ720952 GXV720952 HHR720952 HRN720952 IBJ720952 ILF720952 IVB720952 JEX720952 JOT720952 JYP720952 KIL720952 KSH720952 LCD720952 LLZ720952 LVV720952 MFR720952 MPN720952 MZJ720952 NJF720952 NTB720952 OCX720952 OMT720952 OWP720952 PGL720952 PQH720952 QAD720952 QJZ720952 QTV720952 RDR720952 RNN720952 RXJ720952 SHF720952 SRB720952 TAX720952 TKT720952 TUP720952 UEL720952 UOH720952 UYD720952 VHZ720952 VRV720952 WBR720952 WLN720952 WVJ720952 D786488 IX786488 ST786488 ACP786488 AML786488 AWH786488 BGD786488 BPZ786488 BZV786488 CJR786488 CTN786488 DDJ786488 DNF786488 DXB786488 EGX786488 EQT786488 FAP786488 FKL786488 FUH786488 GED786488 GNZ786488 GXV786488 HHR786488 HRN786488 IBJ786488 ILF786488 IVB786488 JEX786488 JOT786488 JYP786488 KIL786488 KSH786488 LCD786488 LLZ786488 LVV786488 MFR786488 MPN786488 MZJ786488 NJF786488 NTB786488 OCX786488 OMT786488 OWP786488 PGL786488 PQH786488 QAD786488 QJZ786488 QTV786488 RDR786488 RNN786488 RXJ786488 SHF786488 SRB786488 TAX786488 TKT786488 TUP786488 UEL786488 UOH786488 UYD786488 VHZ786488 VRV786488 WBR786488 WLN786488 WVJ786488 D852024 IX852024 ST852024 ACP852024 AML852024 AWH852024 BGD852024 BPZ852024 BZV852024 CJR852024 CTN852024 DDJ852024 DNF852024 DXB852024 EGX852024 EQT852024 FAP852024 FKL852024 FUH852024 GED852024 GNZ852024 GXV852024 HHR852024 HRN852024 IBJ852024 ILF852024 IVB852024 JEX852024 JOT852024 JYP852024 KIL852024 KSH852024 LCD852024 LLZ852024 LVV852024 MFR852024 MPN852024 MZJ852024 NJF852024 NTB852024 OCX852024 OMT852024 OWP852024 PGL852024 PQH852024 QAD852024 QJZ852024 QTV852024 RDR852024 RNN852024 RXJ852024 SHF852024 SRB852024 TAX852024 TKT852024 TUP852024 UEL852024 UOH852024 UYD852024 VHZ852024 VRV852024 WBR852024 WLN852024 WVJ852024 D917560 IX917560 ST917560 ACP917560 AML917560 AWH917560 BGD917560 BPZ917560 BZV917560 CJR917560 CTN917560 DDJ917560 DNF917560 DXB917560 EGX917560 EQT917560 FAP917560 FKL917560 FUH917560 GED917560 GNZ917560 GXV917560 HHR917560 HRN917560 IBJ917560 ILF917560 IVB917560 JEX917560 JOT917560 JYP917560 KIL917560 KSH917560 LCD917560 LLZ917560 LVV917560 MFR917560 MPN917560 MZJ917560 NJF917560 NTB917560 OCX917560 OMT917560 OWP917560 PGL917560 PQH917560 QAD917560 QJZ917560 QTV917560 RDR917560 RNN917560 RXJ917560 SHF917560 SRB917560 TAX917560 TKT917560 TUP917560 UEL917560 UOH917560 UYD917560 VHZ917560 VRV917560 WBR917560 WLN917560 WVJ917560 D983096 IX983096 ST983096 ACP983096 AML983096 AWH983096 BGD983096 BPZ983096 BZV983096 CJR983096 CTN983096 DDJ983096 DNF983096 DXB983096 EGX983096 EQT983096 FAP983096 FKL983096 FUH983096 GED983096 GNZ983096 GXV983096 HHR983096 HRN983096 IBJ983096 ILF983096 IVB983096 JEX983096 JOT983096 JYP983096 KIL983096 KSH983096 LCD983096 LLZ983096 LVV983096 MFR983096 MPN983096 MZJ983096 NJF983096 NTB983096 OCX983096 OMT983096 OWP983096 PGL983096 PQH983096 QAD983096 QJZ983096 QTV983096 RDR983096 RNN983096 RXJ983096 SHF983096 SRB983096 TAX983096 TKT983096 TUP983096 UEL983096 UOH983096 UYD983096 VHZ983096 VRV983096 WBR983096 WLN983096 WVJ983096">
      <formula1>OR(D56=0, D56&lt;50)</formula1>
    </dataValidation>
    <dataValidation type="custom" operator="greaterThan" showInputMessage="1" showErrorMessage="1" errorTitle="eee" sqref="IY56:IY61 SU56:SU61 ACQ56:ACQ61 AMM56:AMM61 AWI56:AWI61 BGE56:BGE61 BQA56:BQA61 BZW56:BZW61 CJS56:CJS61 CTO56:CTO61 DDK56:DDK61 DNG56:DNG61 DXC56:DXC61 EGY56:EGY61 EQU56:EQU61 FAQ56:FAQ61 FKM56:FKM61 FUI56:FUI61 GEE56:GEE61 GOA56:GOA61 GXW56:GXW61 HHS56:HHS61 HRO56:HRO61 IBK56:IBK61 ILG56:ILG61 IVC56:IVC61 JEY56:JEY61 JOU56:JOU61 JYQ56:JYQ61 KIM56:KIM61 KSI56:KSI61 LCE56:LCE61 LMA56:LMA61 LVW56:LVW61 MFS56:MFS61 MPO56:MPO61 MZK56:MZK61 NJG56:NJG61 NTC56:NTC61 OCY56:OCY61 OMU56:OMU61 OWQ56:OWQ61 PGM56:PGM61 PQI56:PQI61 QAE56:QAE61 QKA56:QKA61 QTW56:QTW61 RDS56:RDS61 RNO56:RNO61 RXK56:RXK61 SHG56:SHG61 SRC56:SRC61 TAY56:TAY61 TKU56:TKU61 TUQ56:TUQ61 UEM56:UEM61 UOI56:UOI61 UYE56:UYE61 VIA56:VIA61 VRW56:VRW61 WBS56:WBS61 WLO56:WLO61 WVK56:WVK61 IY65592:IY65597 SU65592:SU65597 ACQ65592:ACQ65597 AMM65592:AMM65597 AWI65592:AWI65597 BGE65592:BGE65597 BQA65592:BQA65597 BZW65592:BZW65597 CJS65592:CJS65597 CTO65592:CTO65597 DDK65592:DDK65597 DNG65592:DNG65597 DXC65592:DXC65597 EGY65592:EGY65597 EQU65592:EQU65597 FAQ65592:FAQ65597 FKM65592:FKM65597 FUI65592:FUI65597 GEE65592:GEE65597 GOA65592:GOA65597 GXW65592:GXW65597 HHS65592:HHS65597 HRO65592:HRO65597 IBK65592:IBK65597 ILG65592:ILG65597 IVC65592:IVC65597 JEY65592:JEY65597 JOU65592:JOU65597 JYQ65592:JYQ65597 KIM65592:KIM65597 KSI65592:KSI65597 LCE65592:LCE65597 LMA65592:LMA65597 LVW65592:LVW65597 MFS65592:MFS65597 MPO65592:MPO65597 MZK65592:MZK65597 NJG65592:NJG65597 NTC65592:NTC65597 OCY65592:OCY65597 OMU65592:OMU65597 OWQ65592:OWQ65597 PGM65592:PGM65597 PQI65592:PQI65597 QAE65592:QAE65597 QKA65592:QKA65597 QTW65592:QTW65597 RDS65592:RDS65597 RNO65592:RNO65597 RXK65592:RXK65597 SHG65592:SHG65597 SRC65592:SRC65597 TAY65592:TAY65597 TKU65592:TKU65597 TUQ65592:TUQ65597 UEM65592:UEM65597 UOI65592:UOI65597 UYE65592:UYE65597 VIA65592:VIA65597 VRW65592:VRW65597 WBS65592:WBS65597 WLO65592:WLO65597 WVK65592:WVK65597 IY131128:IY131133 SU131128:SU131133 ACQ131128:ACQ131133 AMM131128:AMM131133 AWI131128:AWI131133 BGE131128:BGE131133 BQA131128:BQA131133 BZW131128:BZW131133 CJS131128:CJS131133 CTO131128:CTO131133 DDK131128:DDK131133 DNG131128:DNG131133 DXC131128:DXC131133 EGY131128:EGY131133 EQU131128:EQU131133 FAQ131128:FAQ131133 FKM131128:FKM131133 FUI131128:FUI131133 GEE131128:GEE131133 GOA131128:GOA131133 GXW131128:GXW131133 HHS131128:HHS131133 HRO131128:HRO131133 IBK131128:IBK131133 ILG131128:ILG131133 IVC131128:IVC131133 JEY131128:JEY131133 JOU131128:JOU131133 JYQ131128:JYQ131133 KIM131128:KIM131133 KSI131128:KSI131133 LCE131128:LCE131133 LMA131128:LMA131133 LVW131128:LVW131133 MFS131128:MFS131133 MPO131128:MPO131133 MZK131128:MZK131133 NJG131128:NJG131133 NTC131128:NTC131133 OCY131128:OCY131133 OMU131128:OMU131133 OWQ131128:OWQ131133 PGM131128:PGM131133 PQI131128:PQI131133 QAE131128:QAE131133 QKA131128:QKA131133 QTW131128:QTW131133 RDS131128:RDS131133 RNO131128:RNO131133 RXK131128:RXK131133 SHG131128:SHG131133 SRC131128:SRC131133 TAY131128:TAY131133 TKU131128:TKU131133 TUQ131128:TUQ131133 UEM131128:UEM131133 UOI131128:UOI131133 UYE131128:UYE131133 VIA131128:VIA131133 VRW131128:VRW131133 WBS131128:WBS131133 WLO131128:WLO131133 WVK131128:WVK131133 IY196664:IY196669 SU196664:SU196669 ACQ196664:ACQ196669 AMM196664:AMM196669 AWI196664:AWI196669 BGE196664:BGE196669 BQA196664:BQA196669 BZW196664:BZW196669 CJS196664:CJS196669 CTO196664:CTO196669 DDK196664:DDK196669 DNG196664:DNG196669 DXC196664:DXC196669 EGY196664:EGY196669 EQU196664:EQU196669 FAQ196664:FAQ196669 FKM196664:FKM196669 FUI196664:FUI196669 GEE196664:GEE196669 GOA196664:GOA196669 GXW196664:GXW196669 HHS196664:HHS196669 HRO196664:HRO196669 IBK196664:IBK196669 ILG196664:ILG196669 IVC196664:IVC196669 JEY196664:JEY196669 JOU196664:JOU196669 JYQ196664:JYQ196669 KIM196664:KIM196669 KSI196664:KSI196669 LCE196664:LCE196669 LMA196664:LMA196669 LVW196664:LVW196669 MFS196664:MFS196669 MPO196664:MPO196669 MZK196664:MZK196669 NJG196664:NJG196669 NTC196664:NTC196669 OCY196664:OCY196669 OMU196664:OMU196669 OWQ196664:OWQ196669 PGM196664:PGM196669 PQI196664:PQI196669 QAE196664:QAE196669 QKA196664:QKA196669 QTW196664:QTW196669 RDS196664:RDS196669 RNO196664:RNO196669 RXK196664:RXK196669 SHG196664:SHG196669 SRC196664:SRC196669 TAY196664:TAY196669 TKU196664:TKU196669 TUQ196664:TUQ196669 UEM196664:UEM196669 UOI196664:UOI196669 UYE196664:UYE196669 VIA196664:VIA196669 VRW196664:VRW196669 WBS196664:WBS196669 WLO196664:WLO196669 WVK196664:WVK196669 IY262200:IY262205 SU262200:SU262205 ACQ262200:ACQ262205 AMM262200:AMM262205 AWI262200:AWI262205 BGE262200:BGE262205 BQA262200:BQA262205 BZW262200:BZW262205 CJS262200:CJS262205 CTO262200:CTO262205 DDK262200:DDK262205 DNG262200:DNG262205 DXC262200:DXC262205 EGY262200:EGY262205 EQU262200:EQU262205 FAQ262200:FAQ262205 FKM262200:FKM262205 FUI262200:FUI262205 GEE262200:GEE262205 GOA262200:GOA262205 GXW262200:GXW262205 HHS262200:HHS262205 HRO262200:HRO262205 IBK262200:IBK262205 ILG262200:ILG262205 IVC262200:IVC262205 JEY262200:JEY262205 JOU262200:JOU262205 JYQ262200:JYQ262205 KIM262200:KIM262205 KSI262200:KSI262205 LCE262200:LCE262205 LMA262200:LMA262205 LVW262200:LVW262205 MFS262200:MFS262205 MPO262200:MPO262205 MZK262200:MZK262205 NJG262200:NJG262205 NTC262200:NTC262205 OCY262200:OCY262205 OMU262200:OMU262205 OWQ262200:OWQ262205 PGM262200:PGM262205 PQI262200:PQI262205 QAE262200:QAE262205 QKA262200:QKA262205 QTW262200:QTW262205 RDS262200:RDS262205 RNO262200:RNO262205 RXK262200:RXK262205 SHG262200:SHG262205 SRC262200:SRC262205 TAY262200:TAY262205 TKU262200:TKU262205 TUQ262200:TUQ262205 UEM262200:UEM262205 UOI262200:UOI262205 UYE262200:UYE262205 VIA262200:VIA262205 VRW262200:VRW262205 WBS262200:WBS262205 WLO262200:WLO262205 WVK262200:WVK262205 IY327736:IY327741 SU327736:SU327741 ACQ327736:ACQ327741 AMM327736:AMM327741 AWI327736:AWI327741 BGE327736:BGE327741 BQA327736:BQA327741 BZW327736:BZW327741 CJS327736:CJS327741 CTO327736:CTO327741 DDK327736:DDK327741 DNG327736:DNG327741 DXC327736:DXC327741 EGY327736:EGY327741 EQU327736:EQU327741 FAQ327736:FAQ327741 FKM327736:FKM327741 FUI327736:FUI327741 GEE327736:GEE327741 GOA327736:GOA327741 GXW327736:GXW327741 HHS327736:HHS327741 HRO327736:HRO327741 IBK327736:IBK327741 ILG327736:ILG327741 IVC327736:IVC327741 JEY327736:JEY327741 JOU327736:JOU327741 JYQ327736:JYQ327741 KIM327736:KIM327741 KSI327736:KSI327741 LCE327736:LCE327741 LMA327736:LMA327741 LVW327736:LVW327741 MFS327736:MFS327741 MPO327736:MPO327741 MZK327736:MZK327741 NJG327736:NJG327741 NTC327736:NTC327741 OCY327736:OCY327741 OMU327736:OMU327741 OWQ327736:OWQ327741 PGM327736:PGM327741 PQI327736:PQI327741 QAE327736:QAE327741 QKA327736:QKA327741 QTW327736:QTW327741 RDS327736:RDS327741 RNO327736:RNO327741 RXK327736:RXK327741 SHG327736:SHG327741 SRC327736:SRC327741 TAY327736:TAY327741 TKU327736:TKU327741 TUQ327736:TUQ327741 UEM327736:UEM327741 UOI327736:UOI327741 UYE327736:UYE327741 VIA327736:VIA327741 VRW327736:VRW327741 WBS327736:WBS327741 WLO327736:WLO327741 WVK327736:WVK327741 IY393272:IY393277 SU393272:SU393277 ACQ393272:ACQ393277 AMM393272:AMM393277 AWI393272:AWI393277 BGE393272:BGE393277 BQA393272:BQA393277 BZW393272:BZW393277 CJS393272:CJS393277 CTO393272:CTO393277 DDK393272:DDK393277 DNG393272:DNG393277 DXC393272:DXC393277 EGY393272:EGY393277 EQU393272:EQU393277 FAQ393272:FAQ393277 FKM393272:FKM393277 FUI393272:FUI393277 GEE393272:GEE393277 GOA393272:GOA393277 GXW393272:GXW393277 HHS393272:HHS393277 HRO393272:HRO393277 IBK393272:IBK393277 ILG393272:ILG393277 IVC393272:IVC393277 JEY393272:JEY393277 JOU393272:JOU393277 JYQ393272:JYQ393277 KIM393272:KIM393277 KSI393272:KSI393277 LCE393272:LCE393277 LMA393272:LMA393277 LVW393272:LVW393277 MFS393272:MFS393277 MPO393272:MPO393277 MZK393272:MZK393277 NJG393272:NJG393277 NTC393272:NTC393277 OCY393272:OCY393277 OMU393272:OMU393277 OWQ393272:OWQ393277 PGM393272:PGM393277 PQI393272:PQI393277 QAE393272:QAE393277 QKA393272:QKA393277 QTW393272:QTW393277 RDS393272:RDS393277 RNO393272:RNO393277 RXK393272:RXK393277 SHG393272:SHG393277 SRC393272:SRC393277 TAY393272:TAY393277 TKU393272:TKU393277 TUQ393272:TUQ393277 UEM393272:UEM393277 UOI393272:UOI393277 UYE393272:UYE393277 VIA393272:VIA393277 VRW393272:VRW393277 WBS393272:WBS393277 WLO393272:WLO393277 WVK393272:WVK393277 IY458808:IY458813 SU458808:SU458813 ACQ458808:ACQ458813 AMM458808:AMM458813 AWI458808:AWI458813 BGE458808:BGE458813 BQA458808:BQA458813 BZW458808:BZW458813 CJS458808:CJS458813 CTO458808:CTO458813 DDK458808:DDK458813 DNG458808:DNG458813 DXC458808:DXC458813 EGY458808:EGY458813 EQU458808:EQU458813 FAQ458808:FAQ458813 FKM458808:FKM458813 FUI458808:FUI458813 GEE458808:GEE458813 GOA458808:GOA458813 GXW458808:GXW458813 HHS458808:HHS458813 HRO458808:HRO458813 IBK458808:IBK458813 ILG458808:ILG458813 IVC458808:IVC458813 JEY458808:JEY458813 JOU458808:JOU458813 JYQ458808:JYQ458813 KIM458808:KIM458813 KSI458808:KSI458813 LCE458808:LCE458813 LMA458808:LMA458813 LVW458808:LVW458813 MFS458808:MFS458813 MPO458808:MPO458813 MZK458808:MZK458813 NJG458808:NJG458813 NTC458808:NTC458813 OCY458808:OCY458813 OMU458808:OMU458813 OWQ458808:OWQ458813 PGM458808:PGM458813 PQI458808:PQI458813 QAE458808:QAE458813 QKA458808:QKA458813 QTW458808:QTW458813 RDS458808:RDS458813 RNO458808:RNO458813 RXK458808:RXK458813 SHG458808:SHG458813 SRC458808:SRC458813 TAY458808:TAY458813 TKU458808:TKU458813 TUQ458808:TUQ458813 UEM458808:UEM458813 UOI458808:UOI458813 UYE458808:UYE458813 VIA458808:VIA458813 VRW458808:VRW458813 WBS458808:WBS458813 WLO458808:WLO458813 WVK458808:WVK458813 IY524344:IY524349 SU524344:SU524349 ACQ524344:ACQ524349 AMM524344:AMM524349 AWI524344:AWI524349 BGE524344:BGE524349 BQA524344:BQA524349 BZW524344:BZW524349 CJS524344:CJS524349 CTO524344:CTO524349 DDK524344:DDK524349 DNG524344:DNG524349 DXC524344:DXC524349 EGY524344:EGY524349 EQU524344:EQU524349 FAQ524344:FAQ524349 FKM524344:FKM524349 FUI524344:FUI524349 GEE524344:GEE524349 GOA524344:GOA524349 GXW524344:GXW524349 HHS524344:HHS524349 HRO524344:HRO524349 IBK524344:IBK524349 ILG524344:ILG524349 IVC524344:IVC524349 JEY524344:JEY524349 JOU524344:JOU524349 JYQ524344:JYQ524349 KIM524344:KIM524349 KSI524344:KSI524349 LCE524344:LCE524349 LMA524344:LMA524349 LVW524344:LVW524349 MFS524344:MFS524349 MPO524344:MPO524349 MZK524344:MZK524349 NJG524344:NJG524349 NTC524344:NTC524349 OCY524344:OCY524349 OMU524344:OMU524349 OWQ524344:OWQ524349 PGM524344:PGM524349 PQI524344:PQI524349 QAE524344:QAE524349 QKA524344:QKA524349 QTW524344:QTW524349 RDS524344:RDS524349 RNO524344:RNO524349 RXK524344:RXK524349 SHG524344:SHG524349 SRC524344:SRC524349 TAY524344:TAY524349 TKU524344:TKU524349 TUQ524344:TUQ524349 UEM524344:UEM524349 UOI524344:UOI524349 UYE524344:UYE524349 VIA524344:VIA524349 VRW524344:VRW524349 WBS524344:WBS524349 WLO524344:WLO524349 WVK524344:WVK524349 IY589880:IY589885 SU589880:SU589885 ACQ589880:ACQ589885 AMM589880:AMM589885 AWI589880:AWI589885 BGE589880:BGE589885 BQA589880:BQA589885 BZW589880:BZW589885 CJS589880:CJS589885 CTO589880:CTO589885 DDK589880:DDK589885 DNG589880:DNG589885 DXC589880:DXC589885 EGY589880:EGY589885 EQU589880:EQU589885 FAQ589880:FAQ589885 FKM589880:FKM589885 FUI589880:FUI589885 GEE589880:GEE589885 GOA589880:GOA589885 GXW589880:GXW589885 HHS589880:HHS589885 HRO589880:HRO589885 IBK589880:IBK589885 ILG589880:ILG589885 IVC589880:IVC589885 JEY589880:JEY589885 JOU589880:JOU589885 JYQ589880:JYQ589885 KIM589880:KIM589885 KSI589880:KSI589885 LCE589880:LCE589885 LMA589880:LMA589885 LVW589880:LVW589885 MFS589880:MFS589885 MPO589880:MPO589885 MZK589880:MZK589885 NJG589880:NJG589885 NTC589880:NTC589885 OCY589880:OCY589885 OMU589880:OMU589885 OWQ589880:OWQ589885 PGM589880:PGM589885 PQI589880:PQI589885 QAE589880:QAE589885 QKA589880:QKA589885 QTW589880:QTW589885 RDS589880:RDS589885 RNO589880:RNO589885 RXK589880:RXK589885 SHG589880:SHG589885 SRC589880:SRC589885 TAY589880:TAY589885 TKU589880:TKU589885 TUQ589880:TUQ589885 UEM589880:UEM589885 UOI589880:UOI589885 UYE589880:UYE589885 VIA589880:VIA589885 VRW589880:VRW589885 WBS589880:WBS589885 WLO589880:WLO589885 WVK589880:WVK589885 IY655416:IY655421 SU655416:SU655421 ACQ655416:ACQ655421 AMM655416:AMM655421 AWI655416:AWI655421 BGE655416:BGE655421 BQA655416:BQA655421 BZW655416:BZW655421 CJS655416:CJS655421 CTO655416:CTO655421 DDK655416:DDK655421 DNG655416:DNG655421 DXC655416:DXC655421 EGY655416:EGY655421 EQU655416:EQU655421 FAQ655416:FAQ655421 FKM655416:FKM655421 FUI655416:FUI655421 GEE655416:GEE655421 GOA655416:GOA655421 GXW655416:GXW655421 HHS655416:HHS655421 HRO655416:HRO655421 IBK655416:IBK655421 ILG655416:ILG655421 IVC655416:IVC655421 JEY655416:JEY655421 JOU655416:JOU655421 JYQ655416:JYQ655421 KIM655416:KIM655421 KSI655416:KSI655421 LCE655416:LCE655421 LMA655416:LMA655421 LVW655416:LVW655421 MFS655416:MFS655421 MPO655416:MPO655421 MZK655416:MZK655421 NJG655416:NJG655421 NTC655416:NTC655421 OCY655416:OCY655421 OMU655416:OMU655421 OWQ655416:OWQ655421 PGM655416:PGM655421 PQI655416:PQI655421 QAE655416:QAE655421 QKA655416:QKA655421 QTW655416:QTW655421 RDS655416:RDS655421 RNO655416:RNO655421 RXK655416:RXK655421 SHG655416:SHG655421 SRC655416:SRC655421 TAY655416:TAY655421 TKU655416:TKU655421 TUQ655416:TUQ655421 UEM655416:UEM655421 UOI655416:UOI655421 UYE655416:UYE655421 VIA655416:VIA655421 VRW655416:VRW655421 WBS655416:WBS655421 WLO655416:WLO655421 WVK655416:WVK655421 IY720952:IY720957 SU720952:SU720957 ACQ720952:ACQ720957 AMM720952:AMM720957 AWI720952:AWI720957 BGE720952:BGE720957 BQA720952:BQA720957 BZW720952:BZW720957 CJS720952:CJS720957 CTO720952:CTO720957 DDK720952:DDK720957 DNG720952:DNG720957 DXC720952:DXC720957 EGY720952:EGY720957 EQU720952:EQU720957 FAQ720952:FAQ720957 FKM720952:FKM720957 FUI720952:FUI720957 GEE720952:GEE720957 GOA720952:GOA720957 GXW720952:GXW720957 HHS720952:HHS720957 HRO720952:HRO720957 IBK720952:IBK720957 ILG720952:ILG720957 IVC720952:IVC720957 JEY720952:JEY720957 JOU720952:JOU720957 JYQ720952:JYQ720957 KIM720952:KIM720957 KSI720952:KSI720957 LCE720952:LCE720957 LMA720952:LMA720957 LVW720952:LVW720957 MFS720952:MFS720957 MPO720952:MPO720957 MZK720952:MZK720957 NJG720952:NJG720957 NTC720952:NTC720957 OCY720952:OCY720957 OMU720952:OMU720957 OWQ720952:OWQ720957 PGM720952:PGM720957 PQI720952:PQI720957 QAE720952:QAE720957 QKA720952:QKA720957 QTW720952:QTW720957 RDS720952:RDS720957 RNO720952:RNO720957 RXK720952:RXK720957 SHG720952:SHG720957 SRC720952:SRC720957 TAY720952:TAY720957 TKU720952:TKU720957 TUQ720952:TUQ720957 UEM720952:UEM720957 UOI720952:UOI720957 UYE720952:UYE720957 VIA720952:VIA720957 VRW720952:VRW720957 WBS720952:WBS720957 WLO720952:WLO720957 WVK720952:WVK720957 IY786488:IY786493 SU786488:SU786493 ACQ786488:ACQ786493 AMM786488:AMM786493 AWI786488:AWI786493 BGE786488:BGE786493 BQA786488:BQA786493 BZW786488:BZW786493 CJS786488:CJS786493 CTO786488:CTO786493 DDK786488:DDK786493 DNG786488:DNG786493 DXC786488:DXC786493 EGY786488:EGY786493 EQU786488:EQU786493 FAQ786488:FAQ786493 FKM786488:FKM786493 FUI786488:FUI786493 GEE786488:GEE786493 GOA786488:GOA786493 GXW786488:GXW786493 HHS786488:HHS786493 HRO786488:HRO786493 IBK786488:IBK786493 ILG786488:ILG786493 IVC786488:IVC786493 JEY786488:JEY786493 JOU786488:JOU786493 JYQ786488:JYQ786493 KIM786488:KIM786493 KSI786488:KSI786493 LCE786488:LCE786493 LMA786488:LMA786493 LVW786488:LVW786493 MFS786488:MFS786493 MPO786488:MPO786493 MZK786488:MZK786493 NJG786488:NJG786493 NTC786488:NTC786493 OCY786488:OCY786493 OMU786488:OMU786493 OWQ786488:OWQ786493 PGM786488:PGM786493 PQI786488:PQI786493 QAE786488:QAE786493 QKA786488:QKA786493 QTW786488:QTW786493 RDS786488:RDS786493 RNO786488:RNO786493 RXK786488:RXK786493 SHG786488:SHG786493 SRC786488:SRC786493 TAY786488:TAY786493 TKU786488:TKU786493 TUQ786488:TUQ786493 UEM786488:UEM786493 UOI786488:UOI786493 UYE786488:UYE786493 VIA786488:VIA786493 VRW786488:VRW786493 WBS786488:WBS786493 WLO786488:WLO786493 WVK786488:WVK786493 IY852024:IY852029 SU852024:SU852029 ACQ852024:ACQ852029 AMM852024:AMM852029 AWI852024:AWI852029 BGE852024:BGE852029 BQA852024:BQA852029 BZW852024:BZW852029 CJS852024:CJS852029 CTO852024:CTO852029 DDK852024:DDK852029 DNG852024:DNG852029 DXC852024:DXC852029 EGY852024:EGY852029 EQU852024:EQU852029 FAQ852024:FAQ852029 FKM852024:FKM852029 FUI852024:FUI852029 GEE852024:GEE852029 GOA852024:GOA852029 GXW852024:GXW852029 HHS852024:HHS852029 HRO852024:HRO852029 IBK852024:IBK852029 ILG852024:ILG852029 IVC852024:IVC852029 JEY852024:JEY852029 JOU852024:JOU852029 JYQ852024:JYQ852029 KIM852024:KIM852029 KSI852024:KSI852029 LCE852024:LCE852029 LMA852024:LMA852029 LVW852024:LVW852029 MFS852024:MFS852029 MPO852024:MPO852029 MZK852024:MZK852029 NJG852024:NJG852029 NTC852024:NTC852029 OCY852024:OCY852029 OMU852024:OMU852029 OWQ852024:OWQ852029 PGM852024:PGM852029 PQI852024:PQI852029 QAE852024:QAE852029 QKA852024:QKA852029 QTW852024:QTW852029 RDS852024:RDS852029 RNO852024:RNO852029 RXK852024:RXK852029 SHG852024:SHG852029 SRC852024:SRC852029 TAY852024:TAY852029 TKU852024:TKU852029 TUQ852024:TUQ852029 UEM852024:UEM852029 UOI852024:UOI852029 UYE852024:UYE852029 VIA852024:VIA852029 VRW852024:VRW852029 WBS852024:WBS852029 WLO852024:WLO852029 WVK852024:WVK852029 IY917560:IY917565 SU917560:SU917565 ACQ917560:ACQ917565 AMM917560:AMM917565 AWI917560:AWI917565 BGE917560:BGE917565 BQA917560:BQA917565 BZW917560:BZW917565 CJS917560:CJS917565 CTO917560:CTO917565 DDK917560:DDK917565 DNG917560:DNG917565 DXC917560:DXC917565 EGY917560:EGY917565 EQU917560:EQU917565 FAQ917560:FAQ917565 FKM917560:FKM917565 FUI917560:FUI917565 GEE917560:GEE917565 GOA917560:GOA917565 GXW917560:GXW917565 HHS917560:HHS917565 HRO917560:HRO917565 IBK917560:IBK917565 ILG917560:ILG917565 IVC917560:IVC917565 JEY917560:JEY917565 JOU917560:JOU917565 JYQ917560:JYQ917565 KIM917560:KIM917565 KSI917560:KSI917565 LCE917560:LCE917565 LMA917560:LMA917565 LVW917560:LVW917565 MFS917560:MFS917565 MPO917560:MPO917565 MZK917560:MZK917565 NJG917560:NJG917565 NTC917560:NTC917565 OCY917560:OCY917565 OMU917560:OMU917565 OWQ917560:OWQ917565 PGM917560:PGM917565 PQI917560:PQI917565 QAE917560:QAE917565 QKA917560:QKA917565 QTW917560:QTW917565 RDS917560:RDS917565 RNO917560:RNO917565 RXK917560:RXK917565 SHG917560:SHG917565 SRC917560:SRC917565 TAY917560:TAY917565 TKU917560:TKU917565 TUQ917560:TUQ917565 UEM917560:UEM917565 UOI917560:UOI917565 UYE917560:UYE917565 VIA917560:VIA917565 VRW917560:VRW917565 WBS917560:WBS917565 WLO917560:WLO917565 WVK917560:WVK917565 IY983096:IY983101 SU983096:SU983101 ACQ983096:ACQ983101 AMM983096:AMM983101 AWI983096:AWI983101 BGE983096:BGE983101 BQA983096:BQA983101 BZW983096:BZW983101 CJS983096:CJS983101 CTO983096:CTO983101 DDK983096:DDK983101 DNG983096:DNG983101 DXC983096:DXC983101 EGY983096:EGY983101 EQU983096:EQU983101 FAQ983096:FAQ983101 FKM983096:FKM983101 FUI983096:FUI983101 GEE983096:GEE983101 GOA983096:GOA983101 GXW983096:GXW983101 HHS983096:HHS983101 HRO983096:HRO983101 IBK983096:IBK983101 ILG983096:ILG983101 IVC983096:IVC983101 JEY983096:JEY983101 JOU983096:JOU983101 JYQ983096:JYQ983101 KIM983096:KIM983101 KSI983096:KSI983101 LCE983096:LCE983101 LMA983096:LMA983101 LVW983096:LVW983101 MFS983096:MFS983101 MPO983096:MPO983101 MZK983096:MZK983101 NJG983096:NJG983101 NTC983096:NTC983101 OCY983096:OCY983101 OMU983096:OMU983101 OWQ983096:OWQ983101 PGM983096:PGM983101 PQI983096:PQI983101 QAE983096:QAE983101 QKA983096:QKA983101 QTW983096:QTW983101 RDS983096:RDS983101 RNO983096:RNO983101 RXK983096:RXK983101 SHG983096:SHG983101 SRC983096:SRC983101 TAY983096:TAY983101 TKU983096:TKU983101 TUQ983096:TUQ983101 UEM983096:UEM983101 UOI983096:UOI983101 UYE983096:UYE983101 VIA983096:VIA983101 VRW983096:VRW983101 WBS983096:WBS983101 WLO983096:WLO983101 WVK983096:WVK983101 D57:D61 IX57:IX61 ST57:ST61 ACP57:ACP61 AML57:AML61 AWH57:AWH61 BGD57:BGD61 BPZ57:BPZ61 BZV57:BZV61 CJR57:CJR61 CTN57:CTN61 DDJ57:DDJ61 DNF57:DNF61 DXB57:DXB61 EGX57:EGX61 EQT57:EQT61 FAP57:FAP61 FKL57:FKL61 FUH57:FUH61 GED57:GED61 GNZ57:GNZ61 GXV57:GXV61 HHR57:HHR61 HRN57:HRN61 IBJ57:IBJ61 ILF57:ILF61 IVB57:IVB61 JEX57:JEX61 JOT57:JOT61 JYP57:JYP61 KIL57:KIL61 KSH57:KSH61 LCD57:LCD61 LLZ57:LLZ61 LVV57:LVV61 MFR57:MFR61 MPN57:MPN61 MZJ57:MZJ61 NJF57:NJF61 NTB57:NTB61 OCX57:OCX61 OMT57:OMT61 OWP57:OWP61 PGL57:PGL61 PQH57:PQH61 QAD57:QAD61 QJZ57:QJZ61 QTV57:QTV61 RDR57:RDR61 RNN57:RNN61 RXJ57:RXJ61 SHF57:SHF61 SRB57:SRB61 TAX57:TAX61 TKT57:TKT61 TUP57:TUP61 UEL57:UEL61 UOH57:UOH61 UYD57:UYD61 VHZ57:VHZ61 VRV57:VRV61 WBR57:WBR61 WLN57:WLN61 WVJ57:WVJ61 D65593:D65597 IX65593:IX65597 ST65593:ST65597 ACP65593:ACP65597 AML65593:AML65597 AWH65593:AWH65597 BGD65593:BGD65597 BPZ65593:BPZ65597 BZV65593:BZV65597 CJR65593:CJR65597 CTN65593:CTN65597 DDJ65593:DDJ65597 DNF65593:DNF65597 DXB65593:DXB65597 EGX65593:EGX65597 EQT65593:EQT65597 FAP65593:FAP65597 FKL65593:FKL65597 FUH65593:FUH65597 GED65593:GED65597 GNZ65593:GNZ65597 GXV65593:GXV65597 HHR65593:HHR65597 HRN65593:HRN65597 IBJ65593:IBJ65597 ILF65593:ILF65597 IVB65593:IVB65597 JEX65593:JEX65597 JOT65593:JOT65597 JYP65593:JYP65597 KIL65593:KIL65597 KSH65593:KSH65597 LCD65593:LCD65597 LLZ65593:LLZ65597 LVV65593:LVV65597 MFR65593:MFR65597 MPN65593:MPN65597 MZJ65593:MZJ65597 NJF65593:NJF65597 NTB65593:NTB65597 OCX65593:OCX65597 OMT65593:OMT65597 OWP65593:OWP65597 PGL65593:PGL65597 PQH65593:PQH65597 QAD65593:QAD65597 QJZ65593:QJZ65597 QTV65593:QTV65597 RDR65593:RDR65597 RNN65593:RNN65597 RXJ65593:RXJ65597 SHF65593:SHF65597 SRB65593:SRB65597 TAX65593:TAX65597 TKT65593:TKT65597 TUP65593:TUP65597 UEL65593:UEL65597 UOH65593:UOH65597 UYD65593:UYD65597 VHZ65593:VHZ65597 VRV65593:VRV65597 WBR65593:WBR65597 WLN65593:WLN65597 WVJ65593:WVJ65597 D131129:D131133 IX131129:IX131133 ST131129:ST131133 ACP131129:ACP131133 AML131129:AML131133 AWH131129:AWH131133 BGD131129:BGD131133 BPZ131129:BPZ131133 BZV131129:BZV131133 CJR131129:CJR131133 CTN131129:CTN131133 DDJ131129:DDJ131133 DNF131129:DNF131133 DXB131129:DXB131133 EGX131129:EGX131133 EQT131129:EQT131133 FAP131129:FAP131133 FKL131129:FKL131133 FUH131129:FUH131133 GED131129:GED131133 GNZ131129:GNZ131133 GXV131129:GXV131133 HHR131129:HHR131133 HRN131129:HRN131133 IBJ131129:IBJ131133 ILF131129:ILF131133 IVB131129:IVB131133 JEX131129:JEX131133 JOT131129:JOT131133 JYP131129:JYP131133 KIL131129:KIL131133 KSH131129:KSH131133 LCD131129:LCD131133 LLZ131129:LLZ131133 LVV131129:LVV131133 MFR131129:MFR131133 MPN131129:MPN131133 MZJ131129:MZJ131133 NJF131129:NJF131133 NTB131129:NTB131133 OCX131129:OCX131133 OMT131129:OMT131133 OWP131129:OWP131133 PGL131129:PGL131133 PQH131129:PQH131133 QAD131129:QAD131133 QJZ131129:QJZ131133 QTV131129:QTV131133 RDR131129:RDR131133 RNN131129:RNN131133 RXJ131129:RXJ131133 SHF131129:SHF131133 SRB131129:SRB131133 TAX131129:TAX131133 TKT131129:TKT131133 TUP131129:TUP131133 UEL131129:UEL131133 UOH131129:UOH131133 UYD131129:UYD131133 VHZ131129:VHZ131133 VRV131129:VRV131133 WBR131129:WBR131133 WLN131129:WLN131133 WVJ131129:WVJ131133 D196665:D196669 IX196665:IX196669 ST196665:ST196669 ACP196665:ACP196669 AML196665:AML196669 AWH196665:AWH196669 BGD196665:BGD196669 BPZ196665:BPZ196669 BZV196665:BZV196669 CJR196665:CJR196669 CTN196665:CTN196669 DDJ196665:DDJ196669 DNF196665:DNF196669 DXB196665:DXB196669 EGX196665:EGX196669 EQT196665:EQT196669 FAP196665:FAP196669 FKL196665:FKL196669 FUH196665:FUH196669 GED196665:GED196669 GNZ196665:GNZ196669 GXV196665:GXV196669 HHR196665:HHR196669 HRN196665:HRN196669 IBJ196665:IBJ196669 ILF196665:ILF196669 IVB196665:IVB196669 JEX196665:JEX196669 JOT196665:JOT196669 JYP196665:JYP196669 KIL196665:KIL196669 KSH196665:KSH196669 LCD196665:LCD196669 LLZ196665:LLZ196669 LVV196665:LVV196669 MFR196665:MFR196669 MPN196665:MPN196669 MZJ196665:MZJ196669 NJF196665:NJF196669 NTB196665:NTB196669 OCX196665:OCX196669 OMT196665:OMT196669 OWP196665:OWP196669 PGL196665:PGL196669 PQH196665:PQH196669 QAD196665:QAD196669 QJZ196665:QJZ196669 QTV196665:QTV196669 RDR196665:RDR196669 RNN196665:RNN196669 RXJ196665:RXJ196669 SHF196665:SHF196669 SRB196665:SRB196669 TAX196665:TAX196669 TKT196665:TKT196669 TUP196665:TUP196669 UEL196665:UEL196669 UOH196665:UOH196669 UYD196665:UYD196669 VHZ196665:VHZ196669 VRV196665:VRV196669 WBR196665:WBR196669 WLN196665:WLN196669 WVJ196665:WVJ196669 D262201:D262205 IX262201:IX262205 ST262201:ST262205 ACP262201:ACP262205 AML262201:AML262205 AWH262201:AWH262205 BGD262201:BGD262205 BPZ262201:BPZ262205 BZV262201:BZV262205 CJR262201:CJR262205 CTN262201:CTN262205 DDJ262201:DDJ262205 DNF262201:DNF262205 DXB262201:DXB262205 EGX262201:EGX262205 EQT262201:EQT262205 FAP262201:FAP262205 FKL262201:FKL262205 FUH262201:FUH262205 GED262201:GED262205 GNZ262201:GNZ262205 GXV262201:GXV262205 HHR262201:HHR262205 HRN262201:HRN262205 IBJ262201:IBJ262205 ILF262201:ILF262205 IVB262201:IVB262205 JEX262201:JEX262205 JOT262201:JOT262205 JYP262201:JYP262205 KIL262201:KIL262205 KSH262201:KSH262205 LCD262201:LCD262205 LLZ262201:LLZ262205 LVV262201:LVV262205 MFR262201:MFR262205 MPN262201:MPN262205 MZJ262201:MZJ262205 NJF262201:NJF262205 NTB262201:NTB262205 OCX262201:OCX262205 OMT262201:OMT262205 OWP262201:OWP262205 PGL262201:PGL262205 PQH262201:PQH262205 QAD262201:QAD262205 QJZ262201:QJZ262205 QTV262201:QTV262205 RDR262201:RDR262205 RNN262201:RNN262205 RXJ262201:RXJ262205 SHF262201:SHF262205 SRB262201:SRB262205 TAX262201:TAX262205 TKT262201:TKT262205 TUP262201:TUP262205 UEL262201:UEL262205 UOH262201:UOH262205 UYD262201:UYD262205 VHZ262201:VHZ262205 VRV262201:VRV262205 WBR262201:WBR262205 WLN262201:WLN262205 WVJ262201:WVJ262205 D327737:D327741 IX327737:IX327741 ST327737:ST327741 ACP327737:ACP327741 AML327737:AML327741 AWH327737:AWH327741 BGD327737:BGD327741 BPZ327737:BPZ327741 BZV327737:BZV327741 CJR327737:CJR327741 CTN327737:CTN327741 DDJ327737:DDJ327741 DNF327737:DNF327741 DXB327737:DXB327741 EGX327737:EGX327741 EQT327737:EQT327741 FAP327737:FAP327741 FKL327737:FKL327741 FUH327737:FUH327741 GED327737:GED327741 GNZ327737:GNZ327741 GXV327737:GXV327741 HHR327737:HHR327741 HRN327737:HRN327741 IBJ327737:IBJ327741 ILF327737:ILF327741 IVB327737:IVB327741 JEX327737:JEX327741 JOT327737:JOT327741 JYP327737:JYP327741 KIL327737:KIL327741 KSH327737:KSH327741 LCD327737:LCD327741 LLZ327737:LLZ327741 LVV327737:LVV327741 MFR327737:MFR327741 MPN327737:MPN327741 MZJ327737:MZJ327741 NJF327737:NJF327741 NTB327737:NTB327741 OCX327737:OCX327741 OMT327737:OMT327741 OWP327737:OWP327741 PGL327737:PGL327741 PQH327737:PQH327741 QAD327737:QAD327741 QJZ327737:QJZ327741 QTV327737:QTV327741 RDR327737:RDR327741 RNN327737:RNN327741 RXJ327737:RXJ327741 SHF327737:SHF327741 SRB327737:SRB327741 TAX327737:TAX327741 TKT327737:TKT327741 TUP327737:TUP327741 UEL327737:UEL327741 UOH327737:UOH327741 UYD327737:UYD327741 VHZ327737:VHZ327741 VRV327737:VRV327741 WBR327737:WBR327741 WLN327737:WLN327741 WVJ327737:WVJ327741 D393273:D393277 IX393273:IX393277 ST393273:ST393277 ACP393273:ACP393277 AML393273:AML393277 AWH393273:AWH393277 BGD393273:BGD393277 BPZ393273:BPZ393277 BZV393273:BZV393277 CJR393273:CJR393277 CTN393273:CTN393277 DDJ393273:DDJ393277 DNF393273:DNF393277 DXB393273:DXB393277 EGX393273:EGX393277 EQT393273:EQT393277 FAP393273:FAP393277 FKL393273:FKL393277 FUH393273:FUH393277 GED393273:GED393277 GNZ393273:GNZ393277 GXV393273:GXV393277 HHR393273:HHR393277 HRN393273:HRN393277 IBJ393273:IBJ393277 ILF393273:ILF393277 IVB393273:IVB393277 JEX393273:JEX393277 JOT393273:JOT393277 JYP393273:JYP393277 KIL393273:KIL393277 KSH393273:KSH393277 LCD393273:LCD393277 LLZ393273:LLZ393277 LVV393273:LVV393277 MFR393273:MFR393277 MPN393273:MPN393277 MZJ393273:MZJ393277 NJF393273:NJF393277 NTB393273:NTB393277 OCX393273:OCX393277 OMT393273:OMT393277 OWP393273:OWP393277 PGL393273:PGL393277 PQH393273:PQH393277 QAD393273:QAD393277 QJZ393273:QJZ393277 QTV393273:QTV393277 RDR393273:RDR393277 RNN393273:RNN393277 RXJ393273:RXJ393277 SHF393273:SHF393277 SRB393273:SRB393277 TAX393273:TAX393277 TKT393273:TKT393277 TUP393273:TUP393277 UEL393273:UEL393277 UOH393273:UOH393277 UYD393273:UYD393277 VHZ393273:VHZ393277 VRV393273:VRV393277 WBR393273:WBR393277 WLN393273:WLN393277 WVJ393273:WVJ393277 D458809:D458813 IX458809:IX458813 ST458809:ST458813 ACP458809:ACP458813 AML458809:AML458813 AWH458809:AWH458813 BGD458809:BGD458813 BPZ458809:BPZ458813 BZV458809:BZV458813 CJR458809:CJR458813 CTN458809:CTN458813 DDJ458809:DDJ458813 DNF458809:DNF458813 DXB458809:DXB458813 EGX458809:EGX458813 EQT458809:EQT458813 FAP458809:FAP458813 FKL458809:FKL458813 FUH458809:FUH458813 GED458809:GED458813 GNZ458809:GNZ458813 GXV458809:GXV458813 HHR458809:HHR458813 HRN458809:HRN458813 IBJ458809:IBJ458813 ILF458809:ILF458813 IVB458809:IVB458813 JEX458809:JEX458813 JOT458809:JOT458813 JYP458809:JYP458813 KIL458809:KIL458813 KSH458809:KSH458813 LCD458809:LCD458813 LLZ458809:LLZ458813 LVV458809:LVV458813 MFR458809:MFR458813 MPN458809:MPN458813 MZJ458809:MZJ458813 NJF458809:NJF458813 NTB458809:NTB458813 OCX458809:OCX458813 OMT458809:OMT458813 OWP458809:OWP458813 PGL458809:PGL458813 PQH458809:PQH458813 QAD458809:QAD458813 QJZ458809:QJZ458813 QTV458809:QTV458813 RDR458809:RDR458813 RNN458809:RNN458813 RXJ458809:RXJ458813 SHF458809:SHF458813 SRB458809:SRB458813 TAX458809:TAX458813 TKT458809:TKT458813 TUP458809:TUP458813 UEL458809:UEL458813 UOH458809:UOH458813 UYD458809:UYD458813 VHZ458809:VHZ458813 VRV458809:VRV458813 WBR458809:WBR458813 WLN458809:WLN458813 WVJ458809:WVJ458813 D524345:D524349 IX524345:IX524349 ST524345:ST524349 ACP524345:ACP524349 AML524345:AML524349 AWH524345:AWH524349 BGD524345:BGD524349 BPZ524345:BPZ524349 BZV524345:BZV524349 CJR524345:CJR524349 CTN524345:CTN524349 DDJ524345:DDJ524349 DNF524345:DNF524349 DXB524345:DXB524349 EGX524345:EGX524349 EQT524345:EQT524349 FAP524345:FAP524349 FKL524345:FKL524349 FUH524345:FUH524349 GED524345:GED524349 GNZ524345:GNZ524349 GXV524345:GXV524349 HHR524345:HHR524349 HRN524345:HRN524349 IBJ524345:IBJ524349 ILF524345:ILF524349 IVB524345:IVB524349 JEX524345:JEX524349 JOT524345:JOT524349 JYP524345:JYP524349 KIL524345:KIL524349 KSH524345:KSH524349 LCD524345:LCD524349 LLZ524345:LLZ524349 LVV524345:LVV524349 MFR524345:MFR524349 MPN524345:MPN524349 MZJ524345:MZJ524349 NJF524345:NJF524349 NTB524345:NTB524349 OCX524345:OCX524349 OMT524345:OMT524349 OWP524345:OWP524349 PGL524345:PGL524349 PQH524345:PQH524349 QAD524345:QAD524349 QJZ524345:QJZ524349 QTV524345:QTV524349 RDR524345:RDR524349 RNN524345:RNN524349 RXJ524345:RXJ524349 SHF524345:SHF524349 SRB524345:SRB524349 TAX524345:TAX524349 TKT524345:TKT524349 TUP524345:TUP524349 UEL524345:UEL524349 UOH524345:UOH524349 UYD524345:UYD524349 VHZ524345:VHZ524349 VRV524345:VRV524349 WBR524345:WBR524349 WLN524345:WLN524349 WVJ524345:WVJ524349 D589881:D589885 IX589881:IX589885 ST589881:ST589885 ACP589881:ACP589885 AML589881:AML589885 AWH589881:AWH589885 BGD589881:BGD589885 BPZ589881:BPZ589885 BZV589881:BZV589885 CJR589881:CJR589885 CTN589881:CTN589885 DDJ589881:DDJ589885 DNF589881:DNF589885 DXB589881:DXB589885 EGX589881:EGX589885 EQT589881:EQT589885 FAP589881:FAP589885 FKL589881:FKL589885 FUH589881:FUH589885 GED589881:GED589885 GNZ589881:GNZ589885 GXV589881:GXV589885 HHR589881:HHR589885 HRN589881:HRN589885 IBJ589881:IBJ589885 ILF589881:ILF589885 IVB589881:IVB589885 JEX589881:JEX589885 JOT589881:JOT589885 JYP589881:JYP589885 KIL589881:KIL589885 KSH589881:KSH589885 LCD589881:LCD589885 LLZ589881:LLZ589885 LVV589881:LVV589885 MFR589881:MFR589885 MPN589881:MPN589885 MZJ589881:MZJ589885 NJF589881:NJF589885 NTB589881:NTB589885 OCX589881:OCX589885 OMT589881:OMT589885 OWP589881:OWP589885 PGL589881:PGL589885 PQH589881:PQH589885 QAD589881:QAD589885 QJZ589881:QJZ589885 QTV589881:QTV589885 RDR589881:RDR589885 RNN589881:RNN589885 RXJ589881:RXJ589885 SHF589881:SHF589885 SRB589881:SRB589885 TAX589881:TAX589885 TKT589881:TKT589885 TUP589881:TUP589885 UEL589881:UEL589885 UOH589881:UOH589885 UYD589881:UYD589885 VHZ589881:VHZ589885 VRV589881:VRV589885 WBR589881:WBR589885 WLN589881:WLN589885 WVJ589881:WVJ589885 D655417:D655421 IX655417:IX655421 ST655417:ST655421 ACP655417:ACP655421 AML655417:AML655421 AWH655417:AWH655421 BGD655417:BGD655421 BPZ655417:BPZ655421 BZV655417:BZV655421 CJR655417:CJR655421 CTN655417:CTN655421 DDJ655417:DDJ655421 DNF655417:DNF655421 DXB655417:DXB655421 EGX655417:EGX655421 EQT655417:EQT655421 FAP655417:FAP655421 FKL655417:FKL655421 FUH655417:FUH655421 GED655417:GED655421 GNZ655417:GNZ655421 GXV655417:GXV655421 HHR655417:HHR655421 HRN655417:HRN655421 IBJ655417:IBJ655421 ILF655417:ILF655421 IVB655417:IVB655421 JEX655417:JEX655421 JOT655417:JOT655421 JYP655417:JYP655421 KIL655417:KIL655421 KSH655417:KSH655421 LCD655417:LCD655421 LLZ655417:LLZ655421 LVV655417:LVV655421 MFR655417:MFR655421 MPN655417:MPN655421 MZJ655417:MZJ655421 NJF655417:NJF655421 NTB655417:NTB655421 OCX655417:OCX655421 OMT655417:OMT655421 OWP655417:OWP655421 PGL655417:PGL655421 PQH655417:PQH655421 QAD655417:QAD655421 QJZ655417:QJZ655421 QTV655417:QTV655421 RDR655417:RDR655421 RNN655417:RNN655421 RXJ655417:RXJ655421 SHF655417:SHF655421 SRB655417:SRB655421 TAX655417:TAX655421 TKT655417:TKT655421 TUP655417:TUP655421 UEL655417:UEL655421 UOH655417:UOH655421 UYD655417:UYD655421 VHZ655417:VHZ655421 VRV655417:VRV655421 WBR655417:WBR655421 WLN655417:WLN655421 WVJ655417:WVJ655421 D720953:D720957 IX720953:IX720957 ST720953:ST720957 ACP720953:ACP720957 AML720953:AML720957 AWH720953:AWH720957 BGD720953:BGD720957 BPZ720953:BPZ720957 BZV720953:BZV720957 CJR720953:CJR720957 CTN720953:CTN720957 DDJ720953:DDJ720957 DNF720953:DNF720957 DXB720953:DXB720957 EGX720953:EGX720957 EQT720953:EQT720957 FAP720953:FAP720957 FKL720953:FKL720957 FUH720953:FUH720957 GED720953:GED720957 GNZ720953:GNZ720957 GXV720953:GXV720957 HHR720953:HHR720957 HRN720953:HRN720957 IBJ720953:IBJ720957 ILF720953:ILF720957 IVB720953:IVB720957 JEX720953:JEX720957 JOT720953:JOT720957 JYP720953:JYP720957 KIL720953:KIL720957 KSH720953:KSH720957 LCD720953:LCD720957 LLZ720953:LLZ720957 LVV720953:LVV720957 MFR720953:MFR720957 MPN720953:MPN720957 MZJ720953:MZJ720957 NJF720953:NJF720957 NTB720953:NTB720957 OCX720953:OCX720957 OMT720953:OMT720957 OWP720953:OWP720957 PGL720953:PGL720957 PQH720953:PQH720957 QAD720953:QAD720957 QJZ720953:QJZ720957 QTV720953:QTV720957 RDR720953:RDR720957 RNN720953:RNN720957 RXJ720953:RXJ720957 SHF720953:SHF720957 SRB720953:SRB720957 TAX720953:TAX720957 TKT720953:TKT720957 TUP720953:TUP720957 UEL720953:UEL720957 UOH720953:UOH720957 UYD720953:UYD720957 VHZ720953:VHZ720957 VRV720953:VRV720957 WBR720953:WBR720957 WLN720953:WLN720957 WVJ720953:WVJ720957 D786489:D786493 IX786489:IX786493 ST786489:ST786493 ACP786489:ACP786493 AML786489:AML786493 AWH786489:AWH786493 BGD786489:BGD786493 BPZ786489:BPZ786493 BZV786489:BZV786493 CJR786489:CJR786493 CTN786489:CTN786493 DDJ786489:DDJ786493 DNF786489:DNF786493 DXB786489:DXB786493 EGX786489:EGX786493 EQT786489:EQT786493 FAP786489:FAP786493 FKL786489:FKL786493 FUH786489:FUH786493 GED786489:GED786493 GNZ786489:GNZ786493 GXV786489:GXV786493 HHR786489:HHR786493 HRN786489:HRN786493 IBJ786489:IBJ786493 ILF786489:ILF786493 IVB786489:IVB786493 JEX786489:JEX786493 JOT786489:JOT786493 JYP786489:JYP786493 KIL786489:KIL786493 KSH786489:KSH786493 LCD786489:LCD786493 LLZ786489:LLZ786493 LVV786489:LVV786493 MFR786489:MFR786493 MPN786489:MPN786493 MZJ786489:MZJ786493 NJF786489:NJF786493 NTB786489:NTB786493 OCX786489:OCX786493 OMT786489:OMT786493 OWP786489:OWP786493 PGL786489:PGL786493 PQH786489:PQH786493 QAD786489:QAD786493 QJZ786489:QJZ786493 QTV786489:QTV786493 RDR786489:RDR786493 RNN786489:RNN786493 RXJ786489:RXJ786493 SHF786489:SHF786493 SRB786489:SRB786493 TAX786489:TAX786493 TKT786489:TKT786493 TUP786489:TUP786493 UEL786489:UEL786493 UOH786489:UOH786493 UYD786489:UYD786493 VHZ786489:VHZ786493 VRV786489:VRV786493 WBR786489:WBR786493 WLN786489:WLN786493 WVJ786489:WVJ786493 D852025:D852029 IX852025:IX852029 ST852025:ST852029 ACP852025:ACP852029 AML852025:AML852029 AWH852025:AWH852029 BGD852025:BGD852029 BPZ852025:BPZ852029 BZV852025:BZV852029 CJR852025:CJR852029 CTN852025:CTN852029 DDJ852025:DDJ852029 DNF852025:DNF852029 DXB852025:DXB852029 EGX852025:EGX852029 EQT852025:EQT852029 FAP852025:FAP852029 FKL852025:FKL852029 FUH852025:FUH852029 GED852025:GED852029 GNZ852025:GNZ852029 GXV852025:GXV852029 HHR852025:HHR852029 HRN852025:HRN852029 IBJ852025:IBJ852029 ILF852025:ILF852029 IVB852025:IVB852029 JEX852025:JEX852029 JOT852025:JOT852029 JYP852025:JYP852029 KIL852025:KIL852029 KSH852025:KSH852029 LCD852025:LCD852029 LLZ852025:LLZ852029 LVV852025:LVV852029 MFR852025:MFR852029 MPN852025:MPN852029 MZJ852025:MZJ852029 NJF852025:NJF852029 NTB852025:NTB852029 OCX852025:OCX852029 OMT852025:OMT852029 OWP852025:OWP852029 PGL852025:PGL852029 PQH852025:PQH852029 QAD852025:QAD852029 QJZ852025:QJZ852029 QTV852025:QTV852029 RDR852025:RDR852029 RNN852025:RNN852029 RXJ852025:RXJ852029 SHF852025:SHF852029 SRB852025:SRB852029 TAX852025:TAX852029 TKT852025:TKT852029 TUP852025:TUP852029 UEL852025:UEL852029 UOH852025:UOH852029 UYD852025:UYD852029 VHZ852025:VHZ852029 VRV852025:VRV852029 WBR852025:WBR852029 WLN852025:WLN852029 WVJ852025:WVJ852029 D917561:D917565 IX917561:IX917565 ST917561:ST917565 ACP917561:ACP917565 AML917561:AML917565 AWH917561:AWH917565 BGD917561:BGD917565 BPZ917561:BPZ917565 BZV917561:BZV917565 CJR917561:CJR917565 CTN917561:CTN917565 DDJ917561:DDJ917565 DNF917561:DNF917565 DXB917561:DXB917565 EGX917561:EGX917565 EQT917561:EQT917565 FAP917561:FAP917565 FKL917561:FKL917565 FUH917561:FUH917565 GED917561:GED917565 GNZ917561:GNZ917565 GXV917561:GXV917565 HHR917561:HHR917565 HRN917561:HRN917565 IBJ917561:IBJ917565 ILF917561:ILF917565 IVB917561:IVB917565 JEX917561:JEX917565 JOT917561:JOT917565 JYP917561:JYP917565 KIL917561:KIL917565 KSH917561:KSH917565 LCD917561:LCD917565 LLZ917561:LLZ917565 LVV917561:LVV917565 MFR917561:MFR917565 MPN917561:MPN917565 MZJ917561:MZJ917565 NJF917561:NJF917565 NTB917561:NTB917565 OCX917561:OCX917565 OMT917561:OMT917565 OWP917561:OWP917565 PGL917561:PGL917565 PQH917561:PQH917565 QAD917561:QAD917565 QJZ917561:QJZ917565 QTV917561:QTV917565 RDR917561:RDR917565 RNN917561:RNN917565 RXJ917561:RXJ917565 SHF917561:SHF917565 SRB917561:SRB917565 TAX917561:TAX917565 TKT917561:TKT917565 TUP917561:TUP917565 UEL917561:UEL917565 UOH917561:UOH917565 UYD917561:UYD917565 VHZ917561:VHZ917565 VRV917561:VRV917565 WBR917561:WBR917565 WLN917561:WLN917565 WVJ917561:WVJ917565 D983097:D983101 IX983097:IX983101 ST983097:ST983101 ACP983097:ACP983101 AML983097:AML983101 AWH983097:AWH983101 BGD983097:BGD983101 BPZ983097:BPZ983101 BZV983097:BZV983101 CJR983097:CJR983101 CTN983097:CTN983101 DDJ983097:DDJ983101 DNF983097:DNF983101 DXB983097:DXB983101 EGX983097:EGX983101 EQT983097:EQT983101 FAP983097:FAP983101 FKL983097:FKL983101 FUH983097:FUH983101 GED983097:GED983101 GNZ983097:GNZ983101 GXV983097:GXV983101 HHR983097:HHR983101 HRN983097:HRN983101 IBJ983097:IBJ983101 ILF983097:ILF983101 IVB983097:IVB983101 JEX983097:JEX983101 JOT983097:JOT983101 JYP983097:JYP983101 KIL983097:KIL983101 KSH983097:KSH983101 LCD983097:LCD983101 LLZ983097:LLZ983101 LVV983097:LVV983101 MFR983097:MFR983101 MPN983097:MPN983101 MZJ983097:MZJ983101 NJF983097:NJF983101 NTB983097:NTB983101 OCX983097:OCX983101 OMT983097:OMT983101 OWP983097:OWP983101 PGL983097:PGL983101 PQH983097:PQH983101 QAD983097:QAD983101 QJZ983097:QJZ983101 QTV983097:QTV983101 RDR983097:RDR983101 RNN983097:RNN983101 RXJ983097:RXJ983101 SHF983097:SHF983101 SRB983097:SRB983101 TAX983097:TAX983101 TKT983097:TKT983101 TUP983097:TUP983101 UEL983097:UEL983101 UOH983097:UOH983101 UYD983097:UYD983101 VHZ983097:VHZ983101 VRV983097:VRV983101 WBR983097:WBR983101 WLN983097:WLN983101 WVJ983097:WVJ983101">
      <formula1>OR(D56=0, D56&lt;0)</formula1>
    </dataValidation>
    <dataValidation type="custom" operator="greaterThan" showInputMessage="1" showErrorMessage="1" errorTitle="eee" sqref="G7:G140 JB7:JC140 SX7:SY140 ACT7:ACU140 AMP7:AMQ140 AWL7:AWM140 BGH7:BGI140 BQD7:BQE140 BZZ7:CAA140 CJV7:CJW140 CTR7:CTS140 DDN7:DDO140 DNJ7:DNK140 DXF7:DXG140 EHB7:EHC140 EQX7:EQY140 FAT7:FAU140 FKP7:FKQ140 FUL7:FUM140 GEH7:GEI140 GOD7:GOE140 GXZ7:GYA140 HHV7:HHW140 HRR7:HRS140 IBN7:IBO140 ILJ7:ILK140 IVF7:IVG140 JFB7:JFC140 JOX7:JOY140 JYT7:JYU140 KIP7:KIQ140 KSL7:KSM140 LCH7:LCI140 LMD7:LME140 LVZ7:LWA140 MFV7:MFW140 MPR7:MPS140 MZN7:MZO140 NJJ7:NJK140 NTF7:NTG140 ODB7:ODC140 OMX7:OMY140 OWT7:OWU140 PGP7:PGQ140 PQL7:PQM140 QAH7:QAI140 QKD7:QKE140 QTZ7:QUA140 RDV7:RDW140 RNR7:RNS140 RXN7:RXO140 SHJ7:SHK140 SRF7:SRG140 TBB7:TBC140 TKX7:TKY140 TUT7:TUU140 UEP7:UEQ140 UOL7:UOM140 UYH7:UYI140 VID7:VIE140 VRZ7:VSA140 WBV7:WBW140 WLR7:WLS140 WVN7:WVO140 G65543:G65676 JB65543:JC65676 SX65543:SY65676 ACT65543:ACU65676 AMP65543:AMQ65676 AWL65543:AWM65676 BGH65543:BGI65676 BQD65543:BQE65676 BZZ65543:CAA65676 CJV65543:CJW65676 CTR65543:CTS65676 DDN65543:DDO65676 DNJ65543:DNK65676 DXF65543:DXG65676 EHB65543:EHC65676 EQX65543:EQY65676 FAT65543:FAU65676 FKP65543:FKQ65676 FUL65543:FUM65676 GEH65543:GEI65676 GOD65543:GOE65676 GXZ65543:GYA65676 HHV65543:HHW65676 HRR65543:HRS65676 IBN65543:IBO65676 ILJ65543:ILK65676 IVF65543:IVG65676 JFB65543:JFC65676 JOX65543:JOY65676 JYT65543:JYU65676 KIP65543:KIQ65676 KSL65543:KSM65676 LCH65543:LCI65676 LMD65543:LME65676 LVZ65543:LWA65676 MFV65543:MFW65676 MPR65543:MPS65676 MZN65543:MZO65676 NJJ65543:NJK65676 NTF65543:NTG65676 ODB65543:ODC65676 OMX65543:OMY65676 OWT65543:OWU65676 PGP65543:PGQ65676 PQL65543:PQM65676 QAH65543:QAI65676 QKD65543:QKE65676 QTZ65543:QUA65676 RDV65543:RDW65676 RNR65543:RNS65676 RXN65543:RXO65676 SHJ65543:SHK65676 SRF65543:SRG65676 TBB65543:TBC65676 TKX65543:TKY65676 TUT65543:TUU65676 UEP65543:UEQ65676 UOL65543:UOM65676 UYH65543:UYI65676 VID65543:VIE65676 VRZ65543:VSA65676 WBV65543:WBW65676 WLR65543:WLS65676 WVN65543:WVO65676 G131079:G131212 JB131079:JC131212 SX131079:SY131212 ACT131079:ACU131212 AMP131079:AMQ131212 AWL131079:AWM131212 BGH131079:BGI131212 BQD131079:BQE131212 BZZ131079:CAA131212 CJV131079:CJW131212 CTR131079:CTS131212 DDN131079:DDO131212 DNJ131079:DNK131212 DXF131079:DXG131212 EHB131079:EHC131212 EQX131079:EQY131212 FAT131079:FAU131212 FKP131079:FKQ131212 FUL131079:FUM131212 GEH131079:GEI131212 GOD131079:GOE131212 GXZ131079:GYA131212 HHV131079:HHW131212 HRR131079:HRS131212 IBN131079:IBO131212 ILJ131079:ILK131212 IVF131079:IVG131212 JFB131079:JFC131212 JOX131079:JOY131212 JYT131079:JYU131212 KIP131079:KIQ131212 KSL131079:KSM131212 LCH131079:LCI131212 LMD131079:LME131212 LVZ131079:LWA131212 MFV131079:MFW131212 MPR131079:MPS131212 MZN131079:MZO131212 NJJ131079:NJK131212 NTF131079:NTG131212 ODB131079:ODC131212 OMX131079:OMY131212 OWT131079:OWU131212 PGP131079:PGQ131212 PQL131079:PQM131212 QAH131079:QAI131212 QKD131079:QKE131212 QTZ131079:QUA131212 RDV131079:RDW131212 RNR131079:RNS131212 RXN131079:RXO131212 SHJ131079:SHK131212 SRF131079:SRG131212 TBB131079:TBC131212 TKX131079:TKY131212 TUT131079:TUU131212 UEP131079:UEQ131212 UOL131079:UOM131212 UYH131079:UYI131212 VID131079:VIE131212 VRZ131079:VSA131212 WBV131079:WBW131212 WLR131079:WLS131212 WVN131079:WVO131212 G196615:G196748 JB196615:JC196748 SX196615:SY196748 ACT196615:ACU196748 AMP196615:AMQ196748 AWL196615:AWM196748 BGH196615:BGI196748 BQD196615:BQE196748 BZZ196615:CAA196748 CJV196615:CJW196748 CTR196615:CTS196748 DDN196615:DDO196748 DNJ196615:DNK196748 DXF196615:DXG196748 EHB196615:EHC196748 EQX196615:EQY196748 FAT196615:FAU196748 FKP196615:FKQ196748 FUL196615:FUM196748 GEH196615:GEI196748 GOD196615:GOE196748 GXZ196615:GYA196748 HHV196615:HHW196748 HRR196615:HRS196748 IBN196615:IBO196748 ILJ196615:ILK196748 IVF196615:IVG196748 JFB196615:JFC196748 JOX196615:JOY196748 JYT196615:JYU196748 KIP196615:KIQ196748 KSL196615:KSM196748 LCH196615:LCI196748 LMD196615:LME196748 LVZ196615:LWA196748 MFV196615:MFW196748 MPR196615:MPS196748 MZN196615:MZO196748 NJJ196615:NJK196748 NTF196615:NTG196748 ODB196615:ODC196748 OMX196615:OMY196748 OWT196615:OWU196748 PGP196615:PGQ196748 PQL196615:PQM196748 QAH196615:QAI196748 QKD196615:QKE196748 QTZ196615:QUA196748 RDV196615:RDW196748 RNR196615:RNS196748 RXN196615:RXO196748 SHJ196615:SHK196748 SRF196615:SRG196748 TBB196615:TBC196748 TKX196615:TKY196748 TUT196615:TUU196748 UEP196615:UEQ196748 UOL196615:UOM196748 UYH196615:UYI196748 VID196615:VIE196748 VRZ196615:VSA196748 WBV196615:WBW196748 WLR196615:WLS196748 WVN196615:WVO196748 G262151:G262284 JB262151:JC262284 SX262151:SY262284 ACT262151:ACU262284 AMP262151:AMQ262284 AWL262151:AWM262284 BGH262151:BGI262284 BQD262151:BQE262284 BZZ262151:CAA262284 CJV262151:CJW262284 CTR262151:CTS262284 DDN262151:DDO262284 DNJ262151:DNK262284 DXF262151:DXG262284 EHB262151:EHC262284 EQX262151:EQY262284 FAT262151:FAU262284 FKP262151:FKQ262284 FUL262151:FUM262284 GEH262151:GEI262284 GOD262151:GOE262284 GXZ262151:GYA262284 HHV262151:HHW262284 HRR262151:HRS262284 IBN262151:IBO262284 ILJ262151:ILK262284 IVF262151:IVG262284 JFB262151:JFC262284 JOX262151:JOY262284 JYT262151:JYU262284 KIP262151:KIQ262284 KSL262151:KSM262284 LCH262151:LCI262284 LMD262151:LME262284 LVZ262151:LWA262284 MFV262151:MFW262284 MPR262151:MPS262284 MZN262151:MZO262284 NJJ262151:NJK262284 NTF262151:NTG262284 ODB262151:ODC262284 OMX262151:OMY262284 OWT262151:OWU262284 PGP262151:PGQ262284 PQL262151:PQM262284 QAH262151:QAI262284 QKD262151:QKE262284 QTZ262151:QUA262284 RDV262151:RDW262284 RNR262151:RNS262284 RXN262151:RXO262284 SHJ262151:SHK262284 SRF262151:SRG262284 TBB262151:TBC262284 TKX262151:TKY262284 TUT262151:TUU262284 UEP262151:UEQ262284 UOL262151:UOM262284 UYH262151:UYI262284 VID262151:VIE262284 VRZ262151:VSA262284 WBV262151:WBW262284 WLR262151:WLS262284 WVN262151:WVO262284 G327687:G327820 JB327687:JC327820 SX327687:SY327820 ACT327687:ACU327820 AMP327687:AMQ327820 AWL327687:AWM327820 BGH327687:BGI327820 BQD327687:BQE327820 BZZ327687:CAA327820 CJV327687:CJW327820 CTR327687:CTS327820 DDN327687:DDO327820 DNJ327687:DNK327820 DXF327687:DXG327820 EHB327687:EHC327820 EQX327687:EQY327820 FAT327687:FAU327820 FKP327687:FKQ327820 FUL327687:FUM327820 GEH327687:GEI327820 GOD327687:GOE327820 GXZ327687:GYA327820 HHV327687:HHW327820 HRR327687:HRS327820 IBN327687:IBO327820 ILJ327687:ILK327820 IVF327687:IVG327820 JFB327687:JFC327820 JOX327687:JOY327820 JYT327687:JYU327820 KIP327687:KIQ327820 KSL327687:KSM327820 LCH327687:LCI327820 LMD327687:LME327820 LVZ327687:LWA327820 MFV327687:MFW327820 MPR327687:MPS327820 MZN327687:MZO327820 NJJ327687:NJK327820 NTF327687:NTG327820 ODB327687:ODC327820 OMX327687:OMY327820 OWT327687:OWU327820 PGP327687:PGQ327820 PQL327687:PQM327820 QAH327687:QAI327820 QKD327687:QKE327820 QTZ327687:QUA327820 RDV327687:RDW327820 RNR327687:RNS327820 RXN327687:RXO327820 SHJ327687:SHK327820 SRF327687:SRG327820 TBB327687:TBC327820 TKX327687:TKY327820 TUT327687:TUU327820 UEP327687:UEQ327820 UOL327687:UOM327820 UYH327687:UYI327820 VID327687:VIE327820 VRZ327687:VSA327820 WBV327687:WBW327820 WLR327687:WLS327820 WVN327687:WVO327820 G393223:G393356 JB393223:JC393356 SX393223:SY393356 ACT393223:ACU393356 AMP393223:AMQ393356 AWL393223:AWM393356 BGH393223:BGI393356 BQD393223:BQE393356 BZZ393223:CAA393356 CJV393223:CJW393356 CTR393223:CTS393356 DDN393223:DDO393356 DNJ393223:DNK393356 DXF393223:DXG393356 EHB393223:EHC393356 EQX393223:EQY393356 FAT393223:FAU393356 FKP393223:FKQ393356 FUL393223:FUM393356 GEH393223:GEI393356 GOD393223:GOE393356 GXZ393223:GYA393356 HHV393223:HHW393356 HRR393223:HRS393356 IBN393223:IBO393356 ILJ393223:ILK393356 IVF393223:IVG393356 JFB393223:JFC393356 JOX393223:JOY393356 JYT393223:JYU393356 KIP393223:KIQ393356 KSL393223:KSM393356 LCH393223:LCI393356 LMD393223:LME393356 LVZ393223:LWA393356 MFV393223:MFW393356 MPR393223:MPS393356 MZN393223:MZO393356 NJJ393223:NJK393356 NTF393223:NTG393356 ODB393223:ODC393356 OMX393223:OMY393356 OWT393223:OWU393356 PGP393223:PGQ393356 PQL393223:PQM393356 QAH393223:QAI393356 QKD393223:QKE393356 QTZ393223:QUA393356 RDV393223:RDW393356 RNR393223:RNS393356 RXN393223:RXO393356 SHJ393223:SHK393356 SRF393223:SRG393356 TBB393223:TBC393356 TKX393223:TKY393356 TUT393223:TUU393356 UEP393223:UEQ393356 UOL393223:UOM393356 UYH393223:UYI393356 VID393223:VIE393356 VRZ393223:VSA393356 WBV393223:WBW393356 WLR393223:WLS393356 WVN393223:WVO393356 G458759:G458892 JB458759:JC458892 SX458759:SY458892 ACT458759:ACU458892 AMP458759:AMQ458892 AWL458759:AWM458892 BGH458759:BGI458892 BQD458759:BQE458892 BZZ458759:CAA458892 CJV458759:CJW458892 CTR458759:CTS458892 DDN458759:DDO458892 DNJ458759:DNK458892 DXF458759:DXG458892 EHB458759:EHC458892 EQX458759:EQY458892 FAT458759:FAU458892 FKP458759:FKQ458892 FUL458759:FUM458892 GEH458759:GEI458892 GOD458759:GOE458892 GXZ458759:GYA458892 HHV458759:HHW458892 HRR458759:HRS458892 IBN458759:IBO458892 ILJ458759:ILK458892 IVF458759:IVG458892 JFB458759:JFC458892 JOX458759:JOY458892 JYT458759:JYU458892 KIP458759:KIQ458892 KSL458759:KSM458892 LCH458759:LCI458892 LMD458759:LME458892 LVZ458759:LWA458892 MFV458759:MFW458892 MPR458759:MPS458892 MZN458759:MZO458892 NJJ458759:NJK458892 NTF458759:NTG458892 ODB458759:ODC458892 OMX458759:OMY458892 OWT458759:OWU458892 PGP458759:PGQ458892 PQL458759:PQM458892 QAH458759:QAI458892 QKD458759:QKE458892 QTZ458759:QUA458892 RDV458759:RDW458892 RNR458759:RNS458892 RXN458759:RXO458892 SHJ458759:SHK458892 SRF458759:SRG458892 TBB458759:TBC458892 TKX458759:TKY458892 TUT458759:TUU458892 UEP458759:UEQ458892 UOL458759:UOM458892 UYH458759:UYI458892 VID458759:VIE458892 VRZ458759:VSA458892 WBV458759:WBW458892 WLR458759:WLS458892 WVN458759:WVO458892 G524295:G524428 JB524295:JC524428 SX524295:SY524428 ACT524295:ACU524428 AMP524295:AMQ524428 AWL524295:AWM524428 BGH524295:BGI524428 BQD524295:BQE524428 BZZ524295:CAA524428 CJV524295:CJW524428 CTR524295:CTS524428 DDN524295:DDO524428 DNJ524295:DNK524428 DXF524295:DXG524428 EHB524295:EHC524428 EQX524295:EQY524428 FAT524295:FAU524428 FKP524295:FKQ524428 FUL524295:FUM524428 GEH524295:GEI524428 GOD524295:GOE524428 GXZ524295:GYA524428 HHV524295:HHW524428 HRR524295:HRS524428 IBN524295:IBO524428 ILJ524295:ILK524428 IVF524295:IVG524428 JFB524295:JFC524428 JOX524295:JOY524428 JYT524295:JYU524428 KIP524295:KIQ524428 KSL524295:KSM524428 LCH524295:LCI524428 LMD524295:LME524428 LVZ524295:LWA524428 MFV524295:MFW524428 MPR524295:MPS524428 MZN524295:MZO524428 NJJ524295:NJK524428 NTF524295:NTG524428 ODB524295:ODC524428 OMX524295:OMY524428 OWT524295:OWU524428 PGP524295:PGQ524428 PQL524295:PQM524428 QAH524295:QAI524428 QKD524295:QKE524428 QTZ524295:QUA524428 RDV524295:RDW524428 RNR524295:RNS524428 RXN524295:RXO524428 SHJ524295:SHK524428 SRF524295:SRG524428 TBB524295:TBC524428 TKX524295:TKY524428 TUT524295:TUU524428 UEP524295:UEQ524428 UOL524295:UOM524428 UYH524295:UYI524428 VID524295:VIE524428 VRZ524295:VSA524428 WBV524295:WBW524428 WLR524295:WLS524428 WVN524295:WVO524428 G589831:G589964 JB589831:JC589964 SX589831:SY589964 ACT589831:ACU589964 AMP589831:AMQ589964 AWL589831:AWM589964 BGH589831:BGI589964 BQD589831:BQE589964 BZZ589831:CAA589964 CJV589831:CJW589964 CTR589831:CTS589964 DDN589831:DDO589964 DNJ589831:DNK589964 DXF589831:DXG589964 EHB589831:EHC589964 EQX589831:EQY589964 FAT589831:FAU589964 FKP589831:FKQ589964 FUL589831:FUM589964 GEH589831:GEI589964 GOD589831:GOE589964 GXZ589831:GYA589964 HHV589831:HHW589964 HRR589831:HRS589964 IBN589831:IBO589964 ILJ589831:ILK589964 IVF589831:IVG589964 JFB589831:JFC589964 JOX589831:JOY589964 JYT589831:JYU589964 KIP589831:KIQ589964 KSL589831:KSM589964 LCH589831:LCI589964 LMD589831:LME589964 LVZ589831:LWA589964 MFV589831:MFW589964 MPR589831:MPS589964 MZN589831:MZO589964 NJJ589831:NJK589964 NTF589831:NTG589964 ODB589831:ODC589964 OMX589831:OMY589964 OWT589831:OWU589964 PGP589831:PGQ589964 PQL589831:PQM589964 QAH589831:QAI589964 QKD589831:QKE589964 QTZ589831:QUA589964 RDV589831:RDW589964 RNR589831:RNS589964 RXN589831:RXO589964 SHJ589831:SHK589964 SRF589831:SRG589964 TBB589831:TBC589964 TKX589831:TKY589964 TUT589831:TUU589964 UEP589831:UEQ589964 UOL589831:UOM589964 UYH589831:UYI589964 VID589831:VIE589964 VRZ589831:VSA589964 WBV589831:WBW589964 WLR589831:WLS589964 WVN589831:WVO589964 G655367:G655500 JB655367:JC655500 SX655367:SY655500 ACT655367:ACU655500 AMP655367:AMQ655500 AWL655367:AWM655500 BGH655367:BGI655500 BQD655367:BQE655500 BZZ655367:CAA655500 CJV655367:CJW655500 CTR655367:CTS655500 DDN655367:DDO655500 DNJ655367:DNK655500 DXF655367:DXG655500 EHB655367:EHC655500 EQX655367:EQY655500 FAT655367:FAU655500 FKP655367:FKQ655500 FUL655367:FUM655500 GEH655367:GEI655500 GOD655367:GOE655500 GXZ655367:GYA655500 HHV655367:HHW655500 HRR655367:HRS655500 IBN655367:IBO655500 ILJ655367:ILK655500 IVF655367:IVG655500 JFB655367:JFC655500 JOX655367:JOY655500 JYT655367:JYU655500 KIP655367:KIQ655500 KSL655367:KSM655500 LCH655367:LCI655500 LMD655367:LME655500 LVZ655367:LWA655500 MFV655367:MFW655500 MPR655367:MPS655500 MZN655367:MZO655500 NJJ655367:NJK655500 NTF655367:NTG655500 ODB655367:ODC655500 OMX655367:OMY655500 OWT655367:OWU655500 PGP655367:PGQ655500 PQL655367:PQM655500 QAH655367:QAI655500 QKD655367:QKE655500 QTZ655367:QUA655500 RDV655367:RDW655500 RNR655367:RNS655500 RXN655367:RXO655500 SHJ655367:SHK655500 SRF655367:SRG655500 TBB655367:TBC655500 TKX655367:TKY655500 TUT655367:TUU655500 UEP655367:UEQ655500 UOL655367:UOM655500 UYH655367:UYI655500 VID655367:VIE655500 VRZ655367:VSA655500 WBV655367:WBW655500 WLR655367:WLS655500 WVN655367:WVO655500 G720903:G721036 JB720903:JC721036 SX720903:SY721036 ACT720903:ACU721036 AMP720903:AMQ721036 AWL720903:AWM721036 BGH720903:BGI721036 BQD720903:BQE721036 BZZ720903:CAA721036 CJV720903:CJW721036 CTR720903:CTS721036 DDN720903:DDO721036 DNJ720903:DNK721036 DXF720903:DXG721036 EHB720903:EHC721036 EQX720903:EQY721036 FAT720903:FAU721036 FKP720903:FKQ721036 FUL720903:FUM721036 GEH720903:GEI721036 GOD720903:GOE721036 GXZ720903:GYA721036 HHV720903:HHW721036 HRR720903:HRS721036 IBN720903:IBO721036 ILJ720903:ILK721036 IVF720903:IVG721036 JFB720903:JFC721036 JOX720903:JOY721036 JYT720903:JYU721036 KIP720903:KIQ721036 KSL720903:KSM721036 LCH720903:LCI721036 LMD720903:LME721036 LVZ720903:LWA721036 MFV720903:MFW721036 MPR720903:MPS721036 MZN720903:MZO721036 NJJ720903:NJK721036 NTF720903:NTG721036 ODB720903:ODC721036 OMX720903:OMY721036 OWT720903:OWU721036 PGP720903:PGQ721036 PQL720903:PQM721036 QAH720903:QAI721036 QKD720903:QKE721036 QTZ720903:QUA721036 RDV720903:RDW721036 RNR720903:RNS721036 RXN720903:RXO721036 SHJ720903:SHK721036 SRF720903:SRG721036 TBB720903:TBC721036 TKX720903:TKY721036 TUT720903:TUU721036 UEP720903:UEQ721036 UOL720903:UOM721036 UYH720903:UYI721036 VID720903:VIE721036 VRZ720903:VSA721036 WBV720903:WBW721036 WLR720903:WLS721036 WVN720903:WVO721036 G786439:G786572 JB786439:JC786572 SX786439:SY786572 ACT786439:ACU786572 AMP786439:AMQ786572 AWL786439:AWM786572 BGH786439:BGI786572 BQD786439:BQE786572 BZZ786439:CAA786572 CJV786439:CJW786572 CTR786439:CTS786572 DDN786439:DDO786572 DNJ786439:DNK786572 DXF786439:DXG786572 EHB786439:EHC786572 EQX786439:EQY786572 FAT786439:FAU786572 FKP786439:FKQ786572 FUL786439:FUM786572 GEH786439:GEI786572 GOD786439:GOE786572 GXZ786439:GYA786572 HHV786439:HHW786572 HRR786439:HRS786572 IBN786439:IBO786572 ILJ786439:ILK786572 IVF786439:IVG786572 JFB786439:JFC786572 JOX786439:JOY786572 JYT786439:JYU786572 KIP786439:KIQ786572 KSL786439:KSM786572 LCH786439:LCI786572 LMD786439:LME786572 LVZ786439:LWA786572 MFV786439:MFW786572 MPR786439:MPS786572 MZN786439:MZO786572 NJJ786439:NJK786572 NTF786439:NTG786572 ODB786439:ODC786572 OMX786439:OMY786572 OWT786439:OWU786572 PGP786439:PGQ786572 PQL786439:PQM786572 QAH786439:QAI786572 QKD786439:QKE786572 QTZ786439:QUA786572 RDV786439:RDW786572 RNR786439:RNS786572 RXN786439:RXO786572 SHJ786439:SHK786572 SRF786439:SRG786572 TBB786439:TBC786572 TKX786439:TKY786572 TUT786439:TUU786572 UEP786439:UEQ786572 UOL786439:UOM786572 UYH786439:UYI786572 VID786439:VIE786572 VRZ786439:VSA786572 WBV786439:WBW786572 WLR786439:WLS786572 WVN786439:WVO786572 G851975:G852108 JB851975:JC852108 SX851975:SY852108 ACT851975:ACU852108 AMP851975:AMQ852108 AWL851975:AWM852108 BGH851975:BGI852108 BQD851975:BQE852108 BZZ851975:CAA852108 CJV851975:CJW852108 CTR851975:CTS852108 DDN851975:DDO852108 DNJ851975:DNK852108 DXF851975:DXG852108 EHB851975:EHC852108 EQX851975:EQY852108 FAT851975:FAU852108 FKP851975:FKQ852108 FUL851975:FUM852108 GEH851975:GEI852108 GOD851975:GOE852108 GXZ851975:GYA852108 HHV851975:HHW852108 HRR851975:HRS852108 IBN851975:IBO852108 ILJ851975:ILK852108 IVF851975:IVG852108 JFB851975:JFC852108 JOX851975:JOY852108 JYT851975:JYU852108 KIP851975:KIQ852108 KSL851975:KSM852108 LCH851975:LCI852108 LMD851975:LME852108 LVZ851975:LWA852108 MFV851975:MFW852108 MPR851975:MPS852108 MZN851975:MZO852108 NJJ851975:NJK852108 NTF851975:NTG852108 ODB851975:ODC852108 OMX851975:OMY852108 OWT851975:OWU852108 PGP851975:PGQ852108 PQL851975:PQM852108 QAH851975:QAI852108 QKD851975:QKE852108 QTZ851975:QUA852108 RDV851975:RDW852108 RNR851975:RNS852108 RXN851975:RXO852108 SHJ851975:SHK852108 SRF851975:SRG852108 TBB851975:TBC852108 TKX851975:TKY852108 TUT851975:TUU852108 UEP851975:UEQ852108 UOL851975:UOM852108 UYH851975:UYI852108 VID851975:VIE852108 VRZ851975:VSA852108 WBV851975:WBW852108 WLR851975:WLS852108 WVN851975:WVO852108 G917511:G917644 JB917511:JC917644 SX917511:SY917644 ACT917511:ACU917644 AMP917511:AMQ917644 AWL917511:AWM917644 BGH917511:BGI917644 BQD917511:BQE917644 BZZ917511:CAA917644 CJV917511:CJW917644 CTR917511:CTS917644 DDN917511:DDO917644 DNJ917511:DNK917644 DXF917511:DXG917644 EHB917511:EHC917644 EQX917511:EQY917644 FAT917511:FAU917644 FKP917511:FKQ917644 FUL917511:FUM917644 GEH917511:GEI917644 GOD917511:GOE917644 GXZ917511:GYA917644 HHV917511:HHW917644 HRR917511:HRS917644 IBN917511:IBO917644 ILJ917511:ILK917644 IVF917511:IVG917644 JFB917511:JFC917644 JOX917511:JOY917644 JYT917511:JYU917644 KIP917511:KIQ917644 KSL917511:KSM917644 LCH917511:LCI917644 LMD917511:LME917644 LVZ917511:LWA917644 MFV917511:MFW917644 MPR917511:MPS917644 MZN917511:MZO917644 NJJ917511:NJK917644 NTF917511:NTG917644 ODB917511:ODC917644 OMX917511:OMY917644 OWT917511:OWU917644 PGP917511:PGQ917644 PQL917511:PQM917644 QAH917511:QAI917644 QKD917511:QKE917644 QTZ917511:QUA917644 RDV917511:RDW917644 RNR917511:RNS917644 RXN917511:RXO917644 SHJ917511:SHK917644 SRF917511:SRG917644 TBB917511:TBC917644 TKX917511:TKY917644 TUT917511:TUU917644 UEP917511:UEQ917644 UOL917511:UOM917644 UYH917511:UYI917644 VID917511:VIE917644 VRZ917511:VSA917644 WBV917511:WBW917644 WLR917511:WLS917644 WVN917511:WVO917644 G983047:G983180 JB983047:JC983180 SX983047:SY983180 ACT983047:ACU983180 AMP983047:AMQ983180 AWL983047:AWM983180 BGH983047:BGI983180 BQD983047:BQE983180 BZZ983047:CAA983180 CJV983047:CJW983180 CTR983047:CTS983180 DDN983047:DDO983180 DNJ983047:DNK983180 DXF983047:DXG983180 EHB983047:EHC983180 EQX983047:EQY983180 FAT983047:FAU983180 FKP983047:FKQ983180 FUL983047:FUM983180 GEH983047:GEI983180 GOD983047:GOE983180 GXZ983047:GYA983180 HHV983047:HHW983180 HRR983047:HRS983180 IBN983047:IBO983180 ILJ983047:ILK983180 IVF983047:IVG983180 JFB983047:JFC983180 JOX983047:JOY983180 JYT983047:JYU983180 KIP983047:KIQ983180 KSL983047:KSM983180 LCH983047:LCI983180 LMD983047:LME983180 LVZ983047:LWA983180 MFV983047:MFW983180 MPR983047:MPS983180 MZN983047:MZO983180 NJJ983047:NJK983180 NTF983047:NTG983180 ODB983047:ODC983180 OMX983047:OMY983180 OWT983047:OWU983180 PGP983047:PGQ983180 PQL983047:PQM983180 QAH983047:QAI983180 QKD983047:QKE983180 QTZ983047:QUA983180 RDV983047:RDW983180 RNR983047:RNS983180 RXN983047:RXO983180 SHJ983047:SHK983180 SRF983047:SRG983180 TBB983047:TBC983180 TKX983047:TKY983180 TUT983047:TUU983180 UEP983047:UEQ983180 UOL983047:UOM983180 UYH983047:UYI983180 VID983047:VIE983180 VRZ983047:VSA983180 WBV983047:WBW983180 WLR983047:WLS983180 WVN983047:WVO983180 D62:D155 IX62:IY155 ST62:SU155 ACP62:ACQ155 AML62:AMM155 AWH62:AWI155 BGD62:BGE155 BPZ62:BQA155 BZV62:BZW155 CJR62:CJS155 CTN62:CTO155 DDJ62:DDK155 DNF62:DNG155 DXB62:DXC155 EGX62:EGY155 EQT62:EQU155 FAP62:FAQ155 FKL62:FKM155 FUH62:FUI155 GED62:GEE155 GNZ62:GOA155 GXV62:GXW155 HHR62:HHS155 HRN62:HRO155 IBJ62:IBK155 ILF62:ILG155 IVB62:IVC155 JEX62:JEY155 JOT62:JOU155 JYP62:JYQ155 KIL62:KIM155 KSH62:KSI155 LCD62:LCE155 LLZ62:LMA155 LVV62:LVW155 MFR62:MFS155 MPN62:MPO155 MZJ62:MZK155 NJF62:NJG155 NTB62:NTC155 OCX62:OCY155 OMT62:OMU155 OWP62:OWQ155 PGL62:PGM155 PQH62:PQI155 QAD62:QAE155 QJZ62:QKA155 QTV62:QTW155 RDR62:RDS155 RNN62:RNO155 RXJ62:RXK155 SHF62:SHG155 SRB62:SRC155 TAX62:TAY155 TKT62:TKU155 TUP62:TUQ155 UEL62:UEM155 UOH62:UOI155 UYD62:UYE155 VHZ62:VIA155 VRV62:VRW155 WBR62:WBS155 WLN62:WLO155 WVJ62:WVK155 D65598:D65691 IX65598:IY65691 ST65598:SU65691 ACP65598:ACQ65691 AML65598:AMM65691 AWH65598:AWI65691 BGD65598:BGE65691 BPZ65598:BQA65691 BZV65598:BZW65691 CJR65598:CJS65691 CTN65598:CTO65691 DDJ65598:DDK65691 DNF65598:DNG65691 DXB65598:DXC65691 EGX65598:EGY65691 EQT65598:EQU65691 FAP65598:FAQ65691 FKL65598:FKM65691 FUH65598:FUI65691 GED65598:GEE65691 GNZ65598:GOA65691 GXV65598:GXW65691 HHR65598:HHS65691 HRN65598:HRO65691 IBJ65598:IBK65691 ILF65598:ILG65691 IVB65598:IVC65691 JEX65598:JEY65691 JOT65598:JOU65691 JYP65598:JYQ65691 KIL65598:KIM65691 KSH65598:KSI65691 LCD65598:LCE65691 LLZ65598:LMA65691 LVV65598:LVW65691 MFR65598:MFS65691 MPN65598:MPO65691 MZJ65598:MZK65691 NJF65598:NJG65691 NTB65598:NTC65691 OCX65598:OCY65691 OMT65598:OMU65691 OWP65598:OWQ65691 PGL65598:PGM65691 PQH65598:PQI65691 QAD65598:QAE65691 QJZ65598:QKA65691 QTV65598:QTW65691 RDR65598:RDS65691 RNN65598:RNO65691 RXJ65598:RXK65691 SHF65598:SHG65691 SRB65598:SRC65691 TAX65598:TAY65691 TKT65598:TKU65691 TUP65598:TUQ65691 UEL65598:UEM65691 UOH65598:UOI65691 UYD65598:UYE65691 VHZ65598:VIA65691 VRV65598:VRW65691 WBR65598:WBS65691 WLN65598:WLO65691 WVJ65598:WVK65691 D131134:D131227 IX131134:IY131227 ST131134:SU131227 ACP131134:ACQ131227 AML131134:AMM131227 AWH131134:AWI131227 BGD131134:BGE131227 BPZ131134:BQA131227 BZV131134:BZW131227 CJR131134:CJS131227 CTN131134:CTO131227 DDJ131134:DDK131227 DNF131134:DNG131227 DXB131134:DXC131227 EGX131134:EGY131227 EQT131134:EQU131227 FAP131134:FAQ131227 FKL131134:FKM131227 FUH131134:FUI131227 GED131134:GEE131227 GNZ131134:GOA131227 GXV131134:GXW131227 HHR131134:HHS131227 HRN131134:HRO131227 IBJ131134:IBK131227 ILF131134:ILG131227 IVB131134:IVC131227 JEX131134:JEY131227 JOT131134:JOU131227 JYP131134:JYQ131227 KIL131134:KIM131227 KSH131134:KSI131227 LCD131134:LCE131227 LLZ131134:LMA131227 LVV131134:LVW131227 MFR131134:MFS131227 MPN131134:MPO131227 MZJ131134:MZK131227 NJF131134:NJG131227 NTB131134:NTC131227 OCX131134:OCY131227 OMT131134:OMU131227 OWP131134:OWQ131227 PGL131134:PGM131227 PQH131134:PQI131227 QAD131134:QAE131227 QJZ131134:QKA131227 QTV131134:QTW131227 RDR131134:RDS131227 RNN131134:RNO131227 RXJ131134:RXK131227 SHF131134:SHG131227 SRB131134:SRC131227 TAX131134:TAY131227 TKT131134:TKU131227 TUP131134:TUQ131227 UEL131134:UEM131227 UOH131134:UOI131227 UYD131134:UYE131227 VHZ131134:VIA131227 VRV131134:VRW131227 WBR131134:WBS131227 WLN131134:WLO131227 WVJ131134:WVK131227 D196670:D196763 IX196670:IY196763 ST196670:SU196763 ACP196670:ACQ196763 AML196670:AMM196763 AWH196670:AWI196763 BGD196670:BGE196763 BPZ196670:BQA196763 BZV196670:BZW196763 CJR196670:CJS196763 CTN196670:CTO196763 DDJ196670:DDK196763 DNF196670:DNG196763 DXB196670:DXC196763 EGX196670:EGY196763 EQT196670:EQU196763 FAP196670:FAQ196763 FKL196670:FKM196763 FUH196670:FUI196763 GED196670:GEE196763 GNZ196670:GOA196763 GXV196670:GXW196763 HHR196670:HHS196763 HRN196670:HRO196763 IBJ196670:IBK196763 ILF196670:ILG196763 IVB196670:IVC196763 JEX196670:JEY196763 JOT196670:JOU196763 JYP196670:JYQ196763 KIL196670:KIM196763 KSH196670:KSI196763 LCD196670:LCE196763 LLZ196670:LMA196763 LVV196670:LVW196763 MFR196670:MFS196763 MPN196670:MPO196763 MZJ196670:MZK196763 NJF196670:NJG196763 NTB196670:NTC196763 OCX196670:OCY196763 OMT196670:OMU196763 OWP196670:OWQ196763 PGL196670:PGM196763 PQH196670:PQI196763 QAD196670:QAE196763 QJZ196670:QKA196763 QTV196670:QTW196763 RDR196670:RDS196763 RNN196670:RNO196763 RXJ196670:RXK196763 SHF196670:SHG196763 SRB196670:SRC196763 TAX196670:TAY196763 TKT196670:TKU196763 TUP196670:TUQ196763 UEL196670:UEM196763 UOH196670:UOI196763 UYD196670:UYE196763 VHZ196670:VIA196763 VRV196670:VRW196763 WBR196670:WBS196763 WLN196670:WLO196763 WVJ196670:WVK196763 D262206:D262299 IX262206:IY262299 ST262206:SU262299 ACP262206:ACQ262299 AML262206:AMM262299 AWH262206:AWI262299 BGD262206:BGE262299 BPZ262206:BQA262299 BZV262206:BZW262299 CJR262206:CJS262299 CTN262206:CTO262299 DDJ262206:DDK262299 DNF262206:DNG262299 DXB262206:DXC262299 EGX262206:EGY262299 EQT262206:EQU262299 FAP262206:FAQ262299 FKL262206:FKM262299 FUH262206:FUI262299 GED262206:GEE262299 GNZ262206:GOA262299 GXV262206:GXW262299 HHR262206:HHS262299 HRN262206:HRO262299 IBJ262206:IBK262299 ILF262206:ILG262299 IVB262206:IVC262299 JEX262206:JEY262299 JOT262206:JOU262299 JYP262206:JYQ262299 KIL262206:KIM262299 KSH262206:KSI262299 LCD262206:LCE262299 LLZ262206:LMA262299 LVV262206:LVW262299 MFR262206:MFS262299 MPN262206:MPO262299 MZJ262206:MZK262299 NJF262206:NJG262299 NTB262206:NTC262299 OCX262206:OCY262299 OMT262206:OMU262299 OWP262206:OWQ262299 PGL262206:PGM262299 PQH262206:PQI262299 QAD262206:QAE262299 QJZ262206:QKA262299 QTV262206:QTW262299 RDR262206:RDS262299 RNN262206:RNO262299 RXJ262206:RXK262299 SHF262206:SHG262299 SRB262206:SRC262299 TAX262206:TAY262299 TKT262206:TKU262299 TUP262206:TUQ262299 UEL262206:UEM262299 UOH262206:UOI262299 UYD262206:UYE262299 VHZ262206:VIA262299 VRV262206:VRW262299 WBR262206:WBS262299 WLN262206:WLO262299 WVJ262206:WVK262299 D327742:D327835 IX327742:IY327835 ST327742:SU327835 ACP327742:ACQ327835 AML327742:AMM327835 AWH327742:AWI327835 BGD327742:BGE327835 BPZ327742:BQA327835 BZV327742:BZW327835 CJR327742:CJS327835 CTN327742:CTO327835 DDJ327742:DDK327835 DNF327742:DNG327835 DXB327742:DXC327835 EGX327742:EGY327835 EQT327742:EQU327835 FAP327742:FAQ327835 FKL327742:FKM327835 FUH327742:FUI327835 GED327742:GEE327835 GNZ327742:GOA327835 GXV327742:GXW327835 HHR327742:HHS327835 HRN327742:HRO327835 IBJ327742:IBK327835 ILF327742:ILG327835 IVB327742:IVC327835 JEX327742:JEY327835 JOT327742:JOU327835 JYP327742:JYQ327835 KIL327742:KIM327835 KSH327742:KSI327835 LCD327742:LCE327835 LLZ327742:LMA327835 LVV327742:LVW327835 MFR327742:MFS327835 MPN327742:MPO327835 MZJ327742:MZK327835 NJF327742:NJG327835 NTB327742:NTC327835 OCX327742:OCY327835 OMT327742:OMU327835 OWP327742:OWQ327835 PGL327742:PGM327835 PQH327742:PQI327835 QAD327742:QAE327835 QJZ327742:QKA327835 QTV327742:QTW327835 RDR327742:RDS327835 RNN327742:RNO327835 RXJ327742:RXK327835 SHF327742:SHG327835 SRB327742:SRC327835 TAX327742:TAY327835 TKT327742:TKU327835 TUP327742:TUQ327835 UEL327742:UEM327835 UOH327742:UOI327835 UYD327742:UYE327835 VHZ327742:VIA327835 VRV327742:VRW327835 WBR327742:WBS327835 WLN327742:WLO327835 WVJ327742:WVK327835 D393278:D393371 IX393278:IY393371 ST393278:SU393371 ACP393278:ACQ393371 AML393278:AMM393371 AWH393278:AWI393371 BGD393278:BGE393371 BPZ393278:BQA393371 BZV393278:BZW393371 CJR393278:CJS393371 CTN393278:CTO393371 DDJ393278:DDK393371 DNF393278:DNG393371 DXB393278:DXC393371 EGX393278:EGY393371 EQT393278:EQU393371 FAP393278:FAQ393371 FKL393278:FKM393371 FUH393278:FUI393371 GED393278:GEE393371 GNZ393278:GOA393371 GXV393278:GXW393371 HHR393278:HHS393371 HRN393278:HRO393371 IBJ393278:IBK393371 ILF393278:ILG393371 IVB393278:IVC393371 JEX393278:JEY393371 JOT393278:JOU393371 JYP393278:JYQ393371 KIL393278:KIM393371 KSH393278:KSI393371 LCD393278:LCE393371 LLZ393278:LMA393371 LVV393278:LVW393371 MFR393278:MFS393371 MPN393278:MPO393371 MZJ393278:MZK393371 NJF393278:NJG393371 NTB393278:NTC393371 OCX393278:OCY393371 OMT393278:OMU393371 OWP393278:OWQ393371 PGL393278:PGM393371 PQH393278:PQI393371 QAD393278:QAE393371 QJZ393278:QKA393371 QTV393278:QTW393371 RDR393278:RDS393371 RNN393278:RNO393371 RXJ393278:RXK393371 SHF393278:SHG393371 SRB393278:SRC393371 TAX393278:TAY393371 TKT393278:TKU393371 TUP393278:TUQ393371 UEL393278:UEM393371 UOH393278:UOI393371 UYD393278:UYE393371 VHZ393278:VIA393371 VRV393278:VRW393371 WBR393278:WBS393371 WLN393278:WLO393371 WVJ393278:WVK393371 D458814:D458907 IX458814:IY458907 ST458814:SU458907 ACP458814:ACQ458907 AML458814:AMM458907 AWH458814:AWI458907 BGD458814:BGE458907 BPZ458814:BQA458907 BZV458814:BZW458907 CJR458814:CJS458907 CTN458814:CTO458907 DDJ458814:DDK458907 DNF458814:DNG458907 DXB458814:DXC458907 EGX458814:EGY458907 EQT458814:EQU458907 FAP458814:FAQ458907 FKL458814:FKM458907 FUH458814:FUI458907 GED458814:GEE458907 GNZ458814:GOA458907 GXV458814:GXW458907 HHR458814:HHS458907 HRN458814:HRO458907 IBJ458814:IBK458907 ILF458814:ILG458907 IVB458814:IVC458907 JEX458814:JEY458907 JOT458814:JOU458907 JYP458814:JYQ458907 KIL458814:KIM458907 KSH458814:KSI458907 LCD458814:LCE458907 LLZ458814:LMA458907 LVV458814:LVW458907 MFR458814:MFS458907 MPN458814:MPO458907 MZJ458814:MZK458907 NJF458814:NJG458907 NTB458814:NTC458907 OCX458814:OCY458907 OMT458814:OMU458907 OWP458814:OWQ458907 PGL458814:PGM458907 PQH458814:PQI458907 QAD458814:QAE458907 QJZ458814:QKA458907 QTV458814:QTW458907 RDR458814:RDS458907 RNN458814:RNO458907 RXJ458814:RXK458907 SHF458814:SHG458907 SRB458814:SRC458907 TAX458814:TAY458907 TKT458814:TKU458907 TUP458814:TUQ458907 UEL458814:UEM458907 UOH458814:UOI458907 UYD458814:UYE458907 VHZ458814:VIA458907 VRV458814:VRW458907 WBR458814:WBS458907 WLN458814:WLO458907 WVJ458814:WVK458907 D524350:D524443 IX524350:IY524443 ST524350:SU524443 ACP524350:ACQ524443 AML524350:AMM524443 AWH524350:AWI524443 BGD524350:BGE524443 BPZ524350:BQA524443 BZV524350:BZW524443 CJR524350:CJS524443 CTN524350:CTO524443 DDJ524350:DDK524443 DNF524350:DNG524443 DXB524350:DXC524443 EGX524350:EGY524443 EQT524350:EQU524443 FAP524350:FAQ524443 FKL524350:FKM524443 FUH524350:FUI524443 GED524350:GEE524443 GNZ524350:GOA524443 GXV524350:GXW524443 HHR524350:HHS524443 HRN524350:HRO524443 IBJ524350:IBK524443 ILF524350:ILG524443 IVB524350:IVC524443 JEX524350:JEY524443 JOT524350:JOU524443 JYP524350:JYQ524443 KIL524350:KIM524443 KSH524350:KSI524443 LCD524350:LCE524443 LLZ524350:LMA524443 LVV524350:LVW524443 MFR524350:MFS524443 MPN524350:MPO524443 MZJ524350:MZK524443 NJF524350:NJG524443 NTB524350:NTC524443 OCX524350:OCY524443 OMT524350:OMU524443 OWP524350:OWQ524443 PGL524350:PGM524443 PQH524350:PQI524443 QAD524350:QAE524443 QJZ524350:QKA524443 QTV524350:QTW524443 RDR524350:RDS524443 RNN524350:RNO524443 RXJ524350:RXK524443 SHF524350:SHG524443 SRB524350:SRC524443 TAX524350:TAY524443 TKT524350:TKU524443 TUP524350:TUQ524443 UEL524350:UEM524443 UOH524350:UOI524443 UYD524350:UYE524443 VHZ524350:VIA524443 VRV524350:VRW524443 WBR524350:WBS524443 WLN524350:WLO524443 WVJ524350:WVK524443 D589886:D589979 IX589886:IY589979 ST589886:SU589979 ACP589886:ACQ589979 AML589886:AMM589979 AWH589886:AWI589979 BGD589886:BGE589979 BPZ589886:BQA589979 BZV589886:BZW589979 CJR589886:CJS589979 CTN589886:CTO589979 DDJ589886:DDK589979 DNF589886:DNG589979 DXB589886:DXC589979 EGX589886:EGY589979 EQT589886:EQU589979 FAP589886:FAQ589979 FKL589886:FKM589979 FUH589886:FUI589979 GED589886:GEE589979 GNZ589886:GOA589979 GXV589886:GXW589979 HHR589886:HHS589979 HRN589886:HRO589979 IBJ589886:IBK589979 ILF589886:ILG589979 IVB589886:IVC589979 JEX589886:JEY589979 JOT589886:JOU589979 JYP589886:JYQ589979 KIL589886:KIM589979 KSH589886:KSI589979 LCD589886:LCE589979 LLZ589886:LMA589979 LVV589886:LVW589979 MFR589886:MFS589979 MPN589886:MPO589979 MZJ589886:MZK589979 NJF589886:NJG589979 NTB589886:NTC589979 OCX589886:OCY589979 OMT589886:OMU589979 OWP589886:OWQ589979 PGL589886:PGM589979 PQH589886:PQI589979 QAD589886:QAE589979 QJZ589886:QKA589979 QTV589886:QTW589979 RDR589886:RDS589979 RNN589886:RNO589979 RXJ589886:RXK589979 SHF589886:SHG589979 SRB589886:SRC589979 TAX589886:TAY589979 TKT589886:TKU589979 TUP589886:TUQ589979 UEL589886:UEM589979 UOH589886:UOI589979 UYD589886:UYE589979 VHZ589886:VIA589979 VRV589886:VRW589979 WBR589886:WBS589979 WLN589886:WLO589979 WVJ589886:WVK589979 D655422:D655515 IX655422:IY655515 ST655422:SU655515 ACP655422:ACQ655515 AML655422:AMM655515 AWH655422:AWI655515 BGD655422:BGE655515 BPZ655422:BQA655515 BZV655422:BZW655515 CJR655422:CJS655515 CTN655422:CTO655515 DDJ655422:DDK655515 DNF655422:DNG655515 DXB655422:DXC655515 EGX655422:EGY655515 EQT655422:EQU655515 FAP655422:FAQ655515 FKL655422:FKM655515 FUH655422:FUI655515 GED655422:GEE655515 GNZ655422:GOA655515 GXV655422:GXW655515 HHR655422:HHS655515 HRN655422:HRO655515 IBJ655422:IBK655515 ILF655422:ILG655515 IVB655422:IVC655515 JEX655422:JEY655515 JOT655422:JOU655515 JYP655422:JYQ655515 KIL655422:KIM655515 KSH655422:KSI655515 LCD655422:LCE655515 LLZ655422:LMA655515 LVV655422:LVW655515 MFR655422:MFS655515 MPN655422:MPO655515 MZJ655422:MZK655515 NJF655422:NJG655515 NTB655422:NTC655515 OCX655422:OCY655515 OMT655422:OMU655515 OWP655422:OWQ655515 PGL655422:PGM655515 PQH655422:PQI655515 QAD655422:QAE655515 QJZ655422:QKA655515 QTV655422:QTW655515 RDR655422:RDS655515 RNN655422:RNO655515 RXJ655422:RXK655515 SHF655422:SHG655515 SRB655422:SRC655515 TAX655422:TAY655515 TKT655422:TKU655515 TUP655422:TUQ655515 UEL655422:UEM655515 UOH655422:UOI655515 UYD655422:UYE655515 VHZ655422:VIA655515 VRV655422:VRW655515 WBR655422:WBS655515 WLN655422:WLO655515 WVJ655422:WVK655515 D720958:D721051 IX720958:IY721051 ST720958:SU721051 ACP720958:ACQ721051 AML720958:AMM721051 AWH720958:AWI721051 BGD720958:BGE721051 BPZ720958:BQA721051 BZV720958:BZW721051 CJR720958:CJS721051 CTN720958:CTO721051 DDJ720958:DDK721051 DNF720958:DNG721051 DXB720958:DXC721051 EGX720958:EGY721051 EQT720958:EQU721051 FAP720958:FAQ721051 FKL720958:FKM721051 FUH720958:FUI721051 GED720958:GEE721051 GNZ720958:GOA721051 GXV720958:GXW721051 HHR720958:HHS721051 HRN720958:HRO721051 IBJ720958:IBK721051 ILF720958:ILG721051 IVB720958:IVC721051 JEX720958:JEY721051 JOT720958:JOU721051 JYP720958:JYQ721051 KIL720958:KIM721051 KSH720958:KSI721051 LCD720958:LCE721051 LLZ720958:LMA721051 LVV720958:LVW721051 MFR720958:MFS721051 MPN720958:MPO721051 MZJ720958:MZK721051 NJF720958:NJG721051 NTB720958:NTC721051 OCX720958:OCY721051 OMT720958:OMU721051 OWP720958:OWQ721051 PGL720958:PGM721051 PQH720958:PQI721051 QAD720958:QAE721051 QJZ720958:QKA721051 QTV720958:QTW721051 RDR720958:RDS721051 RNN720958:RNO721051 RXJ720958:RXK721051 SHF720958:SHG721051 SRB720958:SRC721051 TAX720958:TAY721051 TKT720958:TKU721051 TUP720958:TUQ721051 UEL720958:UEM721051 UOH720958:UOI721051 UYD720958:UYE721051 VHZ720958:VIA721051 VRV720958:VRW721051 WBR720958:WBS721051 WLN720958:WLO721051 WVJ720958:WVK721051 D786494:D786587 IX786494:IY786587 ST786494:SU786587 ACP786494:ACQ786587 AML786494:AMM786587 AWH786494:AWI786587 BGD786494:BGE786587 BPZ786494:BQA786587 BZV786494:BZW786587 CJR786494:CJS786587 CTN786494:CTO786587 DDJ786494:DDK786587 DNF786494:DNG786587 DXB786494:DXC786587 EGX786494:EGY786587 EQT786494:EQU786587 FAP786494:FAQ786587 FKL786494:FKM786587 FUH786494:FUI786587 GED786494:GEE786587 GNZ786494:GOA786587 GXV786494:GXW786587 HHR786494:HHS786587 HRN786494:HRO786587 IBJ786494:IBK786587 ILF786494:ILG786587 IVB786494:IVC786587 JEX786494:JEY786587 JOT786494:JOU786587 JYP786494:JYQ786587 KIL786494:KIM786587 KSH786494:KSI786587 LCD786494:LCE786587 LLZ786494:LMA786587 LVV786494:LVW786587 MFR786494:MFS786587 MPN786494:MPO786587 MZJ786494:MZK786587 NJF786494:NJG786587 NTB786494:NTC786587 OCX786494:OCY786587 OMT786494:OMU786587 OWP786494:OWQ786587 PGL786494:PGM786587 PQH786494:PQI786587 QAD786494:QAE786587 QJZ786494:QKA786587 QTV786494:QTW786587 RDR786494:RDS786587 RNN786494:RNO786587 RXJ786494:RXK786587 SHF786494:SHG786587 SRB786494:SRC786587 TAX786494:TAY786587 TKT786494:TKU786587 TUP786494:TUQ786587 UEL786494:UEM786587 UOH786494:UOI786587 UYD786494:UYE786587 VHZ786494:VIA786587 VRV786494:VRW786587 WBR786494:WBS786587 WLN786494:WLO786587 WVJ786494:WVK786587 D852030:D852123 IX852030:IY852123 ST852030:SU852123 ACP852030:ACQ852123 AML852030:AMM852123 AWH852030:AWI852123 BGD852030:BGE852123 BPZ852030:BQA852123 BZV852030:BZW852123 CJR852030:CJS852123 CTN852030:CTO852123 DDJ852030:DDK852123 DNF852030:DNG852123 DXB852030:DXC852123 EGX852030:EGY852123 EQT852030:EQU852123 FAP852030:FAQ852123 FKL852030:FKM852123 FUH852030:FUI852123 GED852030:GEE852123 GNZ852030:GOA852123 GXV852030:GXW852123 HHR852030:HHS852123 HRN852030:HRO852123 IBJ852030:IBK852123 ILF852030:ILG852123 IVB852030:IVC852123 JEX852030:JEY852123 JOT852030:JOU852123 JYP852030:JYQ852123 KIL852030:KIM852123 KSH852030:KSI852123 LCD852030:LCE852123 LLZ852030:LMA852123 LVV852030:LVW852123 MFR852030:MFS852123 MPN852030:MPO852123 MZJ852030:MZK852123 NJF852030:NJG852123 NTB852030:NTC852123 OCX852030:OCY852123 OMT852030:OMU852123 OWP852030:OWQ852123 PGL852030:PGM852123 PQH852030:PQI852123 QAD852030:QAE852123 QJZ852030:QKA852123 QTV852030:QTW852123 RDR852030:RDS852123 RNN852030:RNO852123 RXJ852030:RXK852123 SHF852030:SHG852123 SRB852030:SRC852123 TAX852030:TAY852123 TKT852030:TKU852123 TUP852030:TUQ852123 UEL852030:UEM852123 UOH852030:UOI852123 UYD852030:UYE852123 VHZ852030:VIA852123 VRV852030:VRW852123 WBR852030:WBS852123 WLN852030:WLO852123 WVJ852030:WVK852123 D917566:D917659 IX917566:IY917659 ST917566:SU917659 ACP917566:ACQ917659 AML917566:AMM917659 AWH917566:AWI917659 BGD917566:BGE917659 BPZ917566:BQA917659 BZV917566:BZW917659 CJR917566:CJS917659 CTN917566:CTO917659 DDJ917566:DDK917659 DNF917566:DNG917659 DXB917566:DXC917659 EGX917566:EGY917659 EQT917566:EQU917659 FAP917566:FAQ917659 FKL917566:FKM917659 FUH917566:FUI917659 GED917566:GEE917659 GNZ917566:GOA917659 GXV917566:GXW917659 HHR917566:HHS917659 HRN917566:HRO917659 IBJ917566:IBK917659 ILF917566:ILG917659 IVB917566:IVC917659 JEX917566:JEY917659 JOT917566:JOU917659 JYP917566:JYQ917659 KIL917566:KIM917659 KSH917566:KSI917659 LCD917566:LCE917659 LLZ917566:LMA917659 LVV917566:LVW917659 MFR917566:MFS917659 MPN917566:MPO917659 MZJ917566:MZK917659 NJF917566:NJG917659 NTB917566:NTC917659 OCX917566:OCY917659 OMT917566:OMU917659 OWP917566:OWQ917659 PGL917566:PGM917659 PQH917566:PQI917659 QAD917566:QAE917659 QJZ917566:QKA917659 QTV917566:QTW917659 RDR917566:RDS917659 RNN917566:RNO917659 RXJ917566:RXK917659 SHF917566:SHG917659 SRB917566:SRC917659 TAX917566:TAY917659 TKT917566:TKU917659 TUP917566:TUQ917659 UEL917566:UEM917659 UOH917566:UOI917659 UYD917566:UYE917659 VHZ917566:VIA917659 VRV917566:VRW917659 WBR917566:WBS917659 WLN917566:WLO917659 WVJ917566:WVK917659 D983102:D983195 IX983102:IY983195 ST983102:SU983195 ACP983102:ACQ983195 AML983102:AMM983195 AWH983102:AWI983195 BGD983102:BGE983195 BPZ983102:BQA983195 BZV983102:BZW983195 CJR983102:CJS983195 CTN983102:CTO983195 DDJ983102:DDK983195 DNF983102:DNG983195 DXB983102:DXC983195 EGX983102:EGY983195 EQT983102:EQU983195 FAP983102:FAQ983195 FKL983102:FKM983195 FUH983102:FUI983195 GED983102:GEE983195 GNZ983102:GOA983195 GXV983102:GXW983195 HHR983102:HHS983195 HRN983102:HRO983195 IBJ983102:IBK983195 ILF983102:ILG983195 IVB983102:IVC983195 JEX983102:JEY983195 JOT983102:JOU983195 JYP983102:JYQ983195 KIL983102:KIM983195 KSH983102:KSI983195 LCD983102:LCE983195 LLZ983102:LMA983195 LVV983102:LVW983195 MFR983102:MFS983195 MPN983102:MPO983195 MZJ983102:MZK983195 NJF983102:NJG983195 NTB983102:NTC983195 OCX983102:OCY983195 OMT983102:OMU983195 OWP983102:OWQ983195 PGL983102:PGM983195 PQH983102:PQI983195 QAD983102:QAE983195 QJZ983102:QKA983195 QTV983102:QTW983195 RDR983102:RDS983195 RNN983102:RNO983195 RXJ983102:RXK983195 SHF983102:SHG983195 SRB983102:SRC983195 TAX983102:TAY983195 TKT983102:TKU983195 TUP983102:TUQ983195 UEL983102:UEM983195 UOH983102:UOI983195 UYD983102:UYE983195 VHZ983102:VIA983195 VRV983102:VRW983195 WBR983102:WBS983195 WLN983102:WLO983195 WVJ983102:WVK983195 G152:G164 JB152:JC164 SX152:SY164 ACT152:ACU164 AMP152:AMQ164 AWL152:AWM164 BGH152:BGI164 BQD152:BQE164 BZZ152:CAA164 CJV152:CJW164 CTR152:CTS164 DDN152:DDO164 DNJ152:DNK164 DXF152:DXG164 EHB152:EHC164 EQX152:EQY164 FAT152:FAU164 FKP152:FKQ164 FUL152:FUM164 GEH152:GEI164 GOD152:GOE164 GXZ152:GYA164 HHV152:HHW164 HRR152:HRS164 IBN152:IBO164 ILJ152:ILK164 IVF152:IVG164 JFB152:JFC164 JOX152:JOY164 JYT152:JYU164 KIP152:KIQ164 KSL152:KSM164 LCH152:LCI164 LMD152:LME164 LVZ152:LWA164 MFV152:MFW164 MPR152:MPS164 MZN152:MZO164 NJJ152:NJK164 NTF152:NTG164 ODB152:ODC164 OMX152:OMY164 OWT152:OWU164 PGP152:PGQ164 PQL152:PQM164 QAH152:QAI164 QKD152:QKE164 QTZ152:QUA164 RDV152:RDW164 RNR152:RNS164 RXN152:RXO164 SHJ152:SHK164 SRF152:SRG164 TBB152:TBC164 TKX152:TKY164 TUT152:TUU164 UEP152:UEQ164 UOL152:UOM164 UYH152:UYI164 VID152:VIE164 VRZ152:VSA164 WBV152:WBW164 WLR152:WLS164 WVN152:WVO164 G65688:G65700 JB65688:JC65700 SX65688:SY65700 ACT65688:ACU65700 AMP65688:AMQ65700 AWL65688:AWM65700 BGH65688:BGI65700 BQD65688:BQE65700 BZZ65688:CAA65700 CJV65688:CJW65700 CTR65688:CTS65700 DDN65688:DDO65700 DNJ65688:DNK65700 DXF65688:DXG65700 EHB65688:EHC65700 EQX65688:EQY65700 FAT65688:FAU65700 FKP65688:FKQ65700 FUL65688:FUM65700 GEH65688:GEI65700 GOD65688:GOE65700 GXZ65688:GYA65700 HHV65688:HHW65700 HRR65688:HRS65700 IBN65688:IBO65700 ILJ65688:ILK65700 IVF65688:IVG65700 JFB65688:JFC65700 JOX65688:JOY65700 JYT65688:JYU65700 KIP65688:KIQ65700 KSL65688:KSM65700 LCH65688:LCI65700 LMD65688:LME65700 LVZ65688:LWA65700 MFV65688:MFW65700 MPR65688:MPS65700 MZN65688:MZO65700 NJJ65688:NJK65700 NTF65688:NTG65700 ODB65688:ODC65700 OMX65688:OMY65700 OWT65688:OWU65700 PGP65688:PGQ65700 PQL65688:PQM65700 QAH65688:QAI65700 QKD65688:QKE65700 QTZ65688:QUA65700 RDV65688:RDW65700 RNR65688:RNS65700 RXN65688:RXO65700 SHJ65688:SHK65700 SRF65688:SRG65700 TBB65688:TBC65700 TKX65688:TKY65700 TUT65688:TUU65700 UEP65688:UEQ65700 UOL65688:UOM65700 UYH65688:UYI65700 VID65688:VIE65700 VRZ65688:VSA65700 WBV65688:WBW65700 WLR65688:WLS65700 WVN65688:WVO65700 G131224:G131236 JB131224:JC131236 SX131224:SY131236 ACT131224:ACU131236 AMP131224:AMQ131236 AWL131224:AWM131236 BGH131224:BGI131236 BQD131224:BQE131236 BZZ131224:CAA131236 CJV131224:CJW131236 CTR131224:CTS131236 DDN131224:DDO131236 DNJ131224:DNK131236 DXF131224:DXG131236 EHB131224:EHC131236 EQX131224:EQY131236 FAT131224:FAU131236 FKP131224:FKQ131236 FUL131224:FUM131236 GEH131224:GEI131236 GOD131224:GOE131236 GXZ131224:GYA131236 HHV131224:HHW131236 HRR131224:HRS131236 IBN131224:IBO131236 ILJ131224:ILK131236 IVF131224:IVG131236 JFB131224:JFC131236 JOX131224:JOY131236 JYT131224:JYU131236 KIP131224:KIQ131236 KSL131224:KSM131236 LCH131224:LCI131236 LMD131224:LME131236 LVZ131224:LWA131236 MFV131224:MFW131236 MPR131224:MPS131236 MZN131224:MZO131236 NJJ131224:NJK131236 NTF131224:NTG131236 ODB131224:ODC131236 OMX131224:OMY131236 OWT131224:OWU131236 PGP131224:PGQ131236 PQL131224:PQM131236 QAH131224:QAI131236 QKD131224:QKE131236 QTZ131224:QUA131236 RDV131224:RDW131236 RNR131224:RNS131236 RXN131224:RXO131236 SHJ131224:SHK131236 SRF131224:SRG131236 TBB131224:TBC131236 TKX131224:TKY131236 TUT131224:TUU131236 UEP131224:UEQ131236 UOL131224:UOM131236 UYH131224:UYI131236 VID131224:VIE131236 VRZ131224:VSA131236 WBV131224:WBW131236 WLR131224:WLS131236 WVN131224:WVO131236 G196760:G196772 JB196760:JC196772 SX196760:SY196772 ACT196760:ACU196772 AMP196760:AMQ196772 AWL196760:AWM196772 BGH196760:BGI196772 BQD196760:BQE196772 BZZ196760:CAA196772 CJV196760:CJW196772 CTR196760:CTS196772 DDN196760:DDO196772 DNJ196760:DNK196772 DXF196760:DXG196772 EHB196760:EHC196772 EQX196760:EQY196772 FAT196760:FAU196772 FKP196760:FKQ196772 FUL196760:FUM196772 GEH196760:GEI196772 GOD196760:GOE196772 GXZ196760:GYA196772 HHV196760:HHW196772 HRR196760:HRS196772 IBN196760:IBO196772 ILJ196760:ILK196772 IVF196760:IVG196772 JFB196760:JFC196772 JOX196760:JOY196772 JYT196760:JYU196772 KIP196760:KIQ196772 KSL196760:KSM196772 LCH196760:LCI196772 LMD196760:LME196772 LVZ196760:LWA196772 MFV196760:MFW196772 MPR196760:MPS196772 MZN196760:MZO196772 NJJ196760:NJK196772 NTF196760:NTG196772 ODB196760:ODC196772 OMX196760:OMY196772 OWT196760:OWU196772 PGP196760:PGQ196772 PQL196760:PQM196772 QAH196760:QAI196772 QKD196760:QKE196772 QTZ196760:QUA196772 RDV196760:RDW196772 RNR196760:RNS196772 RXN196760:RXO196772 SHJ196760:SHK196772 SRF196760:SRG196772 TBB196760:TBC196772 TKX196760:TKY196772 TUT196760:TUU196772 UEP196760:UEQ196772 UOL196760:UOM196772 UYH196760:UYI196772 VID196760:VIE196772 VRZ196760:VSA196772 WBV196760:WBW196772 WLR196760:WLS196772 WVN196760:WVO196772 G262296:G262308 JB262296:JC262308 SX262296:SY262308 ACT262296:ACU262308 AMP262296:AMQ262308 AWL262296:AWM262308 BGH262296:BGI262308 BQD262296:BQE262308 BZZ262296:CAA262308 CJV262296:CJW262308 CTR262296:CTS262308 DDN262296:DDO262308 DNJ262296:DNK262308 DXF262296:DXG262308 EHB262296:EHC262308 EQX262296:EQY262308 FAT262296:FAU262308 FKP262296:FKQ262308 FUL262296:FUM262308 GEH262296:GEI262308 GOD262296:GOE262308 GXZ262296:GYA262308 HHV262296:HHW262308 HRR262296:HRS262308 IBN262296:IBO262308 ILJ262296:ILK262308 IVF262296:IVG262308 JFB262296:JFC262308 JOX262296:JOY262308 JYT262296:JYU262308 KIP262296:KIQ262308 KSL262296:KSM262308 LCH262296:LCI262308 LMD262296:LME262308 LVZ262296:LWA262308 MFV262296:MFW262308 MPR262296:MPS262308 MZN262296:MZO262308 NJJ262296:NJK262308 NTF262296:NTG262308 ODB262296:ODC262308 OMX262296:OMY262308 OWT262296:OWU262308 PGP262296:PGQ262308 PQL262296:PQM262308 QAH262296:QAI262308 QKD262296:QKE262308 QTZ262296:QUA262308 RDV262296:RDW262308 RNR262296:RNS262308 RXN262296:RXO262308 SHJ262296:SHK262308 SRF262296:SRG262308 TBB262296:TBC262308 TKX262296:TKY262308 TUT262296:TUU262308 UEP262296:UEQ262308 UOL262296:UOM262308 UYH262296:UYI262308 VID262296:VIE262308 VRZ262296:VSA262308 WBV262296:WBW262308 WLR262296:WLS262308 WVN262296:WVO262308 G327832:G327844 JB327832:JC327844 SX327832:SY327844 ACT327832:ACU327844 AMP327832:AMQ327844 AWL327832:AWM327844 BGH327832:BGI327844 BQD327832:BQE327844 BZZ327832:CAA327844 CJV327832:CJW327844 CTR327832:CTS327844 DDN327832:DDO327844 DNJ327832:DNK327844 DXF327832:DXG327844 EHB327832:EHC327844 EQX327832:EQY327844 FAT327832:FAU327844 FKP327832:FKQ327844 FUL327832:FUM327844 GEH327832:GEI327844 GOD327832:GOE327844 GXZ327832:GYA327844 HHV327832:HHW327844 HRR327832:HRS327844 IBN327832:IBO327844 ILJ327832:ILK327844 IVF327832:IVG327844 JFB327832:JFC327844 JOX327832:JOY327844 JYT327832:JYU327844 KIP327832:KIQ327844 KSL327832:KSM327844 LCH327832:LCI327844 LMD327832:LME327844 LVZ327832:LWA327844 MFV327832:MFW327844 MPR327832:MPS327844 MZN327832:MZO327844 NJJ327832:NJK327844 NTF327832:NTG327844 ODB327832:ODC327844 OMX327832:OMY327844 OWT327832:OWU327844 PGP327832:PGQ327844 PQL327832:PQM327844 QAH327832:QAI327844 QKD327832:QKE327844 QTZ327832:QUA327844 RDV327832:RDW327844 RNR327832:RNS327844 RXN327832:RXO327844 SHJ327832:SHK327844 SRF327832:SRG327844 TBB327832:TBC327844 TKX327832:TKY327844 TUT327832:TUU327844 UEP327832:UEQ327844 UOL327832:UOM327844 UYH327832:UYI327844 VID327832:VIE327844 VRZ327832:VSA327844 WBV327832:WBW327844 WLR327832:WLS327844 WVN327832:WVO327844 G393368:G393380 JB393368:JC393380 SX393368:SY393380 ACT393368:ACU393380 AMP393368:AMQ393380 AWL393368:AWM393380 BGH393368:BGI393380 BQD393368:BQE393380 BZZ393368:CAA393380 CJV393368:CJW393380 CTR393368:CTS393380 DDN393368:DDO393380 DNJ393368:DNK393380 DXF393368:DXG393380 EHB393368:EHC393380 EQX393368:EQY393380 FAT393368:FAU393380 FKP393368:FKQ393380 FUL393368:FUM393380 GEH393368:GEI393380 GOD393368:GOE393380 GXZ393368:GYA393380 HHV393368:HHW393380 HRR393368:HRS393380 IBN393368:IBO393380 ILJ393368:ILK393380 IVF393368:IVG393380 JFB393368:JFC393380 JOX393368:JOY393380 JYT393368:JYU393380 KIP393368:KIQ393380 KSL393368:KSM393380 LCH393368:LCI393380 LMD393368:LME393380 LVZ393368:LWA393380 MFV393368:MFW393380 MPR393368:MPS393380 MZN393368:MZO393380 NJJ393368:NJK393380 NTF393368:NTG393380 ODB393368:ODC393380 OMX393368:OMY393380 OWT393368:OWU393380 PGP393368:PGQ393380 PQL393368:PQM393380 QAH393368:QAI393380 QKD393368:QKE393380 QTZ393368:QUA393380 RDV393368:RDW393380 RNR393368:RNS393380 RXN393368:RXO393380 SHJ393368:SHK393380 SRF393368:SRG393380 TBB393368:TBC393380 TKX393368:TKY393380 TUT393368:TUU393380 UEP393368:UEQ393380 UOL393368:UOM393380 UYH393368:UYI393380 VID393368:VIE393380 VRZ393368:VSA393380 WBV393368:WBW393380 WLR393368:WLS393380 WVN393368:WVO393380 G458904:G458916 JB458904:JC458916 SX458904:SY458916 ACT458904:ACU458916 AMP458904:AMQ458916 AWL458904:AWM458916 BGH458904:BGI458916 BQD458904:BQE458916 BZZ458904:CAA458916 CJV458904:CJW458916 CTR458904:CTS458916 DDN458904:DDO458916 DNJ458904:DNK458916 DXF458904:DXG458916 EHB458904:EHC458916 EQX458904:EQY458916 FAT458904:FAU458916 FKP458904:FKQ458916 FUL458904:FUM458916 GEH458904:GEI458916 GOD458904:GOE458916 GXZ458904:GYA458916 HHV458904:HHW458916 HRR458904:HRS458916 IBN458904:IBO458916 ILJ458904:ILK458916 IVF458904:IVG458916 JFB458904:JFC458916 JOX458904:JOY458916 JYT458904:JYU458916 KIP458904:KIQ458916 KSL458904:KSM458916 LCH458904:LCI458916 LMD458904:LME458916 LVZ458904:LWA458916 MFV458904:MFW458916 MPR458904:MPS458916 MZN458904:MZO458916 NJJ458904:NJK458916 NTF458904:NTG458916 ODB458904:ODC458916 OMX458904:OMY458916 OWT458904:OWU458916 PGP458904:PGQ458916 PQL458904:PQM458916 QAH458904:QAI458916 QKD458904:QKE458916 QTZ458904:QUA458916 RDV458904:RDW458916 RNR458904:RNS458916 RXN458904:RXO458916 SHJ458904:SHK458916 SRF458904:SRG458916 TBB458904:TBC458916 TKX458904:TKY458916 TUT458904:TUU458916 UEP458904:UEQ458916 UOL458904:UOM458916 UYH458904:UYI458916 VID458904:VIE458916 VRZ458904:VSA458916 WBV458904:WBW458916 WLR458904:WLS458916 WVN458904:WVO458916 G524440:G524452 JB524440:JC524452 SX524440:SY524452 ACT524440:ACU524452 AMP524440:AMQ524452 AWL524440:AWM524452 BGH524440:BGI524452 BQD524440:BQE524452 BZZ524440:CAA524452 CJV524440:CJW524452 CTR524440:CTS524452 DDN524440:DDO524452 DNJ524440:DNK524452 DXF524440:DXG524452 EHB524440:EHC524452 EQX524440:EQY524452 FAT524440:FAU524452 FKP524440:FKQ524452 FUL524440:FUM524452 GEH524440:GEI524452 GOD524440:GOE524452 GXZ524440:GYA524452 HHV524440:HHW524452 HRR524440:HRS524452 IBN524440:IBO524452 ILJ524440:ILK524452 IVF524440:IVG524452 JFB524440:JFC524452 JOX524440:JOY524452 JYT524440:JYU524452 KIP524440:KIQ524452 KSL524440:KSM524452 LCH524440:LCI524452 LMD524440:LME524452 LVZ524440:LWA524452 MFV524440:MFW524452 MPR524440:MPS524452 MZN524440:MZO524452 NJJ524440:NJK524452 NTF524440:NTG524452 ODB524440:ODC524452 OMX524440:OMY524452 OWT524440:OWU524452 PGP524440:PGQ524452 PQL524440:PQM524452 QAH524440:QAI524452 QKD524440:QKE524452 QTZ524440:QUA524452 RDV524440:RDW524452 RNR524440:RNS524452 RXN524440:RXO524452 SHJ524440:SHK524452 SRF524440:SRG524452 TBB524440:TBC524452 TKX524440:TKY524452 TUT524440:TUU524452 UEP524440:UEQ524452 UOL524440:UOM524452 UYH524440:UYI524452 VID524440:VIE524452 VRZ524440:VSA524452 WBV524440:WBW524452 WLR524440:WLS524452 WVN524440:WVO524452 G589976:G589988 JB589976:JC589988 SX589976:SY589988 ACT589976:ACU589988 AMP589976:AMQ589988 AWL589976:AWM589988 BGH589976:BGI589988 BQD589976:BQE589988 BZZ589976:CAA589988 CJV589976:CJW589988 CTR589976:CTS589988 DDN589976:DDO589988 DNJ589976:DNK589988 DXF589976:DXG589988 EHB589976:EHC589988 EQX589976:EQY589988 FAT589976:FAU589988 FKP589976:FKQ589988 FUL589976:FUM589988 GEH589976:GEI589988 GOD589976:GOE589988 GXZ589976:GYA589988 HHV589976:HHW589988 HRR589976:HRS589988 IBN589976:IBO589988 ILJ589976:ILK589988 IVF589976:IVG589988 JFB589976:JFC589988 JOX589976:JOY589988 JYT589976:JYU589988 KIP589976:KIQ589988 KSL589976:KSM589988 LCH589976:LCI589988 LMD589976:LME589988 LVZ589976:LWA589988 MFV589976:MFW589988 MPR589976:MPS589988 MZN589976:MZO589988 NJJ589976:NJK589988 NTF589976:NTG589988 ODB589976:ODC589988 OMX589976:OMY589988 OWT589976:OWU589988 PGP589976:PGQ589988 PQL589976:PQM589988 QAH589976:QAI589988 QKD589976:QKE589988 QTZ589976:QUA589988 RDV589976:RDW589988 RNR589976:RNS589988 RXN589976:RXO589988 SHJ589976:SHK589988 SRF589976:SRG589988 TBB589976:TBC589988 TKX589976:TKY589988 TUT589976:TUU589988 UEP589976:UEQ589988 UOL589976:UOM589988 UYH589976:UYI589988 VID589976:VIE589988 VRZ589976:VSA589988 WBV589976:WBW589988 WLR589976:WLS589988 WVN589976:WVO589988 G655512:G655524 JB655512:JC655524 SX655512:SY655524 ACT655512:ACU655524 AMP655512:AMQ655524 AWL655512:AWM655524 BGH655512:BGI655524 BQD655512:BQE655524 BZZ655512:CAA655524 CJV655512:CJW655524 CTR655512:CTS655524 DDN655512:DDO655524 DNJ655512:DNK655524 DXF655512:DXG655524 EHB655512:EHC655524 EQX655512:EQY655524 FAT655512:FAU655524 FKP655512:FKQ655524 FUL655512:FUM655524 GEH655512:GEI655524 GOD655512:GOE655524 GXZ655512:GYA655524 HHV655512:HHW655524 HRR655512:HRS655524 IBN655512:IBO655524 ILJ655512:ILK655524 IVF655512:IVG655524 JFB655512:JFC655524 JOX655512:JOY655524 JYT655512:JYU655524 KIP655512:KIQ655524 KSL655512:KSM655524 LCH655512:LCI655524 LMD655512:LME655524 LVZ655512:LWA655524 MFV655512:MFW655524 MPR655512:MPS655524 MZN655512:MZO655524 NJJ655512:NJK655524 NTF655512:NTG655524 ODB655512:ODC655524 OMX655512:OMY655524 OWT655512:OWU655524 PGP655512:PGQ655524 PQL655512:PQM655524 QAH655512:QAI655524 QKD655512:QKE655524 QTZ655512:QUA655524 RDV655512:RDW655524 RNR655512:RNS655524 RXN655512:RXO655524 SHJ655512:SHK655524 SRF655512:SRG655524 TBB655512:TBC655524 TKX655512:TKY655524 TUT655512:TUU655524 UEP655512:UEQ655524 UOL655512:UOM655524 UYH655512:UYI655524 VID655512:VIE655524 VRZ655512:VSA655524 WBV655512:WBW655524 WLR655512:WLS655524 WVN655512:WVO655524 G721048:G721060 JB721048:JC721060 SX721048:SY721060 ACT721048:ACU721060 AMP721048:AMQ721060 AWL721048:AWM721060 BGH721048:BGI721060 BQD721048:BQE721060 BZZ721048:CAA721060 CJV721048:CJW721060 CTR721048:CTS721060 DDN721048:DDO721060 DNJ721048:DNK721060 DXF721048:DXG721060 EHB721048:EHC721060 EQX721048:EQY721060 FAT721048:FAU721060 FKP721048:FKQ721060 FUL721048:FUM721060 GEH721048:GEI721060 GOD721048:GOE721060 GXZ721048:GYA721060 HHV721048:HHW721060 HRR721048:HRS721060 IBN721048:IBO721060 ILJ721048:ILK721060 IVF721048:IVG721060 JFB721048:JFC721060 JOX721048:JOY721060 JYT721048:JYU721060 KIP721048:KIQ721060 KSL721048:KSM721060 LCH721048:LCI721060 LMD721048:LME721060 LVZ721048:LWA721060 MFV721048:MFW721060 MPR721048:MPS721060 MZN721048:MZO721060 NJJ721048:NJK721060 NTF721048:NTG721060 ODB721048:ODC721060 OMX721048:OMY721060 OWT721048:OWU721060 PGP721048:PGQ721060 PQL721048:PQM721060 QAH721048:QAI721060 QKD721048:QKE721060 QTZ721048:QUA721060 RDV721048:RDW721060 RNR721048:RNS721060 RXN721048:RXO721060 SHJ721048:SHK721060 SRF721048:SRG721060 TBB721048:TBC721060 TKX721048:TKY721060 TUT721048:TUU721060 UEP721048:UEQ721060 UOL721048:UOM721060 UYH721048:UYI721060 VID721048:VIE721060 VRZ721048:VSA721060 WBV721048:WBW721060 WLR721048:WLS721060 WVN721048:WVO721060 G786584:G786596 JB786584:JC786596 SX786584:SY786596 ACT786584:ACU786596 AMP786584:AMQ786596 AWL786584:AWM786596 BGH786584:BGI786596 BQD786584:BQE786596 BZZ786584:CAA786596 CJV786584:CJW786596 CTR786584:CTS786596 DDN786584:DDO786596 DNJ786584:DNK786596 DXF786584:DXG786596 EHB786584:EHC786596 EQX786584:EQY786596 FAT786584:FAU786596 FKP786584:FKQ786596 FUL786584:FUM786596 GEH786584:GEI786596 GOD786584:GOE786596 GXZ786584:GYA786596 HHV786584:HHW786596 HRR786584:HRS786596 IBN786584:IBO786596 ILJ786584:ILK786596 IVF786584:IVG786596 JFB786584:JFC786596 JOX786584:JOY786596 JYT786584:JYU786596 KIP786584:KIQ786596 KSL786584:KSM786596 LCH786584:LCI786596 LMD786584:LME786596 LVZ786584:LWA786596 MFV786584:MFW786596 MPR786584:MPS786596 MZN786584:MZO786596 NJJ786584:NJK786596 NTF786584:NTG786596 ODB786584:ODC786596 OMX786584:OMY786596 OWT786584:OWU786596 PGP786584:PGQ786596 PQL786584:PQM786596 QAH786584:QAI786596 QKD786584:QKE786596 QTZ786584:QUA786596 RDV786584:RDW786596 RNR786584:RNS786596 RXN786584:RXO786596 SHJ786584:SHK786596 SRF786584:SRG786596 TBB786584:TBC786596 TKX786584:TKY786596 TUT786584:TUU786596 UEP786584:UEQ786596 UOL786584:UOM786596 UYH786584:UYI786596 VID786584:VIE786596 VRZ786584:VSA786596 WBV786584:WBW786596 WLR786584:WLS786596 WVN786584:WVO786596 G852120:G852132 JB852120:JC852132 SX852120:SY852132 ACT852120:ACU852132 AMP852120:AMQ852132 AWL852120:AWM852132 BGH852120:BGI852132 BQD852120:BQE852132 BZZ852120:CAA852132 CJV852120:CJW852132 CTR852120:CTS852132 DDN852120:DDO852132 DNJ852120:DNK852132 DXF852120:DXG852132 EHB852120:EHC852132 EQX852120:EQY852132 FAT852120:FAU852132 FKP852120:FKQ852132 FUL852120:FUM852132 GEH852120:GEI852132 GOD852120:GOE852132 GXZ852120:GYA852132 HHV852120:HHW852132 HRR852120:HRS852132 IBN852120:IBO852132 ILJ852120:ILK852132 IVF852120:IVG852132 JFB852120:JFC852132 JOX852120:JOY852132 JYT852120:JYU852132 KIP852120:KIQ852132 KSL852120:KSM852132 LCH852120:LCI852132 LMD852120:LME852132 LVZ852120:LWA852132 MFV852120:MFW852132 MPR852120:MPS852132 MZN852120:MZO852132 NJJ852120:NJK852132 NTF852120:NTG852132 ODB852120:ODC852132 OMX852120:OMY852132 OWT852120:OWU852132 PGP852120:PGQ852132 PQL852120:PQM852132 QAH852120:QAI852132 QKD852120:QKE852132 QTZ852120:QUA852132 RDV852120:RDW852132 RNR852120:RNS852132 RXN852120:RXO852132 SHJ852120:SHK852132 SRF852120:SRG852132 TBB852120:TBC852132 TKX852120:TKY852132 TUT852120:TUU852132 UEP852120:UEQ852132 UOL852120:UOM852132 UYH852120:UYI852132 VID852120:VIE852132 VRZ852120:VSA852132 WBV852120:WBW852132 WLR852120:WLS852132 WVN852120:WVO852132 G917656:G917668 JB917656:JC917668 SX917656:SY917668 ACT917656:ACU917668 AMP917656:AMQ917668 AWL917656:AWM917668 BGH917656:BGI917668 BQD917656:BQE917668 BZZ917656:CAA917668 CJV917656:CJW917668 CTR917656:CTS917668 DDN917656:DDO917668 DNJ917656:DNK917668 DXF917656:DXG917668 EHB917656:EHC917668 EQX917656:EQY917668 FAT917656:FAU917668 FKP917656:FKQ917668 FUL917656:FUM917668 GEH917656:GEI917668 GOD917656:GOE917668 GXZ917656:GYA917668 HHV917656:HHW917668 HRR917656:HRS917668 IBN917656:IBO917668 ILJ917656:ILK917668 IVF917656:IVG917668 JFB917656:JFC917668 JOX917656:JOY917668 JYT917656:JYU917668 KIP917656:KIQ917668 KSL917656:KSM917668 LCH917656:LCI917668 LMD917656:LME917668 LVZ917656:LWA917668 MFV917656:MFW917668 MPR917656:MPS917668 MZN917656:MZO917668 NJJ917656:NJK917668 NTF917656:NTG917668 ODB917656:ODC917668 OMX917656:OMY917668 OWT917656:OWU917668 PGP917656:PGQ917668 PQL917656:PQM917668 QAH917656:QAI917668 QKD917656:QKE917668 QTZ917656:QUA917668 RDV917656:RDW917668 RNR917656:RNS917668 RXN917656:RXO917668 SHJ917656:SHK917668 SRF917656:SRG917668 TBB917656:TBC917668 TKX917656:TKY917668 TUT917656:TUU917668 UEP917656:UEQ917668 UOL917656:UOM917668 UYH917656:UYI917668 VID917656:VIE917668 VRZ917656:VSA917668 WBV917656:WBW917668 WLR917656:WLS917668 WVN917656:WVO917668 G983192:G983204 JB983192:JC983204 SX983192:SY983204 ACT983192:ACU983204 AMP983192:AMQ983204 AWL983192:AWM983204 BGH983192:BGI983204 BQD983192:BQE983204 BZZ983192:CAA983204 CJV983192:CJW983204 CTR983192:CTS983204 DDN983192:DDO983204 DNJ983192:DNK983204 DXF983192:DXG983204 EHB983192:EHC983204 EQX983192:EQY983204 FAT983192:FAU983204 FKP983192:FKQ983204 FUL983192:FUM983204 GEH983192:GEI983204 GOD983192:GOE983204 GXZ983192:GYA983204 HHV983192:HHW983204 HRR983192:HRS983204 IBN983192:IBO983204 ILJ983192:ILK983204 IVF983192:IVG983204 JFB983192:JFC983204 JOX983192:JOY983204 JYT983192:JYU983204 KIP983192:KIQ983204 KSL983192:KSM983204 LCH983192:LCI983204 LMD983192:LME983204 LVZ983192:LWA983204 MFV983192:MFW983204 MPR983192:MPS983204 MZN983192:MZO983204 NJJ983192:NJK983204 NTF983192:NTG983204 ODB983192:ODC983204 OMX983192:OMY983204 OWT983192:OWU983204 PGP983192:PGQ983204 PQL983192:PQM983204 QAH983192:QAI983204 QKD983192:QKE983204 QTZ983192:QUA983204 RDV983192:RDW983204 RNR983192:RNS983204 RXN983192:RXO983204 SHJ983192:SHK983204 SRF983192:SRG983204 TBB983192:TBC983204 TKX983192:TKY983204 TUT983192:TUU983204 UEP983192:UEQ983204 UOL983192:UOM983204 UYH983192:UYI983204 VID983192:VIE983204 VRZ983192:VSA983204 WBV983192:WBW983204 WLR983192:WLS983204 WVN983192:WVO983204 G166:G181 JB166:JC181 SX166:SY181 ACT166:ACU181 AMP166:AMQ181 AWL166:AWM181 BGH166:BGI181 BQD166:BQE181 BZZ166:CAA181 CJV166:CJW181 CTR166:CTS181 DDN166:DDO181 DNJ166:DNK181 DXF166:DXG181 EHB166:EHC181 EQX166:EQY181 FAT166:FAU181 FKP166:FKQ181 FUL166:FUM181 GEH166:GEI181 GOD166:GOE181 GXZ166:GYA181 HHV166:HHW181 HRR166:HRS181 IBN166:IBO181 ILJ166:ILK181 IVF166:IVG181 JFB166:JFC181 JOX166:JOY181 JYT166:JYU181 KIP166:KIQ181 KSL166:KSM181 LCH166:LCI181 LMD166:LME181 LVZ166:LWA181 MFV166:MFW181 MPR166:MPS181 MZN166:MZO181 NJJ166:NJK181 NTF166:NTG181 ODB166:ODC181 OMX166:OMY181 OWT166:OWU181 PGP166:PGQ181 PQL166:PQM181 QAH166:QAI181 QKD166:QKE181 QTZ166:QUA181 RDV166:RDW181 RNR166:RNS181 RXN166:RXO181 SHJ166:SHK181 SRF166:SRG181 TBB166:TBC181 TKX166:TKY181 TUT166:TUU181 UEP166:UEQ181 UOL166:UOM181 UYH166:UYI181 VID166:VIE181 VRZ166:VSA181 WBV166:WBW181 WLR166:WLS181 WVN166:WVO181 G65702:G65717 JB65702:JC65717 SX65702:SY65717 ACT65702:ACU65717 AMP65702:AMQ65717 AWL65702:AWM65717 BGH65702:BGI65717 BQD65702:BQE65717 BZZ65702:CAA65717 CJV65702:CJW65717 CTR65702:CTS65717 DDN65702:DDO65717 DNJ65702:DNK65717 DXF65702:DXG65717 EHB65702:EHC65717 EQX65702:EQY65717 FAT65702:FAU65717 FKP65702:FKQ65717 FUL65702:FUM65717 GEH65702:GEI65717 GOD65702:GOE65717 GXZ65702:GYA65717 HHV65702:HHW65717 HRR65702:HRS65717 IBN65702:IBO65717 ILJ65702:ILK65717 IVF65702:IVG65717 JFB65702:JFC65717 JOX65702:JOY65717 JYT65702:JYU65717 KIP65702:KIQ65717 KSL65702:KSM65717 LCH65702:LCI65717 LMD65702:LME65717 LVZ65702:LWA65717 MFV65702:MFW65717 MPR65702:MPS65717 MZN65702:MZO65717 NJJ65702:NJK65717 NTF65702:NTG65717 ODB65702:ODC65717 OMX65702:OMY65717 OWT65702:OWU65717 PGP65702:PGQ65717 PQL65702:PQM65717 QAH65702:QAI65717 QKD65702:QKE65717 QTZ65702:QUA65717 RDV65702:RDW65717 RNR65702:RNS65717 RXN65702:RXO65717 SHJ65702:SHK65717 SRF65702:SRG65717 TBB65702:TBC65717 TKX65702:TKY65717 TUT65702:TUU65717 UEP65702:UEQ65717 UOL65702:UOM65717 UYH65702:UYI65717 VID65702:VIE65717 VRZ65702:VSA65717 WBV65702:WBW65717 WLR65702:WLS65717 WVN65702:WVO65717 G131238:G131253 JB131238:JC131253 SX131238:SY131253 ACT131238:ACU131253 AMP131238:AMQ131253 AWL131238:AWM131253 BGH131238:BGI131253 BQD131238:BQE131253 BZZ131238:CAA131253 CJV131238:CJW131253 CTR131238:CTS131253 DDN131238:DDO131253 DNJ131238:DNK131253 DXF131238:DXG131253 EHB131238:EHC131253 EQX131238:EQY131253 FAT131238:FAU131253 FKP131238:FKQ131253 FUL131238:FUM131253 GEH131238:GEI131253 GOD131238:GOE131253 GXZ131238:GYA131253 HHV131238:HHW131253 HRR131238:HRS131253 IBN131238:IBO131253 ILJ131238:ILK131253 IVF131238:IVG131253 JFB131238:JFC131253 JOX131238:JOY131253 JYT131238:JYU131253 KIP131238:KIQ131253 KSL131238:KSM131253 LCH131238:LCI131253 LMD131238:LME131253 LVZ131238:LWA131253 MFV131238:MFW131253 MPR131238:MPS131253 MZN131238:MZO131253 NJJ131238:NJK131253 NTF131238:NTG131253 ODB131238:ODC131253 OMX131238:OMY131253 OWT131238:OWU131253 PGP131238:PGQ131253 PQL131238:PQM131253 QAH131238:QAI131253 QKD131238:QKE131253 QTZ131238:QUA131253 RDV131238:RDW131253 RNR131238:RNS131253 RXN131238:RXO131253 SHJ131238:SHK131253 SRF131238:SRG131253 TBB131238:TBC131253 TKX131238:TKY131253 TUT131238:TUU131253 UEP131238:UEQ131253 UOL131238:UOM131253 UYH131238:UYI131253 VID131238:VIE131253 VRZ131238:VSA131253 WBV131238:WBW131253 WLR131238:WLS131253 WVN131238:WVO131253 G196774:G196789 JB196774:JC196789 SX196774:SY196789 ACT196774:ACU196789 AMP196774:AMQ196789 AWL196774:AWM196789 BGH196774:BGI196789 BQD196774:BQE196789 BZZ196774:CAA196789 CJV196774:CJW196789 CTR196774:CTS196789 DDN196774:DDO196789 DNJ196774:DNK196789 DXF196774:DXG196789 EHB196774:EHC196789 EQX196774:EQY196789 FAT196774:FAU196789 FKP196774:FKQ196789 FUL196774:FUM196789 GEH196774:GEI196789 GOD196774:GOE196789 GXZ196774:GYA196789 HHV196774:HHW196789 HRR196774:HRS196789 IBN196774:IBO196789 ILJ196774:ILK196789 IVF196774:IVG196789 JFB196774:JFC196789 JOX196774:JOY196789 JYT196774:JYU196789 KIP196774:KIQ196789 KSL196774:KSM196789 LCH196774:LCI196789 LMD196774:LME196789 LVZ196774:LWA196789 MFV196774:MFW196789 MPR196774:MPS196789 MZN196774:MZO196789 NJJ196774:NJK196789 NTF196774:NTG196789 ODB196774:ODC196789 OMX196774:OMY196789 OWT196774:OWU196789 PGP196774:PGQ196789 PQL196774:PQM196789 QAH196774:QAI196789 QKD196774:QKE196789 QTZ196774:QUA196789 RDV196774:RDW196789 RNR196774:RNS196789 RXN196774:RXO196789 SHJ196774:SHK196789 SRF196774:SRG196789 TBB196774:TBC196789 TKX196774:TKY196789 TUT196774:TUU196789 UEP196774:UEQ196789 UOL196774:UOM196789 UYH196774:UYI196789 VID196774:VIE196789 VRZ196774:VSA196789 WBV196774:WBW196789 WLR196774:WLS196789 WVN196774:WVO196789 G262310:G262325 JB262310:JC262325 SX262310:SY262325 ACT262310:ACU262325 AMP262310:AMQ262325 AWL262310:AWM262325 BGH262310:BGI262325 BQD262310:BQE262325 BZZ262310:CAA262325 CJV262310:CJW262325 CTR262310:CTS262325 DDN262310:DDO262325 DNJ262310:DNK262325 DXF262310:DXG262325 EHB262310:EHC262325 EQX262310:EQY262325 FAT262310:FAU262325 FKP262310:FKQ262325 FUL262310:FUM262325 GEH262310:GEI262325 GOD262310:GOE262325 GXZ262310:GYA262325 HHV262310:HHW262325 HRR262310:HRS262325 IBN262310:IBO262325 ILJ262310:ILK262325 IVF262310:IVG262325 JFB262310:JFC262325 JOX262310:JOY262325 JYT262310:JYU262325 KIP262310:KIQ262325 KSL262310:KSM262325 LCH262310:LCI262325 LMD262310:LME262325 LVZ262310:LWA262325 MFV262310:MFW262325 MPR262310:MPS262325 MZN262310:MZO262325 NJJ262310:NJK262325 NTF262310:NTG262325 ODB262310:ODC262325 OMX262310:OMY262325 OWT262310:OWU262325 PGP262310:PGQ262325 PQL262310:PQM262325 QAH262310:QAI262325 QKD262310:QKE262325 QTZ262310:QUA262325 RDV262310:RDW262325 RNR262310:RNS262325 RXN262310:RXO262325 SHJ262310:SHK262325 SRF262310:SRG262325 TBB262310:TBC262325 TKX262310:TKY262325 TUT262310:TUU262325 UEP262310:UEQ262325 UOL262310:UOM262325 UYH262310:UYI262325 VID262310:VIE262325 VRZ262310:VSA262325 WBV262310:WBW262325 WLR262310:WLS262325 WVN262310:WVO262325 G327846:G327861 JB327846:JC327861 SX327846:SY327861 ACT327846:ACU327861 AMP327846:AMQ327861 AWL327846:AWM327861 BGH327846:BGI327861 BQD327846:BQE327861 BZZ327846:CAA327861 CJV327846:CJW327861 CTR327846:CTS327861 DDN327846:DDO327861 DNJ327846:DNK327861 DXF327846:DXG327861 EHB327846:EHC327861 EQX327846:EQY327861 FAT327846:FAU327861 FKP327846:FKQ327861 FUL327846:FUM327861 GEH327846:GEI327861 GOD327846:GOE327861 GXZ327846:GYA327861 HHV327846:HHW327861 HRR327846:HRS327861 IBN327846:IBO327861 ILJ327846:ILK327861 IVF327846:IVG327861 JFB327846:JFC327861 JOX327846:JOY327861 JYT327846:JYU327861 KIP327846:KIQ327861 KSL327846:KSM327861 LCH327846:LCI327861 LMD327846:LME327861 LVZ327846:LWA327861 MFV327846:MFW327861 MPR327846:MPS327861 MZN327846:MZO327861 NJJ327846:NJK327861 NTF327846:NTG327861 ODB327846:ODC327861 OMX327846:OMY327861 OWT327846:OWU327861 PGP327846:PGQ327861 PQL327846:PQM327861 QAH327846:QAI327861 QKD327846:QKE327861 QTZ327846:QUA327861 RDV327846:RDW327861 RNR327846:RNS327861 RXN327846:RXO327861 SHJ327846:SHK327861 SRF327846:SRG327861 TBB327846:TBC327861 TKX327846:TKY327861 TUT327846:TUU327861 UEP327846:UEQ327861 UOL327846:UOM327861 UYH327846:UYI327861 VID327846:VIE327861 VRZ327846:VSA327861 WBV327846:WBW327861 WLR327846:WLS327861 WVN327846:WVO327861 G393382:G393397 JB393382:JC393397 SX393382:SY393397 ACT393382:ACU393397 AMP393382:AMQ393397 AWL393382:AWM393397 BGH393382:BGI393397 BQD393382:BQE393397 BZZ393382:CAA393397 CJV393382:CJW393397 CTR393382:CTS393397 DDN393382:DDO393397 DNJ393382:DNK393397 DXF393382:DXG393397 EHB393382:EHC393397 EQX393382:EQY393397 FAT393382:FAU393397 FKP393382:FKQ393397 FUL393382:FUM393397 GEH393382:GEI393397 GOD393382:GOE393397 GXZ393382:GYA393397 HHV393382:HHW393397 HRR393382:HRS393397 IBN393382:IBO393397 ILJ393382:ILK393397 IVF393382:IVG393397 JFB393382:JFC393397 JOX393382:JOY393397 JYT393382:JYU393397 KIP393382:KIQ393397 KSL393382:KSM393397 LCH393382:LCI393397 LMD393382:LME393397 LVZ393382:LWA393397 MFV393382:MFW393397 MPR393382:MPS393397 MZN393382:MZO393397 NJJ393382:NJK393397 NTF393382:NTG393397 ODB393382:ODC393397 OMX393382:OMY393397 OWT393382:OWU393397 PGP393382:PGQ393397 PQL393382:PQM393397 QAH393382:QAI393397 QKD393382:QKE393397 QTZ393382:QUA393397 RDV393382:RDW393397 RNR393382:RNS393397 RXN393382:RXO393397 SHJ393382:SHK393397 SRF393382:SRG393397 TBB393382:TBC393397 TKX393382:TKY393397 TUT393382:TUU393397 UEP393382:UEQ393397 UOL393382:UOM393397 UYH393382:UYI393397 VID393382:VIE393397 VRZ393382:VSA393397 WBV393382:WBW393397 WLR393382:WLS393397 WVN393382:WVO393397 G458918:G458933 JB458918:JC458933 SX458918:SY458933 ACT458918:ACU458933 AMP458918:AMQ458933 AWL458918:AWM458933 BGH458918:BGI458933 BQD458918:BQE458933 BZZ458918:CAA458933 CJV458918:CJW458933 CTR458918:CTS458933 DDN458918:DDO458933 DNJ458918:DNK458933 DXF458918:DXG458933 EHB458918:EHC458933 EQX458918:EQY458933 FAT458918:FAU458933 FKP458918:FKQ458933 FUL458918:FUM458933 GEH458918:GEI458933 GOD458918:GOE458933 GXZ458918:GYA458933 HHV458918:HHW458933 HRR458918:HRS458933 IBN458918:IBO458933 ILJ458918:ILK458933 IVF458918:IVG458933 JFB458918:JFC458933 JOX458918:JOY458933 JYT458918:JYU458933 KIP458918:KIQ458933 KSL458918:KSM458933 LCH458918:LCI458933 LMD458918:LME458933 LVZ458918:LWA458933 MFV458918:MFW458933 MPR458918:MPS458933 MZN458918:MZO458933 NJJ458918:NJK458933 NTF458918:NTG458933 ODB458918:ODC458933 OMX458918:OMY458933 OWT458918:OWU458933 PGP458918:PGQ458933 PQL458918:PQM458933 QAH458918:QAI458933 QKD458918:QKE458933 QTZ458918:QUA458933 RDV458918:RDW458933 RNR458918:RNS458933 RXN458918:RXO458933 SHJ458918:SHK458933 SRF458918:SRG458933 TBB458918:TBC458933 TKX458918:TKY458933 TUT458918:TUU458933 UEP458918:UEQ458933 UOL458918:UOM458933 UYH458918:UYI458933 VID458918:VIE458933 VRZ458918:VSA458933 WBV458918:WBW458933 WLR458918:WLS458933 WVN458918:WVO458933 G524454:G524469 JB524454:JC524469 SX524454:SY524469 ACT524454:ACU524469 AMP524454:AMQ524469 AWL524454:AWM524469 BGH524454:BGI524469 BQD524454:BQE524469 BZZ524454:CAA524469 CJV524454:CJW524469 CTR524454:CTS524469 DDN524454:DDO524469 DNJ524454:DNK524469 DXF524454:DXG524469 EHB524454:EHC524469 EQX524454:EQY524469 FAT524454:FAU524469 FKP524454:FKQ524469 FUL524454:FUM524469 GEH524454:GEI524469 GOD524454:GOE524469 GXZ524454:GYA524469 HHV524454:HHW524469 HRR524454:HRS524469 IBN524454:IBO524469 ILJ524454:ILK524469 IVF524454:IVG524469 JFB524454:JFC524469 JOX524454:JOY524469 JYT524454:JYU524469 KIP524454:KIQ524469 KSL524454:KSM524469 LCH524454:LCI524469 LMD524454:LME524469 LVZ524454:LWA524469 MFV524454:MFW524469 MPR524454:MPS524469 MZN524454:MZO524469 NJJ524454:NJK524469 NTF524454:NTG524469 ODB524454:ODC524469 OMX524454:OMY524469 OWT524454:OWU524469 PGP524454:PGQ524469 PQL524454:PQM524469 QAH524454:QAI524469 QKD524454:QKE524469 QTZ524454:QUA524469 RDV524454:RDW524469 RNR524454:RNS524469 RXN524454:RXO524469 SHJ524454:SHK524469 SRF524454:SRG524469 TBB524454:TBC524469 TKX524454:TKY524469 TUT524454:TUU524469 UEP524454:UEQ524469 UOL524454:UOM524469 UYH524454:UYI524469 VID524454:VIE524469 VRZ524454:VSA524469 WBV524454:WBW524469 WLR524454:WLS524469 WVN524454:WVO524469 G589990:G590005 JB589990:JC590005 SX589990:SY590005 ACT589990:ACU590005 AMP589990:AMQ590005 AWL589990:AWM590005 BGH589990:BGI590005 BQD589990:BQE590005 BZZ589990:CAA590005 CJV589990:CJW590005 CTR589990:CTS590005 DDN589990:DDO590005 DNJ589990:DNK590005 DXF589990:DXG590005 EHB589990:EHC590005 EQX589990:EQY590005 FAT589990:FAU590005 FKP589990:FKQ590005 FUL589990:FUM590005 GEH589990:GEI590005 GOD589990:GOE590005 GXZ589990:GYA590005 HHV589990:HHW590005 HRR589990:HRS590005 IBN589990:IBO590005 ILJ589990:ILK590005 IVF589990:IVG590005 JFB589990:JFC590005 JOX589990:JOY590005 JYT589990:JYU590005 KIP589990:KIQ590005 KSL589990:KSM590005 LCH589990:LCI590005 LMD589990:LME590005 LVZ589990:LWA590005 MFV589990:MFW590005 MPR589990:MPS590005 MZN589990:MZO590005 NJJ589990:NJK590005 NTF589990:NTG590005 ODB589990:ODC590005 OMX589990:OMY590005 OWT589990:OWU590005 PGP589990:PGQ590005 PQL589990:PQM590005 QAH589990:QAI590005 QKD589990:QKE590005 QTZ589990:QUA590005 RDV589990:RDW590005 RNR589990:RNS590005 RXN589990:RXO590005 SHJ589990:SHK590005 SRF589990:SRG590005 TBB589990:TBC590005 TKX589990:TKY590005 TUT589990:TUU590005 UEP589990:UEQ590005 UOL589990:UOM590005 UYH589990:UYI590005 VID589990:VIE590005 VRZ589990:VSA590005 WBV589990:WBW590005 WLR589990:WLS590005 WVN589990:WVO590005 G655526:G655541 JB655526:JC655541 SX655526:SY655541 ACT655526:ACU655541 AMP655526:AMQ655541 AWL655526:AWM655541 BGH655526:BGI655541 BQD655526:BQE655541 BZZ655526:CAA655541 CJV655526:CJW655541 CTR655526:CTS655541 DDN655526:DDO655541 DNJ655526:DNK655541 DXF655526:DXG655541 EHB655526:EHC655541 EQX655526:EQY655541 FAT655526:FAU655541 FKP655526:FKQ655541 FUL655526:FUM655541 GEH655526:GEI655541 GOD655526:GOE655541 GXZ655526:GYA655541 HHV655526:HHW655541 HRR655526:HRS655541 IBN655526:IBO655541 ILJ655526:ILK655541 IVF655526:IVG655541 JFB655526:JFC655541 JOX655526:JOY655541 JYT655526:JYU655541 KIP655526:KIQ655541 KSL655526:KSM655541 LCH655526:LCI655541 LMD655526:LME655541 LVZ655526:LWA655541 MFV655526:MFW655541 MPR655526:MPS655541 MZN655526:MZO655541 NJJ655526:NJK655541 NTF655526:NTG655541 ODB655526:ODC655541 OMX655526:OMY655541 OWT655526:OWU655541 PGP655526:PGQ655541 PQL655526:PQM655541 QAH655526:QAI655541 QKD655526:QKE655541 QTZ655526:QUA655541 RDV655526:RDW655541 RNR655526:RNS655541 RXN655526:RXO655541 SHJ655526:SHK655541 SRF655526:SRG655541 TBB655526:TBC655541 TKX655526:TKY655541 TUT655526:TUU655541 UEP655526:UEQ655541 UOL655526:UOM655541 UYH655526:UYI655541 VID655526:VIE655541 VRZ655526:VSA655541 WBV655526:WBW655541 WLR655526:WLS655541 WVN655526:WVO655541 G721062:G721077 JB721062:JC721077 SX721062:SY721077 ACT721062:ACU721077 AMP721062:AMQ721077 AWL721062:AWM721077 BGH721062:BGI721077 BQD721062:BQE721077 BZZ721062:CAA721077 CJV721062:CJW721077 CTR721062:CTS721077 DDN721062:DDO721077 DNJ721062:DNK721077 DXF721062:DXG721077 EHB721062:EHC721077 EQX721062:EQY721077 FAT721062:FAU721077 FKP721062:FKQ721077 FUL721062:FUM721077 GEH721062:GEI721077 GOD721062:GOE721077 GXZ721062:GYA721077 HHV721062:HHW721077 HRR721062:HRS721077 IBN721062:IBO721077 ILJ721062:ILK721077 IVF721062:IVG721077 JFB721062:JFC721077 JOX721062:JOY721077 JYT721062:JYU721077 KIP721062:KIQ721077 KSL721062:KSM721077 LCH721062:LCI721077 LMD721062:LME721077 LVZ721062:LWA721077 MFV721062:MFW721077 MPR721062:MPS721077 MZN721062:MZO721077 NJJ721062:NJK721077 NTF721062:NTG721077 ODB721062:ODC721077 OMX721062:OMY721077 OWT721062:OWU721077 PGP721062:PGQ721077 PQL721062:PQM721077 QAH721062:QAI721077 QKD721062:QKE721077 QTZ721062:QUA721077 RDV721062:RDW721077 RNR721062:RNS721077 RXN721062:RXO721077 SHJ721062:SHK721077 SRF721062:SRG721077 TBB721062:TBC721077 TKX721062:TKY721077 TUT721062:TUU721077 UEP721062:UEQ721077 UOL721062:UOM721077 UYH721062:UYI721077 VID721062:VIE721077 VRZ721062:VSA721077 WBV721062:WBW721077 WLR721062:WLS721077 WVN721062:WVO721077 G786598:G786613 JB786598:JC786613 SX786598:SY786613 ACT786598:ACU786613 AMP786598:AMQ786613 AWL786598:AWM786613 BGH786598:BGI786613 BQD786598:BQE786613 BZZ786598:CAA786613 CJV786598:CJW786613 CTR786598:CTS786613 DDN786598:DDO786613 DNJ786598:DNK786613 DXF786598:DXG786613 EHB786598:EHC786613 EQX786598:EQY786613 FAT786598:FAU786613 FKP786598:FKQ786613 FUL786598:FUM786613 GEH786598:GEI786613 GOD786598:GOE786613 GXZ786598:GYA786613 HHV786598:HHW786613 HRR786598:HRS786613 IBN786598:IBO786613 ILJ786598:ILK786613 IVF786598:IVG786613 JFB786598:JFC786613 JOX786598:JOY786613 JYT786598:JYU786613 KIP786598:KIQ786613 KSL786598:KSM786613 LCH786598:LCI786613 LMD786598:LME786613 LVZ786598:LWA786613 MFV786598:MFW786613 MPR786598:MPS786613 MZN786598:MZO786613 NJJ786598:NJK786613 NTF786598:NTG786613 ODB786598:ODC786613 OMX786598:OMY786613 OWT786598:OWU786613 PGP786598:PGQ786613 PQL786598:PQM786613 QAH786598:QAI786613 QKD786598:QKE786613 QTZ786598:QUA786613 RDV786598:RDW786613 RNR786598:RNS786613 RXN786598:RXO786613 SHJ786598:SHK786613 SRF786598:SRG786613 TBB786598:TBC786613 TKX786598:TKY786613 TUT786598:TUU786613 UEP786598:UEQ786613 UOL786598:UOM786613 UYH786598:UYI786613 VID786598:VIE786613 VRZ786598:VSA786613 WBV786598:WBW786613 WLR786598:WLS786613 WVN786598:WVO786613 G852134:G852149 JB852134:JC852149 SX852134:SY852149 ACT852134:ACU852149 AMP852134:AMQ852149 AWL852134:AWM852149 BGH852134:BGI852149 BQD852134:BQE852149 BZZ852134:CAA852149 CJV852134:CJW852149 CTR852134:CTS852149 DDN852134:DDO852149 DNJ852134:DNK852149 DXF852134:DXG852149 EHB852134:EHC852149 EQX852134:EQY852149 FAT852134:FAU852149 FKP852134:FKQ852149 FUL852134:FUM852149 GEH852134:GEI852149 GOD852134:GOE852149 GXZ852134:GYA852149 HHV852134:HHW852149 HRR852134:HRS852149 IBN852134:IBO852149 ILJ852134:ILK852149 IVF852134:IVG852149 JFB852134:JFC852149 JOX852134:JOY852149 JYT852134:JYU852149 KIP852134:KIQ852149 KSL852134:KSM852149 LCH852134:LCI852149 LMD852134:LME852149 LVZ852134:LWA852149 MFV852134:MFW852149 MPR852134:MPS852149 MZN852134:MZO852149 NJJ852134:NJK852149 NTF852134:NTG852149 ODB852134:ODC852149 OMX852134:OMY852149 OWT852134:OWU852149 PGP852134:PGQ852149 PQL852134:PQM852149 QAH852134:QAI852149 QKD852134:QKE852149 QTZ852134:QUA852149 RDV852134:RDW852149 RNR852134:RNS852149 RXN852134:RXO852149 SHJ852134:SHK852149 SRF852134:SRG852149 TBB852134:TBC852149 TKX852134:TKY852149 TUT852134:TUU852149 UEP852134:UEQ852149 UOL852134:UOM852149 UYH852134:UYI852149 VID852134:VIE852149 VRZ852134:VSA852149 WBV852134:WBW852149 WLR852134:WLS852149 WVN852134:WVO852149 G917670:G917685 JB917670:JC917685 SX917670:SY917685 ACT917670:ACU917685 AMP917670:AMQ917685 AWL917670:AWM917685 BGH917670:BGI917685 BQD917670:BQE917685 BZZ917670:CAA917685 CJV917670:CJW917685 CTR917670:CTS917685 DDN917670:DDO917685 DNJ917670:DNK917685 DXF917670:DXG917685 EHB917670:EHC917685 EQX917670:EQY917685 FAT917670:FAU917685 FKP917670:FKQ917685 FUL917670:FUM917685 GEH917670:GEI917685 GOD917670:GOE917685 GXZ917670:GYA917685 HHV917670:HHW917685 HRR917670:HRS917685 IBN917670:IBO917685 ILJ917670:ILK917685 IVF917670:IVG917685 JFB917670:JFC917685 JOX917670:JOY917685 JYT917670:JYU917685 KIP917670:KIQ917685 KSL917670:KSM917685 LCH917670:LCI917685 LMD917670:LME917685 LVZ917670:LWA917685 MFV917670:MFW917685 MPR917670:MPS917685 MZN917670:MZO917685 NJJ917670:NJK917685 NTF917670:NTG917685 ODB917670:ODC917685 OMX917670:OMY917685 OWT917670:OWU917685 PGP917670:PGQ917685 PQL917670:PQM917685 QAH917670:QAI917685 QKD917670:QKE917685 QTZ917670:QUA917685 RDV917670:RDW917685 RNR917670:RNS917685 RXN917670:RXO917685 SHJ917670:SHK917685 SRF917670:SRG917685 TBB917670:TBC917685 TKX917670:TKY917685 TUT917670:TUU917685 UEP917670:UEQ917685 UOL917670:UOM917685 UYH917670:UYI917685 VID917670:VIE917685 VRZ917670:VSA917685 WBV917670:WBW917685 WLR917670:WLS917685 WVN917670:WVO917685 G983206:G983221 JB983206:JC983221 SX983206:SY983221 ACT983206:ACU983221 AMP983206:AMQ983221 AWL983206:AWM983221 BGH983206:BGI983221 BQD983206:BQE983221 BZZ983206:CAA983221 CJV983206:CJW983221 CTR983206:CTS983221 DDN983206:DDO983221 DNJ983206:DNK983221 DXF983206:DXG983221 EHB983206:EHC983221 EQX983206:EQY983221 FAT983206:FAU983221 FKP983206:FKQ983221 FUL983206:FUM983221 GEH983206:GEI983221 GOD983206:GOE983221 GXZ983206:GYA983221 HHV983206:HHW983221 HRR983206:HRS983221 IBN983206:IBO983221 ILJ983206:ILK983221 IVF983206:IVG983221 JFB983206:JFC983221 JOX983206:JOY983221 JYT983206:JYU983221 KIP983206:KIQ983221 KSL983206:KSM983221 LCH983206:LCI983221 LMD983206:LME983221 LVZ983206:LWA983221 MFV983206:MFW983221 MPR983206:MPS983221 MZN983206:MZO983221 NJJ983206:NJK983221 NTF983206:NTG983221 ODB983206:ODC983221 OMX983206:OMY983221 OWT983206:OWU983221 PGP983206:PGQ983221 PQL983206:PQM983221 QAH983206:QAI983221 QKD983206:QKE983221 QTZ983206:QUA983221 RDV983206:RDW983221 RNR983206:RNS983221 RXN983206:RXO983221 SHJ983206:SHK983221 SRF983206:SRG983221 TBB983206:TBC983221 TKX983206:TKY983221 TUT983206:TUU983221 UEP983206:UEQ983221 UOL983206:UOM983221 UYH983206:UYI983221 VID983206:VIE983221 VRZ983206:VSA983221 WBV983206:WBW983221 WLR983206:WLS983221 WVN983206:WVO983221 G144:G150 JB144:JC150 SX144:SY150 ACT144:ACU150 AMP144:AMQ150 AWL144:AWM150 BGH144:BGI150 BQD144:BQE150 BZZ144:CAA150 CJV144:CJW150 CTR144:CTS150 DDN144:DDO150 DNJ144:DNK150 DXF144:DXG150 EHB144:EHC150 EQX144:EQY150 FAT144:FAU150 FKP144:FKQ150 FUL144:FUM150 GEH144:GEI150 GOD144:GOE150 GXZ144:GYA150 HHV144:HHW150 HRR144:HRS150 IBN144:IBO150 ILJ144:ILK150 IVF144:IVG150 JFB144:JFC150 JOX144:JOY150 JYT144:JYU150 KIP144:KIQ150 KSL144:KSM150 LCH144:LCI150 LMD144:LME150 LVZ144:LWA150 MFV144:MFW150 MPR144:MPS150 MZN144:MZO150 NJJ144:NJK150 NTF144:NTG150 ODB144:ODC150 OMX144:OMY150 OWT144:OWU150 PGP144:PGQ150 PQL144:PQM150 QAH144:QAI150 QKD144:QKE150 QTZ144:QUA150 RDV144:RDW150 RNR144:RNS150 RXN144:RXO150 SHJ144:SHK150 SRF144:SRG150 TBB144:TBC150 TKX144:TKY150 TUT144:TUU150 UEP144:UEQ150 UOL144:UOM150 UYH144:UYI150 VID144:VIE150 VRZ144:VSA150 WBV144:WBW150 WLR144:WLS150 WVN144:WVO150 G65680:G65686 JB65680:JC65686 SX65680:SY65686 ACT65680:ACU65686 AMP65680:AMQ65686 AWL65680:AWM65686 BGH65680:BGI65686 BQD65680:BQE65686 BZZ65680:CAA65686 CJV65680:CJW65686 CTR65680:CTS65686 DDN65680:DDO65686 DNJ65680:DNK65686 DXF65680:DXG65686 EHB65680:EHC65686 EQX65680:EQY65686 FAT65680:FAU65686 FKP65680:FKQ65686 FUL65680:FUM65686 GEH65680:GEI65686 GOD65680:GOE65686 GXZ65680:GYA65686 HHV65680:HHW65686 HRR65680:HRS65686 IBN65680:IBO65686 ILJ65680:ILK65686 IVF65680:IVG65686 JFB65680:JFC65686 JOX65680:JOY65686 JYT65680:JYU65686 KIP65680:KIQ65686 KSL65680:KSM65686 LCH65680:LCI65686 LMD65680:LME65686 LVZ65680:LWA65686 MFV65680:MFW65686 MPR65680:MPS65686 MZN65680:MZO65686 NJJ65680:NJK65686 NTF65680:NTG65686 ODB65680:ODC65686 OMX65680:OMY65686 OWT65680:OWU65686 PGP65680:PGQ65686 PQL65680:PQM65686 QAH65680:QAI65686 QKD65680:QKE65686 QTZ65680:QUA65686 RDV65680:RDW65686 RNR65680:RNS65686 RXN65680:RXO65686 SHJ65680:SHK65686 SRF65680:SRG65686 TBB65680:TBC65686 TKX65680:TKY65686 TUT65680:TUU65686 UEP65680:UEQ65686 UOL65680:UOM65686 UYH65680:UYI65686 VID65680:VIE65686 VRZ65680:VSA65686 WBV65680:WBW65686 WLR65680:WLS65686 WVN65680:WVO65686 G131216:G131222 JB131216:JC131222 SX131216:SY131222 ACT131216:ACU131222 AMP131216:AMQ131222 AWL131216:AWM131222 BGH131216:BGI131222 BQD131216:BQE131222 BZZ131216:CAA131222 CJV131216:CJW131222 CTR131216:CTS131222 DDN131216:DDO131222 DNJ131216:DNK131222 DXF131216:DXG131222 EHB131216:EHC131222 EQX131216:EQY131222 FAT131216:FAU131222 FKP131216:FKQ131222 FUL131216:FUM131222 GEH131216:GEI131222 GOD131216:GOE131222 GXZ131216:GYA131222 HHV131216:HHW131222 HRR131216:HRS131222 IBN131216:IBO131222 ILJ131216:ILK131222 IVF131216:IVG131222 JFB131216:JFC131222 JOX131216:JOY131222 JYT131216:JYU131222 KIP131216:KIQ131222 KSL131216:KSM131222 LCH131216:LCI131222 LMD131216:LME131222 LVZ131216:LWA131222 MFV131216:MFW131222 MPR131216:MPS131222 MZN131216:MZO131222 NJJ131216:NJK131222 NTF131216:NTG131222 ODB131216:ODC131222 OMX131216:OMY131222 OWT131216:OWU131222 PGP131216:PGQ131222 PQL131216:PQM131222 QAH131216:QAI131222 QKD131216:QKE131222 QTZ131216:QUA131222 RDV131216:RDW131222 RNR131216:RNS131222 RXN131216:RXO131222 SHJ131216:SHK131222 SRF131216:SRG131222 TBB131216:TBC131222 TKX131216:TKY131222 TUT131216:TUU131222 UEP131216:UEQ131222 UOL131216:UOM131222 UYH131216:UYI131222 VID131216:VIE131222 VRZ131216:VSA131222 WBV131216:WBW131222 WLR131216:WLS131222 WVN131216:WVO131222 G196752:G196758 JB196752:JC196758 SX196752:SY196758 ACT196752:ACU196758 AMP196752:AMQ196758 AWL196752:AWM196758 BGH196752:BGI196758 BQD196752:BQE196758 BZZ196752:CAA196758 CJV196752:CJW196758 CTR196752:CTS196758 DDN196752:DDO196758 DNJ196752:DNK196758 DXF196752:DXG196758 EHB196752:EHC196758 EQX196752:EQY196758 FAT196752:FAU196758 FKP196752:FKQ196758 FUL196752:FUM196758 GEH196752:GEI196758 GOD196752:GOE196758 GXZ196752:GYA196758 HHV196752:HHW196758 HRR196752:HRS196758 IBN196752:IBO196758 ILJ196752:ILK196758 IVF196752:IVG196758 JFB196752:JFC196758 JOX196752:JOY196758 JYT196752:JYU196758 KIP196752:KIQ196758 KSL196752:KSM196758 LCH196752:LCI196758 LMD196752:LME196758 LVZ196752:LWA196758 MFV196752:MFW196758 MPR196752:MPS196758 MZN196752:MZO196758 NJJ196752:NJK196758 NTF196752:NTG196758 ODB196752:ODC196758 OMX196752:OMY196758 OWT196752:OWU196758 PGP196752:PGQ196758 PQL196752:PQM196758 QAH196752:QAI196758 QKD196752:QKE196758 QTZ196752:QUA196758 RDV196752:RDW196758 RNR196752:RNS196758 RXN196752:RXO196758 SHJ196752:SHK196758 SRF196752:SRG196758 TBB196752:TBC196758 TKX196752:TKY196758 TUT196752:TUU196758 UEP196752:UEQ196758 UOL196752:UOM196758 UYH196752:UYI196758 VID196752:VIE196758 VRZ196752:VSA196758 WBV196752:WBW196758 WLR196752:WLS196758 WVN196752:WVO196758 G262288:G262294 JB262288:JC262294 SX262288:SY262294 ACT262288:ACU262294 AMP262288:AMQ262294 AWL262288:AWM262294 BGH262288:BGI262294 BQD262288:BQE262294 BZZ262288:CAA262294 CJV262288:CJW262294 CTR262288:CTS262294 DDN262288:DDO262294 DNJ262288:DNK262294 DXF262288:DXG262294 EHB262288:EHC262294 EQX262288:EQY262294 FAT262288:FAU262294 FKP262288:FKQ262294 FUL262288:FUM262294 GEH262288:GEI262294 GOD262288:GOE262294 GXZ262288:GYA262294 HHV262288:HHW262294 HRR262288:HRS262294 IBN262288:IBO262294 ILJ262288:ILK262294 IVF262288:IVG262294 JFB262288:JFC262294 JOX262288:JOY262294 JYT262288:JYU262294 KIP262288:KIQ262294 KSL262288:KSM262294 LCH262288:LCI262294 LMD262288:LME262294 LVZ262288:LWA262294 MFV262288:MFW262294 MPR262288:MPS262294 MZN262288:MZO262294 NJJ262288:NJK262294 NTF262288:NTG262294 ODB262288:ODC262294 OMX262288:OMY262294 OWT262288:OWU262294 PGP262288:PGQ262294 PQL262288:PQM262294 QAH262288:QAI262294 QKD262288:QKE262294 QTZ262288:QUA262294 RDV262288:RDW262294 RNR262288:RNS262294 RXN262288:RXO262294 SHJ262288:SHK262294 SRF262288:SRG262294 TBB262288:TBC262294 TKX262288:TKY262294 TUT262288:TUU262294 UEP262288:UEQ262294 UOL262288:UOM262294 UYH262288:UYI262294 VID262288:VIE262294 VRZ262288:VSA262294 WBV262288:WBW262294 WLR262288:WLS262294 WVN262288:WVO262294 G327824:G327830 JB327824:JC327830 SX327824:SY327830 ACT327824:ACU327830 AMP327824:AMQ327830 AWL327824:AWM327830 BGH327824:BGI327830 BQD327824:BQE327830 BZZ327824:CAA327830 CJV327824:CJW327830 CTR327824:CTS327830 DDN327824:DDO327830 DNJ327824:DNK327830 DXF327824:DXG327830 EHB327824:EHC327830 EQX327824:EQY327830 FAT327824:FAU327830 FKP327824:FKQ327830 FUL327824:FUM327830 GEH327824:GEI327830 GOD327824:GOE327830 GXZ327824:GYA327830 HHV327824:HHW327830 HRR327824:HRS327830 IBN327824:IBO327830 ILJ327824:ILK327830 IVF327824:IVG327830 JFB327824:JFC327830 JOX327824:JOY327830 JYT327824:JYU327830 KIP327824:KIQ327830 KSL327824:KSM327830 LCH327824:LCI327830 LMD327824:LME327830 LVZ327824:LWA327830 MFV327824:MFW327830 MPR327824:MPS327830 MZN327824:MZO327830 NJJ327824:NJK327830 NTF327824:NTG327830 ODB327824:ODC327830 OMX327824:OMY327830 OWT327824:OWU327830 PGP327824:PGQ327830 PQL327824:PQM327830 QAH327824:QAI327830 QKD327824:QKE327830 QTZ327824:QUA327830 RDV327824:RDW327830 RNR327824:RNS327830 RXN327824:RXO327830 SHJ327824:SHK327830 SRF327824:SRG327830 TBB327824:TBC327830 TKX327824:TKY327830 TUT327824:TUU327830 UEP327824:UEQ327830 UOL327824:UOM327830 UYH327824:UYI327830 VID327824:VIE327830 VRZ327824:VSA327830 WBV327824:WBW327830 WLR327824:WLS327830 WVN327824:WVO327830 G393360:G393366 JB393360:JC393366 SX393360:SY393366 ACT393360:ACU393366 AMP393360:AMQ393366 AWL393360:AWM393366 BGH393360:BGI393366 BQD393360:BQE393366 BZZ393360:CAA393366 CJV393360:CJW393366 CTR393360:CTS393366 DDN393360:DDO393366 DNJ393360:DNK393366 DXF393360:DXG393366 EHB393360:EHC393366 EQX393360:EQY393366 FAT393360:FAU393366 FKP393360:FKQ393366 FUL393360:FUM393366 GEH393360:GEI393366 GOD393360:GOE393366 GXZ393360:GYA393366 HHV393360:HHW393366 HRR393360:HRS393366 IBN393360:IBO393366 ILJ393360:ILK393366 IVF393360:IVG393366 JFB393360:JFC393366 JOX393360:JOY393366 JYT393360:JYU393366 KIP393360:KIQ393366 KSL393360:KSM393366 LCH393360:LCI393366 LMD393360:LME393366 LVZ393360:LWA393366 MFV393360:MFW393366 MPR393360:MPS393366 MZN393360:MZO393366 NJJ393360:NJK393366 NTF393360:NTG393366 ODB393360:ODC393366 OMX393360:OMY393366 OWT393360:OWU393366 PGP393360:PGQ393366 PQL393360:PQM393366 QAH393360:QAI393366 QKD393360:QKE393366 QTZ393360:QUA393366 RDV393360:RDW393366 RNR393360:RNS393366 RXN393360:RXO393366 SHJ393360:SHK393366 SRF393360:SRG393366 TBB393360:TBC393366 TKX393360:TKY393366 TUT393360:TUU393366 UEP393360:UEQ393366 UOL393360:UOM393366 UYH393360:UYI393366 VID393360:VIE393366 VRZ393360:VSA393366 WBV393360:WBW393366 WLR393360:WLS393366 WVN393360:WVO393366 G458896:G458902 JB458896:JC458902 SX458896:SY458902 ACT458896:ACU458902 AMP458896:AMQ458902 AWL458896:AWM458902 BGH458896:BGI458902 BQD458896:BQE458902 BZZ458896:CAA458902 CJV458896:CJW458902 CTR458896:CTS458902 DDN458896:DDO458902 DNJ458896:DNK458902 DXF458896:DXG458902 EHB458896:EHC458902 EQX458896:EQY458902 FAT458896:FAU458902 FKP458896:FKQ458902 FUL458896:FUM458902 GEH458896:GEI458902 GOD458896:GOE458902 GXZ458896:GYA458902 HHV458896:HHW458902 HRR458896:HRS458902 IBN458896:IBO458902 ILJ458896:ILK458902 IVF458896:IVG458902 JFB458896:JFC458902 JOX458896:JOY458902 JYT458896:JYU458902 KIP458896:KIQ458902 KSL458896:KSM458902 LCH458896:LCI458902 LMD458896:LME458902 LVZ458896:LWA458902 MFV458896:MFW458902 MPR458896:MPS458902 MZN458896:MZO458902 NJJ458896:NJK458902 NTF458896:NTG458902 ODB458896:ODC458902 OMX458896:OMY458902 OWT458896:OWU458902 PGP458896:PGQ458902 PQL458896:PQM458902 QAH458896:QAI458902 QKD458896:QKE458902 QTZ458896:QUA458902 RDV458896:RDW458902 RNR458896:RNS458902 RXN458896:RXO458902 SHJ458896:SHK458902 SRF458896:SRG458902 TBB458896:TBC458902 TKX458896:TKY458902 TUT458896:TUU458902 UEP458896:UEQ458902 UOL458896:UOM458902 UYH458896:UYI458902 VID458896:VIE458902 VRZ458896:VSA458902 WBV458896:WBW458902 WLR458896:WLS458902 WVN458896:WVO458902 G524432:G524438 JB524432:JC524438 SX524432:SY524438 ACT524432:ACU524438 AMP524432:AMQ524438 AWL524432:AWM524438 BGH524432:BGI524438 BQD524432:BQE524438 BZZ524432:CAA524438 CJV524432:CJW524438 CTR524432:CTS524438 DDN524432:DDO524438 DNJ524432:DNK524438 DXF524432:DXG524438 EHB524432:EHC524438 EQX524432:EQY524438 FAT524432:FAU524438 FKP524432:FKQ524438 FUL524432:FUM524438 GEH524432:GEI524438 GOD524432:GOE524438 GXZ524432:GYA524438 HHV524432:HHW524438 HRR524432:HRS524438 IBN524432:IBO524438 ILJ524432:ILK524438 IVF524432:IVG524438 JFB524432:JFC524438 JOX524432:JOY524438 JYT524432:JYU524438 KIP524432:KIQ524438 KSL524432:KSM524438 LCH524432:LCI524438 LMD524432:LME524438 LVZ524432:LWA524438 MFV524432:MFW524438 MPR524432:MPS524438 MZN524432:MZO524438 NJJ524432:NJK524438 NTF524432:NTG524438 ODB524432:ODC524438 OMX524432:OMY524438 OWT524432:OWU524438 PGP524432:PGQ524438 PQL524432:PQM524438 QAH524432:QAI524438 QKD524432:QKE524438 QTZ524432:QUA524438 RDV524432:RDW524438 RNR524432:RNS524438 RXN524432:RXO524438 SHJ524432:SHK524438 SRF524432:SRG524438 TBB524432:TBC524438 TKX524432:TKY524438 TUT524432:TUU524438 UEP524432:UEQ524438 UOL524432:UOM524438 UYH524432:UYI524438 VID524432:VIE524438 VRZ524432:VSA524438 WBV524432:WBW524438 WLR524432:WLS524438 WVN524432:WVO524438 G589968:G589974 JB589968:JC589974 SX589968:SY589974 ACT589968:ACU589974 AMP589968:AMQ589974 AWL589968:AWM589974 BGH589968:BGI589974 BQD589968:BQE589974 BZZ589968:CAA589974 CJV589968:CJW589974 CTR589968:CTS589974 DDN589968:DDO589974 DNJ589968:DNK589974 DXF589968:DXG589974 EHB589968:EHC589974 EQX589968:EQY589974 FAT589968:FAU589974 FKP589968:FKQ589974 FUL589968:FUM589974 GEH589968:GEI589974 GOD589968:GOE589974 GXZ589968:GYA589974 HHV589968:HHW589974 HRR589968:HRS589974 IBN589968:IBO589974 ILJ589968:ILK589974 IVF589968:IVG589974 JFB589968:JFC589974 JOX589968:JOY589974 JYT589968:JYU589974 KIP589968:KIQ589974 KSL589968:KSM589974 LCH589968:LCI589974 LMD589968:LME589974 LVZ589968:LWA589974 MFV589968:MFW589974 MPR589968:MPS589974 MZN589968:MZO589974 NJJ589968:NJK589974 NTF589968:NTG589974 ODB589968:ODC589974 OMX589968:OMY589974 OWT589968:OWU589974 PGP589968:PGQ589974 PQL589968:PQM589974 QAH589968:QAI589974 QKD589968:QKE589974 QTZ589968:QUA589974 RDV589968:RDW589974 RNR589968:RNS589974 RXN589968:RXO589974 SHJ589968:SHK589974 SRF589968:SRG589974 TBB589968:TBC589974 TKX589968:TKY589974 TUT589968:TUU589974 UEP589968:UEQ589974 UOL589968:UOM589974 UYH589968:UYI589974 VID589968:VIE589974 VRZ589968:VSA589974 WBV589968:WBW589974 WLR589968:WLS589974 WVN589968:WVO589974 G655504:G655510 JB655504:JC655510 SX655504:SY655510 ACT655504:ACU655510 AMP655504:AMQ655510 AWL655504:AWM655510 BGH655504:BGI655510 BQD655504:BQE655510 BZZ655504:CAA655510 CJV655504:CJW655510 CTR655504:CTS655510 DDN655504:DDO655510 DNJ655504:DNK655510 DXF655504:DXG655510 EHB655504:EHC655510 EQX655504:EQY655510 FAT655504:FAU655510 FKP655504:FKQ655510 FUL655504:FUM655510 GEH655504:GEI655510 GOD655504:GOE655510 GXZ655504:GYA655510 HHV655504:HHW655510 HRR655504:HRS655510 IBN655504:IBO655510 ILJ655504:ILK655510 IVF655504:IVG655510 JFB655504:JFC655510 JOX655504:JOY655510 JYT655504:JYU655510 KIP655504:KIQ655510 KSL655504:KSM655510 LCH655504:LCI655510 LMD655504:LME655510 LVZ655504:LWA655510 MFV655504:MFW655510 MPR655504:MPS655510 MZN655504:MZO655510 NJJ655504:NJK655510 NTF655504:NTG655510 ODB655504:ODC655510 OMX655504:OMY655510 OWT655504:OWU655510 PGP655504:PGQ655510 PQL655504:PQM655510 QAH655504:QAI655510 QKD655504:QKE655510 QTZ655504:QUA655510 RDV655504:RDW655510 RNR655504:RNS655510 RXN655504:RXO655510 SHJ655504:SHK655510 SRF655504:SRG655510 TBB655504:TBC655510 TKX655504:TKY655510 TUT655504:TUU655510 UEP655504:UEQ655510 UOL655504:UOM655510 UYH655504:UYI655510 VID655504:VIE655510 VRZ655504:VSA655510 WBV655504:WBW655510 WLR655504:WLS655510 WVN655504:WVO655510 G721040:G721046 JB721040:JC721046 SX721040:SY721046 ACT721040:ACU721046 AMP721040:AMQ721046 AWL721040:AWM721046 BGH721040:BGI721046 BQD721040:BQE721046 BZZ721040:CAA721046 CJV721040:CJW721046 CTR721040:CTS721046 DDN721040:DDO721046 DNJ721040:DNK721046 DXF721040:DXG721046 EHB721040:EHC721046 EQX721040:EQY721046 FAT721040:FAU721046 FKP721040:FKQ721046 FUL721040:FUM721046 GEH721040:GEI721046 GOD721040:GOE721046 GXZ721040:GYA721046 HHV721040:HHW721046 HRR721040:HRS721046 IBN721040:IBO721046 ILJ721040:ILK721046 IVF721040:IVG721046 JFB721040:JFC721046 JOX721040:JOY721046 JYT721040:JYU721046 KIP721040:KIQ721046 KSL721040:KSM721046 LCH721040:LCI721046 LMD721040:LME721046 LVZ721040:LWA721046 MFV721040:MFW721046 MPR721040:MPS721046 MZN721040:MZO721046 NJJ721040:NJK721046 NTF721040:NTG721046 ODB721040:ODC721046 OMX721040:OMY721046 OWT721040:OWU721046 PGP721040:PGQ721046 PQL721040:PQM721046 QAH721040:QAI721046 QKD721040:QKE721046 QTZ721040:QUA721046 RDV721040:RDW721046 RNR721040:RNS721046 RXN721040:RXO721046 SHJ721040:SHK721046 SRF721040:SRG721046 TBB721040:TBC721046 TKX721040:TKY721046 TUT721040:TUU721046 UEP721040:UEQ721046 UOL721040:UOM721046 UYH721040:UYI721046 VID721040:VIE721046 VRZ721040:VSA721046 WBV721040:WBW721046 WLR721040:WLS721046 WVN721040:WVO721046 G786576:G786582 JB786576:JC786582 SX786576:SY786582 ACT786576:ACU786582 AMP786576:AMQ786582 AWL786576:AWM786582 BGH786576:BGI786582 BQD786576:BQE786582 BZZ786576:CAA786582 CJV786576:CJW786582 CTR786576:CTS786582 DDN786576:DDO786582 DNJ786576:DNK786582 DXF786576:DXG786582 EHB786576:EHC786582 EQX786576:EQY786582 FAT786576:FAU786582 FKP786576:FKQ786582 FUL786576:FUM786582 GEH786576:GEI786582 GOD786576:GOE786582 GXZ786576:GYA786582 HHV786576:HHW786582 HRR786576:HRS786582 IBN786576:IBO786582 ILJ786576:ILK786582 IVF786576:IVG786582 JFB786576:JFC786582 JOX786576:JOY786582 JYT786576:JYU786582 KIP786576:KIQ786582 KSL786576:KSM786582 LCH786576:LCI786582 LMD786576:LME786582 LVZ786576:LWA786582 MFV786576:MFW786582 MPR786576:MPS786582 MZN786576:MZO786582 NJJ786576:NJK786582 NTF786576:NTG786582 ODB786576:ODC786582 OMX786576:OMY786582 OWT786576:OWU786582 PGP786576:PGQ786582 PQL786576:PQM786582 QAH786576:QAI786582 QKD786576:QKE786582 QTZ786576:QUA786582 RDV786576:RDW786582 RNR786576:RNS786582 RXN786576:RXO786582 SHJ786576:SHK786582 SRF786576:SRG786582 TBB786576:TBC786582 TKX786576:TKY786582 TUT786576:TUU786582 UEP786576:UEQ786582 UOL786576:UOM786582 UYH786576:UYI786582 VID786576:VIE786582 VRZ786576:VSA786582 WBV786576:WBW786582 WLR786576:WLS786582 WVN786576:WVO786582 G852112:G852118 JB852112:JC852118 SX852112:SY852118 ACT852112:ACU852118 AMP852112:AMQ852118 AWL852112:AWM852118 BGH852112:BGI852118 BQD852112:BQE852118 BZZ852112:CAA852118 CJV852112:CJW852118 CTR852112:CTS852118 DDN852112:DDO852118 DNJ852112:DNK852118 DXF852112:DXG852118 EHB852112:EHC852118 EQX852112:EQY852118 FAT852112:FAU852118 FKP852112:FKQ852118 FUL852112:FUM852118 GEH852112:GEI852118 GOD852112:GOE852118 GXZ852112:GYA852118 HHV852112:HHW852118 HRR852112:HRS852118 IBN852112:IBO852118 ILJ852112:ILK852118 IVF852112:IVG852118 JFB852112:JFC852118 JOX852112:JOY852118 JYT852112:JYU852118 KIP852112:KIQ852118 KSL852112:KSM852118 LCH852112:LCI852118 LMD852112:LME852118 LVZ852112:LWA852118 MFV852112:MFW852118 MPR852112:MPS852118 MZN852112:MZO852118 NJJ852112:NJK852118 NTF852112:NTG852118 ODB852112:ODC852118 OMX852112:OMY852118 OWT852112:OWU852118 PGP852112:PGQ852118 PQL852112:PQM852118 QAH852112:QAI852118 QKD852112:QKE852118 QTZ852112:QUA852118 RDV852112:RDW852118 RNR852112:RNS852118 RXN852112:RXO852118 SHJ852112:SHK852118 SRF852112:SRG852118 TBB852112:TBC852118 TKX852112:TKY852118 TUT852112:TUU852118 UEP852112:UEQ852118 UOL852112:UOM852118 UYH852112:UYI852118 VID852112:VIE852118 VRZ852112:VSA852118 WBV852112:WBW852118 WLR852112:WLS852118 WVN852112:WVO852118 G917648:G917654 JB917648:JC917654 SX917648:SY917654 ACT917648:ACU917654 AMP917648:AMQ917654 AWL917648:AWM917654 BGH917648:BGI917654 BQD917648:BQE917654 BZZ917648:CAA917654 CJV917648:CJW917654 CTR917648:CTS917654 DDN917648:DDO917654 DNJ917648:DNK917654 DXF917648:DXG917654 EHB917648:EHC917654 EQX917648:EQY917654 FAT917648:FAU917654 FKP917648:FKQ917654 FUL917648:FUM917654 GEH917648:GEI917654 GOD917648:GOE917654 GXZ917648:GYA917654 HHV917648:HHW917654 HRR917648:HRS917654 IBN917648:IBO917654 ILJ917648:ILK917654 IVF917648:IVG917654 JFB917648:JFC917654 JOX917648:JOY917654 JYT917648:JYU917654 KIP917648:KIQ917654 KSL917648:KSM917654 LCH917648:LCI917654 LMD917648:LME917654 LVZ917648:LWA917654 MFV917648:MFW917654 MPR917648:MPS917654 MZN917648:MZO917654 NJJ917648:NJK917654 NTF917648:NTG917654 ODB917648:ODC917654 OMX917648:OMY917654 OWT917648:OWU917654 PGP917648:PGQ917654 PQL917648:PQM917654 QAH917648:QAI917654 QKD917648:QKE917654 QTZ917648:QUA917654 RDV917648:RDW917654 RNR917648:RNS917654 RXN917648:RXO917654 SHJ917648:SHK917654 SRF917648:SRG917654 TBB917648:TBC917654 TKX917648:TKY917654 TUT917648:TUU917654 UEP917648:UEQ917654 UOL917648:UOM917654 UYH917648:UYI917654 VID917648:VIE917654 VRZ917648:VSA917654 WBV917648:WBW917654 WLR917648:WLS917654 WVN917648:WVO917654 G983184:G983190 JB983184:JC983190 SX983184:SY983190 ACT983184:ACU983190 AMP983184:AMQ983190 AWL983184:AWM983190 BGH983184:BGI983190 BQD983184:BQE983190 BZZ983184:CAA983190 CJV983184:CJW983190 CTR983184:CTS983190 DDN983184:DDO983190 DNJ983184:DNK983190 DXF983184:DXG983190 EHB983184:EHC983190 EQX983184:EQY983190 FAT983184:FAU983190 FKP983184:FKQ983190 FUL983184:FUM983190 GEH983184:GEI983190 GOD983184:GOE983190 GXZ983184:GYA983190 HHV983184:HHW983190 HRR983184:HRS983190 IBN983184:IBO983190 ILJ983184:ILK983190 IVF983184:IVG983190 JFB983184:JFC983190 JOX983184:JOY983190 JYT983184:JYU983190 KIP983184:KIQ983190 KSL983184:KSM983190 LCH983184:LCI983190 LMD983184:LME983190 LVZ983184:LWA983190 MFV983184:MFW983190 MPR983184:MPS983190 MZN983184:MZO983190 NJJ983184:NJK983190 NTF983184:NTG983190 ODB983184:ODC983190 OMX983184:OMY983190 OWT983184:OWU983190 PGP983184:PGQ983190 PQL983184:PQM983190 QAH983184:QAI983190 QKD983184:QKE983190 QTZ983184:QUA983190 RDV983184:RDW983190 RNR983184:RNS983190 RXN983184:RXO983190 SHJ983184:SHK983190 SRF983184:SRG983190 TBB983184:TBC983190 TKX983184:TKY983190 TUT983184:TUU983190 UEP983184:UEQ983190 UOL983184:UOM983190 UYH983184:UYI983190 VID983184:VIE983190 VRZ983184:VSA983190 WBV983184:WBW983190 WLR983184:WLS983190 WVN983184:WVO983190 D13:D55 IX13:IY55 ST13:SU55 ACP13:ACQ55 AML13:AMM55 AWH13:AWI55 BGD13:BGE55 BPZ13:BQA55 BZV13:BZW55 CJR13:CJS55 CTN13:CTO55 DDJ13:DDK55 DNF13:DNG55 DXB13:DXC55 EGX13:EGY55 EQT13:EQU55 FAP13:FAQ55 FKL13:FKM55 FUH13:FUI55 GED13:GEE55 GNZ13:GOA55 GXV13:GXW55 HHR13:HHS55 HRN13:HRO55 IBJ13:IBK55 ILF13:ILG55 IVB13:IVC55 JEX13:JEY55 JOT13:JOU55 JYP13:JYQ55 KIL13:KIM55 KSH13:KSI55 LCD13:LCE55 LLZ13:LMA55 LVV13:LVW55 MFR13:MFS55 MPN13:MPO55 MZJ13:MZK55 NJF13:NJG55 NTB13:NTC55 OCX13:OCY55 OMT13:OMU55 OWP13:OWQ55 PGL13:PGM55 PQH13:PQI55 QAD13:QAE55 QJZ13:QKA55 QTV13:QTW55 RDR13:RDS55 RNN13:RNO55 RXJ13:RXK55 SHF13:SHG55 SRB13:SRC55 TAX13:TAY55 TKT13:TKU55 TUP13:TUQ55 UEL13:UEM55 UOH13:UOI55 UYD13:UYE55 VHZ13:VIA55 VRV13:VRW55 WBR13:WBS55 WLN13:WLO55 WVJ13:WVK55 D65549:D65591 IX65549:IY65591 ST65549:SU65591 ACP65549:ACQ65591 AML65549:AMM65591 AWH65549:AWI65591 BGD65549:BGE65591 BPZ65549:BQA65591 BZV65549:BZW65591 CJR65549:CJS65591 CTN65549:CTO65591 DDJ65549:DDK65591 DNF65549:DNG65591 DXB65549:DXC65591 EGX65549:EGY65591 EQT65549:EQU65591 FAP65549:FAQ65591 FKL65549:FKM65591 FUH65549:FUI65591 GED65549:GEE65591 GNZ65549:GOA65591 GXV65549:GXW65591 HHR65549:HHS65591 HRN65549:HRO65591 IBJ65549:IBK65591 ILF65549:ILG65591 IVB65549:IVC65591 JEX65549:JEY65591 JOT65549:JOU65591 JYP65549:JYQ65591 KIL65549:KIM65591 KSH65549:KSI65591 LCD65549:LCE65591 LLZ65549:LMA65591 LVV65549:LVW65591 MFR65549:MFS65591 MPN65549:MPO65591 MZJ65549:MZK65591 NJF65549:NJG65591 NTB65549:NTC65591 OCX65549:OCY65591 OMT65549:OMU65591 OWP65549:OWQ65591 PGL65549:PGM65591 PQH65549:PQI65591 QAD65549:QAE65591 QJZ65549:QKA65591 QTV65549:QTW65591 RDR65549:RDS65591 RNN65549:RNO65591 RXJ65549:RXK65591 SHF65549:SHG65591 SRB65549:SRC65591 TAX65549:TAY65591 TKT65549:TKU65591 TUP65549:TUQ65591 UEL65549:UEM65591 UOH65549:UOI65591 UYD65549:UYE65591 VHZ65549:VIA65591 VRV65549:VRW65591 WBR65549:WBS65591 WLN65549:WLO65591 WVJ65549:WVK65591 D131085:D131127 IX131085:IY131127 ST131085:SU131127 ACP131085:ACQ131127 AML131085:AMM131127 AWH131085:AWI131127 BGD131085:BGE131127 BPZ131085:BQA131127 BZV131085:BZW131127 CJR131085:CJS131127 CTN131085:CTO131127 DDJ131085:DDK131127 DNF131085:DNG131127 DXB131085:DXC131127 EGX131085:EGY131127 EQT131085:EQU131127 FAP131085:FAQ131127 FKL131085:FKM131127 FUH131085:FUI131127 GED131085:GEE131127 GNZ131085:GOA131127 GXV131085:GXW131127 HHR131085:HHS131127 HRN131085:HRO131127 IBJ131085:IBK131127 ILF131085:ILG131127 IVB131085:IVC131127 JEX131085:JEY131127 JOT131085:JOU131127 JYP131085:JYQ131127 KIL131085:KIM131127 KSH131085:KSI131127 LCD131085:LCE131127 LLZ131085:LMA131127 LVV131085:LVW131127 MFR131085:MFS131127 MPN131085:MPO131127 MZJ131085:MZK131127 NJF131085:NJG131127 NTB131085:NTC131127 OCX131085:OCY131127 OMT131085:OMU131127 OWP131085:OWQ131127 PGL131085:PGM131127 PQH131085:PQI131127 QAD131085:QAE131127 QJZ131085:QKA131127 QTV131085:QTW131127 RDR131085:RDS131127 RNN131085:RNO131127 RXJ131085:RXK131127 SHF131085:SHG131127 SRB131085:SRC131127 TAX131085:TAY131127 TKT131085:TKU131127 TUP131085:TUQ131127 UEL131085:UEM131127 UOH131085:UOI131127 UYD131085:UYE131127 VHZ131085:VIA131127 VRV131085:VRW131127 WBR131085:WBS131127 WLN131085:WLO131127 WVJ131085:WVK131127 D196621:D196663 IX196621:IY196663 ST196621:SU196663 ACP196621:ACQ196663 AML196621:AMM196663 AWH196621:AWI196663 BGD196621:BGE196663 BPZ196621:BQA196663 BZV196621:BZW196663 CJR196621:CJS196663 CTN196621:CTO196663 DDJ196621:DDK196663 DNF196621:DNG196663 DXB196621:DXC196663 EGX196621:EGY196663 EQT196621:EQU196663 FAP196621:FAQ196663 FKL196621:FKM196663 FUH196621:FUI196663 GED196621:GEE196663 GNZ196621:GOA196663 GXV196621:GXW196663 HHR196621:HHS196663 HRN196621:HRO196663 IBJ196621:IBK196663 ILF196621:ILG196663 IVB196621:IVC196663 JEX196621:JEY196663 JOT196621:JOU196663 JYP196621:JYQ196663 KIL196621:KIM196663 KSH196621:KSI196663 LCD196621:LCE196663 LLZ196621:LMA196663 LVV196621:LVW196663 MFR196621:MFS196663 MPN196621:MPO196663 MZJ196621:MZK196663 NJF196621:NJG196663 NTB196621:NTC196663 OCX196621:OCY196663 OMT196621:OMU196663 OWP196621:OWQ196663 PGL196621:PGM196663 PQH196621:PQI196663 QAD196621:QAE196663 QJZ196621:QKA196663 QTV196621:QTW196663 RDR196621:RDS196663 RNN196621:RNO196663 RXJ196621:RXK196663 SHF196621:SHG196663 SRB196621:SRC196663 TAX196621:TAY196663 TKT196621:TKU196663 TUP196621:TUQ196663 UEL196621:UEM196663 UOH196621:UOI196663 UYD196621:UYE196663 VHZ196621:VIA196663 VRV196621:VRW196663 WBR196621:WBS196663 WLN196621:WLO196663 WVJ196621:WVK196663 D262157:D262199 IX262157:IY262199 ST262157:SU262199 ACP262157:ACQ262199 AML262157:AMM262199 AWH262157:AWI262199 BGD262157:BGE262199 BPZ262157:BQA262199 BZV262157:BZW262199 CJR262157:CJS262199 CTN262157:CTO262199 DDJ262157:DDK262199 DNF262157:DNG262199 DXB262157:DXC262199 EGX262157:EGY262199 EQT262157:EQU262199 FAP262157:FAQ262199 FKL262157:FKM262199 FUH262157:FUI262199 GED262157:GEE262199 GNZ262157:GOA262199 GXV262157:GXW262199 HHR262157:HHS262199 HRN262157:HRO262199 IBJ262157:IBK262199 ILF262157:ILG262199 IVB262157:IVC262199 JEX262157:JEY262199 JOT262157:JOU262199 JYP262157:JYQ262199 KIL262157:KIM262199 KSH262157:KSI262199 LCD262157:LCE262199 LLZ262157:LMA262199 LVV262157:LVW262199 MFR262157:MFS262199 MPN262157:MPO262199 MZJ262157:MZK262199 NJF262157:NJG262199 NTB262157:NTC262199 OCX262157:OCY262199 OMT262157:OMU262199 OWP262157:OWQ262199 PGL262157:PGM262199 PQH262157:PQI262199 QAD262157:QAE262199 QJZ262157:QKA262199 QTV262157:QTW262199 RDR262157:RDS262199 RNN262157:RNO262199 RXJ262157:RXK262199 SHF262157:SHG262199 SRB262157:SRC262199 TAX262157:TAY262199 TKT262157:TKU262199 TUP262157:TUQ262199 UEL262157:UEM262199 UOH262157:UOI262199 UYD262157:UYE262199 VHZ262157:VIA262199 VRV262157:VRW262199 WBR262157:WBS262199 WLN262157:WLO262199 WVJ262157:WVK262199 D327693:D327735 IX327693:IY327735 ST327693:SU327735 ACP327693:ACQ327735 AML327693:AMM327735 AWH327693:AWI327735 BGD327693:BGE327735 BPZ327693:BQA327735 BZV327693:BZW327735 CJR327693:CJS327735 CTN327693:CTO327735 DDJ327693:DDK327735 DNF327693:DNG327735 DXB327693:DXC327735 EGX327693:EGY327735 EQT327693:EQU327735 FAP327693:FAQ327735 FKL327693:FKM327735 FUH327693:FUI327735 GED327693:GEE327735 GNZ327693:GOA327735 GXV327693:GXW327735 HHR327693:HHS327735 HRN327693:HRO327735 IBJ327693:IBK327735 ILF327693:ILG327735 IVB327693:IVC327735 JEX327693:JEY327735 JOT327693:JOU327735 JYP327693:JYQ327735 KIL327693:KIM327735 KSH327693:KSI327735 LCD327693:LCE327735 LLZ327693:LMA327735 LVV327693:LVW327735 MFR327693:MFS327735 MPN327693:MPO327735 MZJ327693:MZK327735 NJF327693:NJG327735 NTB327693:NTC327735 OCX327693:OCY327735 OMT327693:OMU327735 OWP327693:OWQ327735 PGL327693:PGM327735 PQH327693:PQI327735 QAD327693:QAE327735 QJZ327693:QKA327735 QTV327693:QTW327735 RDR327693:RDS327735 RNN327693:RNO327735 RXJ327693:RXK327735 SHF327693:SHG327735 SRB327693:SRC327735 TAX327693:TAY327735 TKT327693:TKU327735 TUP327693:TUQ327735 UEL327693:UEM327735 UOH327693:UOI327735 UYD327693:UYE327735 VHZ327693:VIA327735 VRV327693:VRW327735 WBR327693:WBS327735 WLN327693:WLO327735 WVJ327693:WVK327735 D393229:D393271 IX393229:IY393271 ST393229:SU393271 ACP393229:ACQ393271 AML393229:AMM393271 AWH393229:AWI393271 BGD393229:BGE393271 BPZ393229:BQA393271 BZV393229:BZW393271 CJR393229:CJS393271 CTN393229:CTO393271 DDJ393229:DDK393271 DNF393229:DNG393271 DXB393229:DXC393271 EGX393229:EGY393271 EQT393229:EQU393271 FAP393229:FAQ393271 FKL393229:FKM393271 FUH393229:FUI393271 GED393229:GEE393271 GNZ393229:GOA393271 GXV393229:GXW393271 HHR393229:HHS393271 HRN393229:HRO393271 IBJ393229:IBK393271 ILF393229:ILG393271 IVB393229:IVC393271 JEX393229:JEY393271 JOT393229:JOU393271 JYP393229:JYQ393271 KIL393229:KIM393271 KSH393229:KSI393271 LCD393229:LCE393271 LLZ393229:LMA393271 LVV393229:LVW393271 MFR393229:MFS393271 MPN393229:MPO393271 MZJ393229:MZK393271 NJF393229:NJG393271 NTB393229:NTC393271 OCX393229:OCY393271 OMT393229:OMU393271 OWP393229:OWQ393271 PGL393229:PGM393271 PQH393229:PQI393271 QAD393229:QAE393271 QJZ393229:QKA393271 QTV393229:QTW393271 RDR393229:RDS393271 RNN393229:RNO393271 RXJ393229:RXK393271 SHF393229:SHG393271 SRB393229:SRC393271 TAX393229:TAY393271 TKT393229:TKU393271 TUP393229:TUQ393271 UEL393229:UEM393271 UOH393229:UOI393271 UYD393229:UYE393271 VHZ393229:VIA393271 VRV393229:VRW393271 WBR393229:WBS393271 WLN393229:WLO393271 WVJ393229:WVK393271 D458765:D458807 IX458765:IY458807 ST458765:SU458807 ACP458765:ACQ458807 AML458765:AMM458807 AWH458765:AWI458807 BGD458765:BGE458807 BPZ458765:BQA458807 BZV458765:BZW458807 CJR458765:CJS458807 CTN458765:CTO458807 DDJ458765:DDK458807 DNF458765:DNG458807 DXB458765:DXC458807 EGX458765:EGY458807 EQT458765:EQU458807 FAP458765:FAQ458807 FKL458765:FKM458807 FUH458765:FUI458807 GED458765:GEE458807 GNZ458765:GOA458807 GXV458765:GXW458807 HHR458765:HHS458807 HRN458765:HRO458807 IBJ458765:IBK458807 ILF458765:ILG458807 IVB458765:IVC458807 JEX458765:JEY458807 JOT458765:JOU458807 JYP458765:JYQ458807 KIL458765:KIM458807 KSH458765:KSI458807 LCD458765:LCE458807 LLZ458765:LMA458807 LVV458765:LVW458807 MFR458765:MFS458807 MPN458765:MPO458807 MZJ458765:MZK458807 NJF458765:NJG458807 NTB458765:NTC458807 OCX458765:OCY458807 OMT458765:OMU458807 OWP458765:OWQ458807 PGL458765:PGM458807 PQH458765:PQI458807 QAD458765:QAE458807 QJZ458765:QKA458807 QTV458765:QTW458807 RDR458765:RDS458807 RNN458765:RNO458807 RXJ458765:RXK458807 SHF458765:SHG458807 SRB458765:SRC458807 TAX458765:TAY458807 TKT458765:TKU458807 TUP458765:TUQ458807 UEL458765:UEM458807 UOH458765:UOI458807 UYD458765:UYE458807 VHZ458765:VIA458807 VRV458765:VRW458807 WBR458765:WBS458807 WLN458765:WLO458807 WVJ458765:WVK458807 D524301:D524343 IX524301:IY524343 ST524301:SU524343 ACP524301:ACQ524343 AML524301:AMM524343 AWH524301:AWI524343 BGD524301:BGE524343 BPZ524301:BQA524343 BZV524301:BZW524343 CJR524301:CJS524343 CTN524301:CTO524343 DDJ524301:DDK524343 DNF524301:DNG524343 DXB524301:DXC524343 EGX524301:EGY524343 EQT524301:EQU524343 FAP524301:FAQ524343 FKL524301:FKM524343 FUH524301:FUI524343 GED524301:GEE524343 GNZ524301:GOA524343 GXV524301:GXW524343 HHR524301:HHS524343 HRN524301:HRO524343 IBJ524301:IBK524343 ILF524301:ILG524343 IVB524301:IVC524343 JEX524301:JEY524343 JOT524301:JOU524343 JYP524301:JYQ524343 KIL524301:KIM524343 KSH524301:KSI524343 LCD524301:LCE524343 LLZ524301:LMA524343 LVV524301:LVW524343 MFR524301:MFS524343 MPN524301:MPO524343 MZJ524301:MZK524343 NJF524301:NJG524343 NTB524301:NTC524343 OCX524301:OCY524343 OMT524301:OMU524343 OWP524301:OWQ524343 PGL524301:PGM524343 PQH524301:PQI524343 QAD524301:QAE524343 QJZ524301:QKA524343 QTV524301:QTW524343 RDR524301:RDS524343 RNN524301:RNO524343 RXJ524301:RXK524343 SHF524301:SHG524343 SRB524301:SRC524343 TAX524301:TAY524343 TKT524301:TKU524343 TUP524301:TUQ524343 UEL524301:UEM524343 UOH524301:UOI524343 UYD524301:UYE524343 VHZ524301:VIA524343 VRV524301:VRW524343 WBR524301:WBS524343 WLN524301:WLO524343 WVJ524301:WVK524343 D589837:D589879 IX589837:IY589879 ST589837:SU589879 ACP589837:ACQ589879 AML589837:AMM589879 AWH589837:AWI589879 BGD589837:BGE589879 BPZ589837:BQA589879 BZV589837:BZW589879 CJR589837:CJS589879 CTN589837:CTO589879 DDJ589837:DDK589879 DNF589837:DNG589879 DXB589837:DXC589879 EGX589837:EGY589879 EQT589837:EQU589879 FAP589837:FAQ589879 FKL589837:FKM589879 FUH589837:FUI589879 GED589837:GEE589879 GNZ589837:GOA589879 GXV589837:GXW589879 HHR589837:HHS589879 HRN589837:HRO589879 IBJ589837:IBK589879 ILF589837:ILG589879 IVB589837:IVC589879 JEX589837:JEY589879 JOT589837:JOU589879 JYP589837:JYQ589879 KIL589837:KIM589879 KSH589837:KSI589879 LCD589837:LCE589879 LLZ589837:LMA589879 LVV589837:LVW589879 MFR589837:MFS589879 MPN589837:MPO589879 MZJ589837:MZK589879 NJF589837:NJG589879 NTB589837:NTC589879 OCX589837:OCY589879 OMT589837:OMU589879 OWP589837:OWQ589879 PGL589837:PGM589879 PQH589837:PQI589879 QAD589837:QAE589879 QJZ589837:QKA589879 QTV589837:QTW589879 RDR589837:RDS589879 RNN589837:RNO589879 RXJ589837:RXK589879 SHF589837:SHG589879 SRB589837:SRC589879 TAX589837:TAY589879 TKT589837:TKU589879 TUP589837:TUQ589879 UEL589837:UEM589879 UOH589837:UOI589879 UYD589837:UYE589879 VHZ589837:VIA589879 VRV589837:VRW589879 WBR589837:WBS589879 WLN589837:WLO589879 WVJ589837:WVK589879 D655373:D655415 IX655373:IY655415 ST655373:SU655415 ACP655373:ACQ655415 AML655373:AMM655415 AWH655373:AWI655415 BGD655373:BGE655415 BPZ655373:BQA655415 BZV655373:BZW655415 CJR655373:CJS655415 CTN655373:CTO655415 DDJ655373:DDK655415 DNF655373:DNG655415 DXB655373:DXC655415 EGX655373:EGY655415 EQT655373:EQU655415 FAP655373:FAQ655415 FKL655373:FKM655415 FUH655373:FUI655415 GED655373:GEE655415 GNZ655373:GOA655415 GXV655373:GXW655415 HHR655373:HHS655415 HRN655373:HRO655415 IBJ655373:IBK655415 ILF655373:ILG655415 IVB655373:IVC655415 JEX655373:JEY655415 JOT655373:JOU655415 JYP655373:JYQ655415 KIL655373:KIM655415 KSH655373:KSI655415 LCD655373:LCE655415 LLZ655373:LMA655415 LVV655373:LVW655415 MFR655373:MFS655415 MPN655373:MPO655415 MZJ655373:MZK655415 NJF655373:NJG655415 NTB655373:NTC655415 OCX655373:OCY655415 OMT655373:OMU655415 OWP655373:OWQ655415 PGL655373:PGM655415 PQH655373:PQI655415 QAD655373:QAE655415 QJZ655373:QKA655415 QTV655373:QTW655415 RDR655373:RDS655415 RNN655373:RNO655415 RXJ655373:RXK655415 SHF655373:SHG655415 SRB655373:SRC655415 TAX655373:TAY655415 TKT655373:TKU655415 TUP655373:TUQ655415 UEL655373:UEM655415 UOH655373:UOI655415 UYD655373:UYE655415 VHZ655373:VIA655415 VRV655373:VRW655415 WBR655373:WBS655415 WLN655373:WLO655415 WVJ655373:WVK655415 D720909:D720951 IX720909:IY720951 ST720909:SU720951 ACP720909:ACQ720951 AML720909:AMM720951 AWH720909:AWI720951 BGD720909:BGE720951 BPZ720909:BQA720951 BZV720909:BZW720951 CJR720909:CJS720951 CTN720909:CTO720951 DDJ720909:DDK720951 DNF720909:DNG720951 DXB720909:DXC720951 EGX720909:EGY720951 EQT720909:EQU720951 FAP720909:FAQ720951 FKL720909:FKM720951 FUH720909:FUI720951 GED720909:GEE720951 GNZ720909:GOA720951 GXV720909:GXW720951 HHR720909:HHS720951 HRN720909:HRO720951 IBJ720909:IBK720951 ILF720909:ILG720951 IVB720909:IVC720951 JEX720909:JEY720951 JOT720909:JOU720951 JYP720909:JYQ720951 KIL720909:KIM720951 KSH720909:KSI720951 LCD720909:LCE720951 LLZ720909:LMA720951 LVV720909:LVW720951 MFR720909:MFS720951 MPN720909:MPO720951 MZJ720909:MZK720951 NJF720909:NJG720951 NTB720909:NTC720951 OCX720909:OCY720951 OMT720909:OMU720951 OWP720909:OWQ720951 PGL720909:PGM720951 PQH720909:PQI720951 QAD720909:QAE720951 QJZ720909:QKA720951 QTV720909:QTW720951 RDR720909:RDS720951 RNN720909:RNO720951 RXJ720909:RXK720951 SHF720909:SHG720951 SRB720909:SRC720951 TAX720909:TAY720951 TKT720909:TKU720951 TUP720909:TUQ720951 UEL720909:UEM720951 UOH720909:UOI720951 UYD720909:UYE720951 VHZ720909:VIA720951 VRV720909:VRW720951 WBR720909:WBS720951 WLN720909:WLO720951 WVJ720909:WVK720951 D786445:D786487 IX786445:IY786487 ST786445:SU786487 ACP786445:ACQ786487 AML786445:AMM786487 AWH786445:AWI786487 BGD786445:BGE786487 BPZ786445:BQA786487 BZV786445:BZW786487 CJR786445:CJS786487 CTN786445:CTO786487 DDJ786445:DDK786487 DNF786445:DNG786487 DXB786445:DXC786487 EGX786445:EGY786487 EQT786445:EQU786487 FAP786445:FAQ786487 FKL786445:FKM786487 FUH786445:FUI786487 GED786445:GEE786487 GNZ786445:GOA786487 GXV786445:GXW786487 HHR786445:HHS786487 HRN786445:HRO786487 IBJ786445:IBK786487 ILF786445:ILG786487 IVB786445:IVC786487 JEX786445:JEY786487 JOT786445:JOU786487 JYP786445:JYQ786487 KIL786445:KIM786487 KSH786445:KSI786487 LCD786445:LCE786487 LLZ786445:LMA786487 LVV786445:LVW786487 MFR786445:MFS786487 MPN786445:MPO786487 MZJ786445:MZK786487 NJF786445:NJG786487 NTB786445:NTC786487 OCX786445:OCY786487 OMT786445:OMU786487 OWP786445:OWQ786487 PGL786445:PGM786487 PQH786445:PQI786487 QAD786445:QAE786487 QJZ786445:QKA786487 QTV786445:QTW786487 RDR786445:RDS786487 RNN786445:RNO786487 RXJ786445:RXK786487 SHF786445:SHG786487 SRB786445:SRC786487 TAX786445:TAY786487 TKT786445:TKU786487 TUP786445:TUQ786487 UEL786445:UEM786487 UOH786445:UOI786487 UYD786445:UYE786487 VHZ786445:VIA786487 VRV786445:VRW786487 WBR786445:WBS786487 WLN786445:WLO786487 WVJ786445:WVK786487 D851981:D852023 IX851981:IY852023 ST851981:SU852023 ACP851981:ACQ852023 AML851981:AMM852023 AWH851981:AWI852023 BGD851981:BGE852023 BPZ851981:BQA852023 BZV851981:BZW852023 CJR851981:CJS852023 CTN851981:CTO852023 DDJ851981:DDK852023 DNF851981:DNG852023 DXB851981:DXC852023 EGX851981:EGY852023 EQT851981:EQU852023 FAP851981:FAQ852023 FKL851981:FKM852023 FUH851981:FUI852023 GED851981:GEE852023 GNZ851981:GOA852023 GXV851981:GXW852023 HHR851981:HHS852023 HRN851981:HRO852023 IBJ851981:IBK852023 ILF851981:ILG852023 IVB851981:IVC852023 JEX851981:JEY852023 JOT851981:JOU852023 JYP851981:JYQ852023 KIL851981:KIM852023 KSH851981:KSI852023 LCD851981:LCE852023 LLZ851981:LMA852023 LVV851981:LVW852023 MFR851981:MFS852023 MPN851981:MPO852023 MZJ851981:MZK852023 NJF851981:NJG852023 NTB851981:NTC852023 OCX851981:OCY852023 OMT851981:OMU852023 OWP851981:OWQ852023 PGL851981:PGM852023 PQH851981:PQI852023 QAD851981:QAE852023 QJZ851981:QKA852023 QTV851981:QTW852023 RDR851981:RDS852023 RNN851981:RNO852023 RXJ851981:RXK852023 SHF851981:SHG852023 SRB851981:SRC852023 TAX851981:TAY852023 TKT851981:TKU852023 TUP851981:TUQ852023 UEL851981:UEM852023 UOH851981:UOI852023 UYD851981:UYE852023 VHZ851981:VIA852023 VRV851981:VRW852023 WBR851981:WBS852023 WLN851981:WLO852023 WVJ851981:WVK852023 D917517:D917559 IX917517:IY917559 ST917517:SU917559 ACP917517:ACQ917559 AML917517:AMM917559 AWH917517:AWI917559 BGD917517:BGE917559 BPZ917517:BQA917559 BZV917517:BZW917559 CJR917517:CJS917559 CTN917517:CTO917559 DDJ917517:DDK917559 DNF917517:DNG917559 DXB917517:DXC917559 EGX917517:EGY917559 EQT917517:EQU917559 FAP917517:FAQ917559 FKL917517:FKM917559 FUH917517:FUI917559 GED917517:GEE917559 GNZ917517:GOA917559 GXV917517:GXW917559 HHR917517:HHS917559 HRN917517:HRO917559 IBJ917517:IBK917559 ILF917517:ILG917559 IVB917517:IVC917559 JEX917517:JEY917559 JOT917517:JOU917559 JYP917517:JYQ917559 KIL917517:KIM917559 KSH917517:KSI917559 LCD917517:LCE917559 LLZ917517:LMA917559 LVV917517:LVW917559 MFR917517:MFS917559 MPN917517:MPO917559 MZJ917517:MZK917559 NJF917517:NJG917559 NTB917517:NTC917559 OCX917517:OCY917559 OMT917517:OMU917559 OWP917517:OWQ917559 PGL917517:PGM917559 PQH917517:PQI917559 QAD917517:QAE917559 QJZ917517:QKA917559 QTV917517:QTW917559 RDR917517:RDS917559 RNN917517:RNO917559 RXJ917517:RXK917559 SHF917517:SHG917559 SRB917517:SRC917559 TAX917517:TAY917559 TKT917517:TKU917559 TUP917517:TUQ917559 UEL917517:UEM917559 UOH917517:UOI917559 UYD917517:UYE917559 VHZ917517:VIA917559 VRV917517:VRW917559 WBR917517:WBS917559 WLN917517:WLO917559 WVJ917517:WVK917559 D983053:D983095 IX983053:IY983095 ST983053:SU983095 ACP983053:ACQ983095 AML983053:AMM983095 AWH983053:AWI983095 BGD983053:BGE983095 BPZ983053:BQA983095 BZV983053:BZW983095 CJR983053:CJS983095 CTN983053:CTO983095 DDJ983053:DDK983095 DNF983053:DNG983095 DXB983053:DXC983095 EGX983053:EGY983095 EQT983053:EQU983095 FAP983053:FAQ983095 FKL983053:FKM983095 FUH983053:FUI983095 GED983053:GEE983095 GNZ983053:GOA983095 GXV983053:GXW983095 HHR983053:HHS983095 HRN983053:HRO983095 IBJ983053:IBK983095 ILF983053:ILG983095 IVB983053:IVC983095 JEX983053:JEY983095 JOT983053:JOU983095 JYP983053:JYQ983095 KIL983053:KIM983095 KSH983053:KSI983095 LCD983053:LCE983095 LLZ983053:LMA983095 LVV983053:LVW983095 MFR983053:MFS983095 MPN983053:MPO983095 MZJ983053:MZK983095 NJF983053:NJG983095 NTB983053:NTC983095 OCX983053:OCY983095 OMT983053:OMU983095 OWP983053:OWQ983095 PGL983053:PGM983095 PQH983053:PQI983095 QAD983053:QAE983095 QJZ983053:QKA983095 QTV983053:QTW983095 RDR983053:RDS983095 RNN983053:RNO983095 RXJ983053:RXK983095 SHF983053:SHG983095 SRB983053:SRC983095 TAX983053:TAY983095 TKT983053:TKU983095 TUP983053:TUQ983095 UEL983053:UEM983095 UOH983053:UOI983095 UYD983053:UYE983095 VHZ983053:VIA983095 VRV983053:VRW983095 WBR983053:WBS983095 WLN983053:WLO983095 WVJ983053:WVK983095">
      <formula1>OR(D7=0, D7&gt;50)</formula1>
    </dataValidation>
    <dataValidation type="whole" allowBlank="1" showErrorMessage="1" errorTitle="Error de datos" error="Debe ingresar un valor entre 1 y 12" sqref="G1:G3 JB1:JB3 SX1:SX3 ACT1:ACT3 AMP1:AMP3 AWL1:AWL3 BGH1:BGH3 BQD1:BQD3 BZZ1:BZZ3 CJV1:CJV3 CTR1:CTR3 DDN1:DDN3 DNJ1:DNJ3 DXF1:DXF3 EHB1:EHB3 EQX1:EQX3 FAT1:FAT3 FKP1:FKP3 FUL1:FUL3 GEH1:GEH3 GOD1:GOD3 GXZ1:GXZ3 HHV1:HHV3 HRR1:HRR3 IBN1:IBN3 ILJ1:ILJ3 IVF1:IVF3 JFB1:JFB3 JOX1:JOX3 JYT1:JYT3 KIP1:KIP3 KSL1:KSL3 LCH1:LCH3 LMD1:LMD3 LVZ1:LVZ3 MFV1:MFV3 MPR1:MPR3 MZN1:MZN3 NJJ1:NJJ3 NTF1:NTF3 ODB1:ODB3 OMX1:OMX3 OWT1:OWT3 PGP1:PGP3 PQL1:PQL3 QAH1:QAH3 QKD1:QKD3 QTZ1:QTZ3 RDV1:RDV3 RNR1:RNR3 RXN1:RXN3 SHJ1:SHJ3 SRF1:SRF3 TBB1:TBB3 TKX1:TKX3 TUT1:TUT3 UEP1:UEP3 UOL1:UOL3 UYH1:UYH3 VID1:VID3 VRZ1:VRZ3 WBV1:WBV3 WLR1:WLR3 WVN1:WVN3 G65537:G65539 JB65537:JB65539 SX65537:SX65539 ACT65537:ACT65539 AMP65537:AMP65539 AWL65537:AWL65539 BGH65537:BGH65539 BQD65537:BQD65539 BZZ65537:BZZ65539 CJV65537:CJV65539 CTR65537:CTR65539 DDN65537:DDN65539 DNJ65537:DNJ65539 DXF65537:DXF65539 EHB65537:EHB65539 EQX65537:EQX65539 FAT65537:FAT65539 FKP65537:FKP65539 FUL65537:FUL65539 GEH65537:GEH65539 GOD65537:GOD65539 GXZ65537:GXZ65539 HHV65537:HHV65539 HRR65537:HRR65539 IBN65537:IBN65539 ILJ65537:ILJ65539 IVF65537:IVF65539 JFB65537:JFB65539 JOX65537:JOX65539 JYT65537:JYT65539 KIP65537:KIP65539 KSL65537:KSL65539 LCH65537:LCH65539 LMD65537:LMD65539 LVZ65537:LVZ65539 MFV65537:MFV65539 MPR65537:MPR65539 MZN65537:MZN65539 NJJ65537:NJJ65539 NTF65537:NTF65539 ODB65537:ODB65539 OMX65537:OMX65539 OWT65537:OWT65539 PGP65537:PGP65539 PQL65537:PQL65539 QAH65537:QAH65539 QKD65537:QKD65539 QTZ65537:QTZ65539 RDV65537:RDV65539 RNR65537:RNR65539 RXN65537:RXN65539 SHJ65537:SHJ65539 SRF65537:SRF65539 TBB65537:TBB65539 TKX65537:TKX65539 TUT65537:TUT65539 UEP65537:UEP65539 UOL65537:UOL65539 UYH65537:UYH65539 VID65537:VID65539 VRZ65537:VRZ65539 WBV65537:WBV65539 WLR65537:WLR65539 WVN65537:WVN65539 G131073:G131075 JB131073:JB131075 SX131073:SX131075 ACT131073:ACT131075 AMP131073:AMP131075 AWL131073:AWL131075 BGH131073:BGH131075 BQD131073:BQD131075 BZZ131073:BZZ131075 CJV131073:CJV131075 CTR131073:CTR131075 DDN131073:DDN131075 DNJ131073:DNJ131075 DXF131073:DXF131075 EHB131073:EHB131075 EQX131073:EQX131075 FAT131073:FAT131075 FKP131073:FKP131075 FUL131073:FUL131075 GEH131073:GEH131075 GOD131073:GOD131075 GXZ131073:GXZ131075 HHV131073:HHV131075 HRR131073:HRR131075 IBN131073:IBN131075 ILJ131073:ILJ131075 IVF131073:IVF131075 JFB131073:JFB131075 JOX131073:JOX131075 JYT131073:JYT131075 KIP131073:KIP131075 KSL131073:KSL131075 LCH131073:LCH131075 LMD131073:LMD131075 LVZ131073:LVZ131075 MFV131073:MFV131075 MPR131073:MPR131075 MZN131073:MZN131075 NJJ131073:NJJ131075 NTF131073:NTF131075 ODB131073:ODB131075 OMX131073:OMX131075 OWT131073:OWT131075 PGP131073:PGP131075 PQL131073:PQL131075 QAH131073:QAH131075 QKD131073:QKD131075 QTZ131073:QTZ131075 RDV131073:RDV131075 RNR131073:RNR131075 RXN131073:RXN131075 SHJ131073:SHJ131075 SRF131073:SRF131075 TBB131073:TBB131075 TKX131073:TKX131075 TUT131073:TUT131075 UEP131073:UEP131075 UOL131073:UOL131075 UYH131073:UYH131075 VID131073:VID131075 VRZ131073:VRZ131075 WBV131073:WBV131075 WLR131073:WLR131075 WVN131073:WVN131075 G196609:G196611 JB196609:JB196611 SX196609:SX196611 ACT196609:ACT196611 AMP196609:AMP196611 AWL196609:AWL196611 BGH196609:BGH196611 BQD196609:BQD196611 BZZ196609:BZZ196611 CJV196609:CJV196611 CTR196609:CTR196611 DDN196609:DDN196611 DNJ196609:DNJ196611 DXF196609:DXF196611 EHB196609:EHB196611 EQX196609:EQX196611 FAT196609:FAT196611 FKP196609:FKP196611 FUL196609:FUL196611 GEH196609:GEH196611 GOD196609:GOD196611 GXZ196609:GXZ196611 HHV196609:HHV196611 HRR196609:HRR196611 IBN196609:IBN196611 ILJ196609:ILJ196611 IVF196609:IVF196611 JFB196609:JFB196611 JOX196609:JOX196611 JYT196609:JYT196611 KIP196609:KIP196611 KSL196609:KSL196611 LCH196609:LCH196611 LMD196609:LMD196611 LVZ196609:LVZ196611 MFV196609:MFV196611 MPR196609:MPR196611 MZN196609:MZN196611 NJJ196609:NJJ196611 NTF196609:NTF196611 ODB196609:ODB196611 OMX196609:OMX196611 OWT196609:OWT196611 PGP196609:PGP196611 PQL196609:PQL196611 QAH196609:QAH196611 QKD196609:QKD196611 QTZ196609:QTZ196611 RDV196609:RDV196611 RNR196609:RNR196611 RXN196609:RXN196611 SHJ196609:SHJ196611 SRF196609:SRF196611 TBB196609:TBB196611 TKX196609:TKX196611 TUT196609:TUT196611 UEP196609:UEP196611 UOL196609:UOL196611 UYH196609:UYH196611 VID196609:VID196611 VRZ196609:VRZ196611 WBV196609:WBV196611 WLR196609:WLR196611 WVN196609:WVN196611 G262145:G262147 JB262145:JB262147 SX262145:SX262147 ACT262145:ACT262147 AMP262145:AMP262147 AWL262145:AWL262147 BGH262145:BGH262147 BQD262145:BQD262147 BZZ262145:BZZ262147 CJV262145:CJV262147 CTR262145:CTR262147 DDN262145:DDN262147 DNJ262145:DNJ262147 DXF262145:DXF262147 EHB262145:EHB262147 EQX262145:EQX262147 FAT262145:FAT262147 FKP262145:FKP262147 FUL262145:FUL262147 GEH262145:GEH262147 GOD262145:GOD262147 GXZ262145:GXZ262147 HHV262145:HHV262147 HRR262145:HRR262147 IBN262145:IBN262147 ILJ262145:ILJ262147 IVF262145:IVF262147 JFB262145:JFB262147 JOX262145:JOX262147 JYT262145:JYT262147 KIP262145:KIP262147 KSL262145:KSL262147 LCH262145:LCH262147 LMD262145:LMD262147 LVZ262145:LVZ262147 MFV262145:MFV262147 MPR262145:MPR262147 MZN262145:MZN262147 NJJ262145:NJJ262147 NTF262145:NTF262147 ODB262145:ODB262147 OMX262145:OMX262147 OWT262145:OWT262147 PGP262145:PGP262147 PQL262145:PQL262147 QAH262145:QAH262147 QKD262145:QKD262147 QTZ262145:QTZ262147 RDV262145:RDV262147 RNR262145:RNR262147 RXN262145:RXN262147 SHJ262145:SHJ262147 SRF262145:SRF262147 TBB262145:TBB262147 TKX262145:TKX262147 TUT262145:TUT262147 UEP262145:UEP262147 UOL262145:UOL262147 UYH262145:UYH262147 VID262145:VID262147 VRZ262145:VRZ262147 WBV262145:WBV262147 WLR262145:WLR262147 WVN262145:WVN262147 G327681:G327683 JB327681:JB327683 SX327681:SX327683 ACT327681:ACT327683 AMP327681:AMP327683 AWL327681:AWL327683 BGH327681:BGH327683 BQD327681:BQD327683 BZZ327681:BZZ327683 CJV327681:CJV327683 CTR327681:CTR327683 DDN327681:DDN327683 DNJ327681:DNJ327683 DXF327681:DXF327683 EHB327681:EHB327683 EQX327681:EQX327683 FAT327681:FAT327683 FKP327681:FKP327683 FUL327681:FUL327683 GEH327681:GEH327683 GOD327681:GOD327683 GXZ327681:GXZ327683 HHV327681:HHV327683 HRR327681:HRR327683 IBN327681:IBN327683 ILJ327681:ILJ327683 IVF327681:IVF327683 JFB327681:JFB327683 JOX327681:JOX327683 JYT327681:JYT327683 KIP327681:KIP327683 KSL327681:KSL327683 LCH327681:LCH327683 LMD327681:LMD327683 LVZ327681:LVZ327683 MFV327681:MFV327683 MPR327681:MPR327683 MZN327681:MZN327683 NJJ327681:NJJ327683 NTF327681:NTF327683 ODB327681:ODB327683 OMX327681:OMX327683 OWT327681:OWT327683 PGP327681:PGP327683 PQL327681:PQL327683 QAH327681:QAH327683 QKD327681:QKD327683 QTZ327681:QTZ327683 RDV327681:RDV327683 RNR327681:RNR327683 RXN327681:RXN327683 SHJ327681:SHJ327683 SRF327681:SRF327683 TBB327681:TBB327683 TKX327681:TKX327683 TUT327681:TUT327683 UEP327681:UEP327683 UOL327681:UOL327683 UYH327681:UYH327683 VID327681:VID327683 VRZ327681:VRZ327683 WBV327681:WBV327683 WLR327681:WLR327683 WVN327681:WVN327683 G393217:G393219 JB393217:JB393219 SX393217:SX393219 ACT393217:ACT393219 AMP393217:AMP393219 AWL393217:AWL393219 BGH393217:BGH393219 BQD393217:BQD393219 BZZ393217:BZZ393219 CJV393217:CJV393219 CTR393217:CTR393219 DDN393217:DDN393219 DNJ393217:DNJ393219 DXF393217:DXF393219 EHB393217:EHB393219 EQX393217:EQX393219 FAT393217:FAT393219 FKP393217:FKP393219 FUL393217:FUL393219 GEH393217:GEH393219 GOD393217:GOD393219 GXZ393217:GXZ393219 HHV393217:HHV393219 HRR393217:HRR393219 IBN393217:IBN393219 ILJ393217:ILJ393219 IVF393217:IVF393219 JFB393217:JFB393219 JOX393217:JOX393219 JYT393217:JYT393219 KIP393217:KIP393219 KSL393217:KSL393219 LCH393217:LCH393219 LMD393217:LMD393219 LVZ393217:LVZ393219 MFV393217:MFV393219 MPR393217:MPR393219 MZN393217:MZN393219 NJJ393217:NJJ393219 NTF393217:NTF393219 ODB393217:ODB393219 OMX393217:OMX393219 OWT393217:OWT393219 PGP393217:PGP393219 PQL393217:PQL393219 QAH393217:QAH393219 QKD393217:QKD393219 QTZ393217:QTZ393219 RDV393217:RDV393219 RNR393217:RNR393219 RXN393217:RXN393219 SHJ393217:SHJ393219 SRF393217:SRF393219 TBB393217:TBB393219 TKX393217:TKX393219 TUT393217:TUT393219 UEP393217:UEP393219 UOL393217:UOL393219 UYH393217:UYH393219 VID393217:VID393219 VRZ393217:VRZ393219 WBV393217:WBV393219 WLR393217:WLR393219 WVN393217:WVN393219 G458753:G458755 JB458753:JB458755 SX458753:SX458755 ACT458753:ACT458755 AMP458753:AMP458755 AWL458753:AWL458755 BGH458753:BGH458755 BQD458753:BQD458755 BZZ458753:BZZ458755 CJV458753:CJV458755 CTR458753:CTR458755 DDN458753:DDN458755 DNJ458753:DNJ458755 DXF458753:DXF458755 EHB458753:EHB458755 EQX458753:EQX458755 FAT458753:FAT458755 FKP458753:FKP458755 FUL458753:FUL458755 GEH458753:GEH458755 GOD458753:GOD458755 GXZ458753:GXZ458755 HHV458753:HHV458755 HRR458753:HRR458755 IBN458753:IBN458755 ILJ458753:ILJ458755 IVF458753:IVF458755 JFB458753:JFB458755 JOX458753:JOX458755 JYT458753:JYT458755 KIP458753:KIP458755 KSL458753:KSL458755 LCH458753:LCH458755 LMD458753:LMD458755 LVZ458753:LVZ458755 MFV458753:MFV458755 MPR458753:MPR458755 MZN458753:MZN458755 NJJ458753:NJJ458755 NTF458753:NTF458755 ODB458753:ODB458755 OMX458753:OMX458755 OWT458753:OWT458755 PGP458753:PGP458755 PQL458753:PQL458755 QAH458753:QAH458755 QKD458753:QKD458755 QTZ458753:QTZ458755 RDV458753:RDV458755 RNR458753:RNR458755 RXN458753:RXN458755 SHJ458753:SHJ458755 SRF458753:SRF458755 TBB458753:TBB458755 TKX458753:TKX458755 TUT458753:TUT458755 UEP458753:UEP458755 UOL458753:UOL458755 UYH458753:UYH458755 VID458753:VID458755 VRZ458753:VRZ458755 WBV458753:WBV458755 WLR458753:WLR458755 WVN458753:WVN458755 G524289:G524291 JB524289:JB524291 SX524289:SX524291 ACT524289:ACT524291 AMP524289:AMP524291 AWL524289:AWL524291 BGH524289:BGH524291 BQD524289:BQD524291 BZZ524289:BZZ524291 CJV524289:CJV524291 CTR524289:CTR524291 DDN524289:DDN524291 DNJ524289:DNJ524291 DXF524289:DXF524291 EHB524289:EHB524291 EQX524289:EQX524291 FAT524289:FAT524291 FKP524289:FKP524291 FUL524289:FUL524291 GEH524289:GEH524291 GOD524289:GOD524291 GXZ524289:GXZ524291 HHV524289:HHV524291 HRR524289:HRR524291 IBN524289:IBN524291 ILJ524289:ILJ524291 IVF524289:IVF524291 JFB524289:JFB524291 JOX524289:JOX524291 JYT524289:JYT524291 KIP524289:KIP524291 KSL524289:KSL524291 LCH524289:LCH524291 LMD524289:LMD524291 LVZ524289:LVZ524291 MFV524289:MFV524291 MPR524289:MPR524291 MZN524289:MZN524291 NJJ524289:NJJ524291 NTF524289:NTF524291 ODB524289:ODB524291 OMX524289:OMX524291 OWT524289:OWT524291 PGP524289:PGP524291 PQL524289:PQL524291 QAH524289:QAH524291 QKD524289:QKD524291 QTZ524289:QTZ524291 RDV524289:RDV524291 RNR524289:RNR524291 RXN524289:RXN524291 SHJ524289:SHJ524291 SRF524289:SRF524291 TBB524289:TBB524291 TKX524289:TKX524291 TUT524289:TUT524291 UEP524289:UEP524291 UOL524289:UOL524291 UYH524289:UYH524291 VID524289:VID524291 VRZ524289:VRZ524291 WBV524289:WBV524291 WLR524289:WLR524291 WVN524289:WVN524291 G589825:G589827 JB589825:JB589827 SX589825:SX589827 ACT589825:ACT589827 AMP589825:AMP589827 AWL589825:AWL589827 BGH589825:BGH589827 BQD589825:BQD589827 BZZ589825:BZZ589827 CJV589825:CJV589827 CTR589825:CTR589827 DDN589825:DDN589827 DNJ589825:DNJ589827 DXF589825:DXF589827 EHB589825:EHB589827 EQX589825:EQX589827 FAT589825:FAT589827 FKP589825:FKP589827 FUL589825:FUL589827 GEH589825:GEH589827 GOD589825:GOD589827 GXZ589825:GXZ589827 HHV589825:HHV589827 HRR589825:HRR589827 IBN589825:IBN589827 ILJ589825:ILJ589827 IVF589825:IVF589827 JFB589825:JFB589827 JOX589825:JOX589827 JYT589825:JYT589827 KIP589825:KIP589827 KSL589825:KSL589827 LCH589825:LCH589827 LMD589825:LMD589827 LVZ589825:LVZ589827 MFV589825:MFV589827 MPR589825:MPR589827 MZN589825:MZN589827 NJJ589825:NJJ589827 NTF589825:NTF589827 ODB589825:ODB589827 OMX589825:OMX589827 OWT589825:OWT589827 PGP589825:PGP589827 PQL589825:PQL589827 QAH589825:QAH589827 QKD589825:QKD589827 QTZ589825:QTZ589827 RDV589825:RDV589827 RNR589825:RNR589827 RXN589825:RXN589827 SHJ589825:SHJ589827 SRF589825:SRF589827 TBB589825:TBB589827 TKX589825:TKX589827 TUT589825:TUT589827 UEP589825:UEP589827 UOL589825:UOL589827 UYH589825:UYH589827 VID589825:VID589827 VRZ589825:VRZ589827 WBV589825:WBV589827 WLR589825:WLR589827 WVN589825:WVN589827 G655361:G655363 JB655361:JB655363 SX655361:SX655363 ACT655361:ACT655363 AMP655361:AMP655363 AWL655361:AWL655363 BGH655361:BGH655363 BQD655361:BQD655363 BZZ655361:BZZ655363 CJV655361:CJV655363 CTR655361:CTR655363 DDN655361:DDN655363 DNJ655361:DNJ655363 DXF655361:DXF655363 EHB655361:EHB655363 EQX655361:EQX655363 FAT655361:FAT655363 FKP655361:FKP655363 FUL655361:FUL655363 GEH655361:GEH655363 GOD655361:GOD655363 GXZ655361:GXZ655363 HHV655361:HHV655363 HRR655361:HRR655363 IBN655361:IBN655363 ILJ655361:ILJ655363 IVF655361:IVF655363 JFB655361:JFB655363 JOX655361:JOX655363 JYT655361:JYT655363 KIP655361:KIP655363 KSL655361:KSL655363 LCH655361:LCH655363 LMD655361:LMD655363 LVZ655361:LVZ655363 MFV655361:MFV655363 MPR655361:MPR655363 MZN655361:MZN655363 NJJ655361:NJJ655363 NTF655361:NTF655363 ODB655361:ODB655363 OMX655361:OMX655363 OWT655361:OWT655363 PGP655361:PGP655363 PQL655361:PQL655363 QAH655361:QAH655363 QKD655361:QKD655363 QTZ655361:QTZ655363 RDV655361:RDV655363 RNR655361:RNR655363 RXN655361:RXN655363 SHJ655361:SHJ655363 SRF655361:SRF655363 TBB655361:TBB655363 TKX655361:TKX655363 TUT655361:TUT655363 UEP655361:UEP655363 UOL655361:UOL655363 UYH655361:UYH655363 VID655361:VID655363 VRZ655361:VRZ655363 WBV655361:WBV655363 WLR655361:WLR655363 WVN655361:WVN655363 G720897:G720899 JB720897:JB720899 SX720897:SX720899 ACT720897:ACT720899 AMP720897:AMP720899 AWL720897:AWL720899 BGH720897:BGH720899 BQD720897:BQD720899 BZZ720897:BZZ720899 CJV720897:CJV720899 CTR720897:CTR720899 DDN720897:DDN720899 DNJ720897:DNJ720899 DXF720897:DXF720899 EHB720897:EHB720899 EQX720897:EQX720899 FAT720897:FAT720899 FKP720897:FKP720899 FUL720897:FUL720899 GEH720897:GEH720899 GOD720897:GOD720899 GXZ720897:GXZ720899 HHV720897:HHV720899 HRR720897:HRR720899 IBN720897:IBN720899 ILJ720897:ILJ720899 IVF720897:IVF720899 JFB720897:JFB720899 JOX720897:JOX720899 JYT720897:JYT720899 KIP720897:KIP720899 KSL720897:KSL720899 LCH720897:LCH720899 LMD720897:LMD720899 LVZ720897:LVZ720899 MFV720897:MFV720899 MPR720897:MPR720899 MZN720897:MZN720899 NJJ720897:NJJ720899 NTF720897:NTF720899 ODB720897:ODB720899 OMX720897:OMX720899 OWT720897:OWT720899 PGP720897:PGP720899 PQL720897:PQL720899 QAH720897:QAH720899 QKD720897:QKD720899 QTZ720897:QTZ720899 RDV720897:RDV720899 RNR720897:RNR720899 RXN720897:RXN720899 SHJ720897:SHJ720899 SRF720897:SRF720899 TBB720897:TBB720899 TKX720897:TKX720899 TUT720897:TUT720899 UEP720897:UEP720899 UOL720897:UOL720899 UYH720897:UYH720899 VID720897:VID720899 VRZ720897:VRZ720899 WBV720897:WBV720899 WLR720897:WLR720899 WVN720897:WVN720899 G786433:G786435 JB786433:JB786435 SX786433:SX786435 ACT786433:ACT786435 AMP786433:AMP786435 AWL786433:AWL786435 BGH786433:BGH786435 BQD786433:BQD786435 BZZ786433:BZZ786435 CJV786433:CJV786435 CTR786433:CTR786435 DDN786433:DDN786435 DNJ786433:DNJ786435 DXF786433:DXF786435 EHB786433:EHB786435 EQX786433:EQX786435 FAT786433:FAT786435 FKP786433:FKP786435 FUL786433:FUL786435 GEH786433:GEH786435 GOD786433:GOD786435 GXZ786433:GXZ786435 HHV786433:HHV786435 HRR786433:HRR786435 IBN786433:IBN786435 ILJ786433:ILJ786435 IVF786433:IVF786435 JFB786433:JFB786435 JOX786433:JOX786435 JYT786433:JYT786435 KIP786433:KIP786435 KSL786433:KSL786435 LCH786433:LCH786435 LMD786433:LMD786435 LVZ786433:LVZ786435 MFV786433:MFV786435 MPR786433:MPR786435 MZN786433:MZN786435 NJJ786433:NJJ786435 NTF786433:NTF786435 ODB786433:ODB786435 OMX786433:OMX786435 OWT786433:OWT786435 PGP786433:PGP786435 PQL786433:PQL786435 QAH786433:QAH786435 QKD786433:QKD786435 QTZ786433:QTZ786435 RDV786433:RDV786435 RNR786433:RNR786435 RXN786433:RXN786435 SHJ786433:SHJ786435 SRF786433:SRF786435 TBB786433:TBB786435 TKX786433:TKX786435 TUT786433:TUT786435 UEP786433:UEP786435 UOL786433:UOL786435 UYH786433:UYH786435 VID786433:VID786435 VRZ786433:VRZ786435 WBV786433:WBV786435 WLR786433:WLR786435 WVN786433:WVN786435 G851969:G851971 JB851969:JB851971 SX851969:SX851971 ACT851969:ACT851971 AMP851969:AMP851971 AWL851969:AWL851971 BGH851969:BGH851971 BQD851969:BQD851971 BZZ851969:BZZ851971 CJV851969:CJV851971 CTR851969:CTR851971 DDN851969:DDN851971 DNJ851969:DNJ851971 DXF851969:DXF851971 EHB851969:EHB851971 EQX851969:EQX851971 FAT851969:FAT851971 FKP851969:FKP851971 FUL851969:FUL851971 GEH851969:GEH851971 GOD851969:GOD851971 GXZ851969:GXZ851971 HHV851969:HHV851971 HRR851969:HRR851971 IBN851969:IBN851971 ILJ851969:ILJ851971 IVF851969:IVF851971 JFB851969:JFB851971 JOX851969:JOX851971 JYT851969:JYT851971 KIP851969:KIP851971 KSL851969:KSL851971 LCH851969:LCH851971 LMD851969:LMD851971 LVZ851969:LVZ851971 MFV851969:MFV851971 MPR851969:MPR851971 MZN851969:MZN851971 NJJ851969:NJJ851971 NTF851969:NTF851971 ODB851969:ODB851971 OMX851969:OMX851971 OWT851969:OWT851971 PGP851969:PGP851971 PQL851969:PQL851971 QAH851969:QAH851971 QKD851969:QKD851971 QTZ851969:QTZ851971 RDV851969:RDV851971 RNR851969:RNR851971 RXN851969:RXN851971 SHJ851969:SHJ851971 SRF851969:SRF851971 TBB851969:TBB851971 TKX851969:TKX851971 TUT851969:TUT851971 UEP851969:UEP851971 UOL851969:UOL851971 UYH851969:UYH851971 VID851969:VID851971 VRZ851969:VRZ851971 WBV851969:WBV851971 WLR851969:WLR851971 WVN851969:WVN851971 G917505:G917507 JB917505:JB917507 SX917505:SX917507 ACT917505:ACT917507 AMP917505:AMP917507 AWL917505:AWL917507 BGH917505:BGH917507 BQD917505:BQD917507 BZZ917505:BZZ917507 CJV917505:CJV917507 CTR917505:CTR917507 DDN917505:DDN917507 DNJ917505:DNJ917507 DXF917505:DXF917507 EHB917505:EHB917507 EQX917505:EQX917507 FAT917505:FAT917507 FKP917505:FKP917507 FUL917505:FUL917507 GEH917505:GEH917507 GOD917505:GOD917507 GXZ917505:GXZ917507 HHV917505:HHV917507 HRR917505:HRR917507 IBN917505:IBN917507 ILJ917505:ILJ917507 IVF917505:IVF917507 JFB917505:JFB917507 JOX917505:JOX917507 JYT917505:JYT917507 KIP917505:KIP917507 KSL917505:KSL917507 LCH917505:LCH917507 LMD917505:LMD917507 LVZ917505:LVZ917507 MFV917505:MFV917507 MPR917505:MPR917507 MZN917505:MZN917507 NJJ917505:NJJ917507 NTF917505:NTF917507 ODB917505:ODB917507 OMX917505:OMX917507 OWT917505:OWT917507 PGP917505:PGP917507 PQL917505:PQL917507 QAH917505:QAH917507 QKD917505:QKD917507 QTZ917505:QTZ917507 RDV917505:RDV917507 RNR917505:RNR917507 RXN917505:RXN917507 SHJ917505:SHJ917507 SRF917505:SRF917507 TBB917505:TBB917507 TKX917505:TKX917507 TUT917505:TUT917507 UEP917505:UEP917507 UOL917505:UOL917507 UYH917505:UYH917507 VID917505:VID917507 VRZ917505:VRZ917507 WBV917505:WBV917507 WLR917505:WLR917507 WVN917505:WVN917507 G983041:G983043 JB983041:JB983043 SX983041:SX983043 ACT983041:ACT983043 AMP983041:AMP983043 AWL983041:AWL983043 BGH983041:BGH983043 BQD983041:BQD983043 BZZ983041:BZZ983043 CJV983041:CJV983043 CTR983041:CTR983043 DDN983041:DDN983043 DNJ983041:DNJ983043 DXF983041:DXF983043 EHB983041:EHB983043 EQX983041:EQX983043 FAT983041:FAT983043 FKP983041:FKP983043 FUL983041:FUL983043 GEH983041:GEH983043 GOD983041:GOD983043 GXZ983041:GXZ983043 HHV983041:HHV983043 HRR983041:HRR983043 IBN983041:IBN983043 ILJ983041:ILJ983043 IVF983041:IVF983043 JFB983041:JFB983043 JOX983041:JOX983043 JYT983041:JYT983043 KIP983041:KIP983043 KSL983041:KSL983043 LCH983041:LCH983043 LMD983041:LMD983043 LVZ983041:LVZ983043 MFV983041:MFV983043 MPR983041:MPR983043 MZN983041:MZN983043 NJJ983041:NJJ983043 NTF983041:NTF983043 ODB983041:ODB983043 OMX983041:OMX983043 OWT983041:OWT983043 PGP983041:PGP983043 PQL983041:PQL983043 QAH983041:QAH983043 QKD983041:QKD983043 QTZ983041:QTZ983043 RDV983041:RDV983043 RNR983041:RNR983043 RXN983041:RXN983043 SHJ983041:SHJ983043 SRF983041:SRF983043 TBB983041:TBB983043 TKX983041:TKX983043 TUT983041:TUT983043 UEP983041:UEP983043 UOL983041:UOL983043 UYH983041:UYH983043 VID983041:VID983043 VRZ983041:VRZ983043 WBV983041:WBV983043 WLR983041:WLR983043 WVN983041:WVN983043">
      <formula1>1</formula1>
      <formula2>12</formula2>
    </dataValidation>
    <dataValidation allowBlank="1" errorTitle="Error de datos" error="Debe introducir una fecha válida" sqref="E3 IZ3 SV3 ACR3 AMN3 AWJ3 BGF3 BQB3 BZX3 CJT3 CTP3 DDL3 DNH3 DXD3 EGZ3 EQV3 FAR3 FKN3 FUJ3 GEF3 GOB3 GXX3 HHT3 HRP3 IBL3 ILH3 IVD3 JEZ3 JOV3 JYR3 KIN3 KSJ3 LCF3 LMB3 LVX3 MFT3 MPP3 MZL3 NJH3 NTD3 OCZ3 OMV3 OWR3 PGN3 PQJ3 QAF3 QKB3 QTX3 RDT3 RNP3 RXL3 SHH3 SRD3 TAZ3 TKV3 TUR3 UEN3 UOJ3 UYF3 VIB3 VRX3 WBT3 WLP3 WVL3 E65539 IZ65539 SV65539 ACR65539 AMN65539 AWJ65539 BGF65539 BQB65539 BZX65539 CJT65539 CTP65539 DDL65539 DNH65539 DXD65539 EGZ65539 EQV65539 FAR65539 FKN65539 FUJ65539 GEF65539 GOB65539 GXX65539 HHT65539 HRP65539 IBL65539 ILH65539 IVD65539 JEZ65539 JOV65539 JYR65539 KIN65539 KSJ65539 LCF65539 LMB65539 LVX65539 MFT65539 MPP65539 MZL65539 NJH65539 NTD65539 OCZ65539 OMV65539 OWR65539 PGN65539 PQJ65539 QAF65539 QKB65539 QTX65539 RDT65539 RNP65539 RXL65539 SHH65539 SRD65539 TAZ65539 TKV65539 TUR65539 UEN65539 UOJ65539 UYF65539 VIB65539 VRX65539 WBT65539 WLP65539 WVL65539 E131075 IZ131075 SV131075 ACR131075 AMN131075 AWJ131075 BGF131075 BQB131075 BZX131075 CJT131075 CTP131075 DDL131075 DNH131075 DXD131075 EGZ131075 EQV131075 FAR131075 FKN131075 FUJ131075 GEF131075 GOB131075 GXX131075 HHT131075 HRP131075 IBL131075 ILH131075 IVD131075 JEZ131075 JOV131075 JYR131075 KIN131075 KSJ131075 LCF131075 LMB131075 LVX131075 MFT131075 MPP131075 MZL131075 NJH131075 NTD131075 OCZ131075 OMV131075 OWR131075 PGN131075 PQJ131075 QAF131075 QKB131075 QTX131075 RDT131075 RNP131075 RXL131075 SHH131075 SRD131075 TAZ131075 TKV131075 TUR131075 UEN131075 UOJ131075 UYF131075 VIB131075 VRX131075 WBT131075 WLP131075 WVL131075 E196611 IZ196611 SV196611 ACR196611 AMN196611 AWJ196611 BGF196611 BQB196611 BZX196611 CJT196611 CTP196611 DDL196611 DNH196611 DXD196611 EGZ196611 EQV196611 FAR196611 FKN196611 FUJ196611 GEF196611 GOB196611 GXX196611 HHT196611 HRP196611 IBL196611 ILH196611 IVD196611 JEZ196611 JOV196611 JYR196611 KIN196611 KSJ196611 LCF196611 LMB196611 LVX196611 MFT196611 MPP196611 MZL196611 NJH196611 NTD196611 OCZ196611 OMV196611 OWR196611 PGN196611 PQJ196611 QAF196611 QKB196611 QTX196611 RDT196611 RNP196611 RXL196611 SHH196611 SRD196611 TAZ196611 TKV196611 TUR196611 UEN196611 UOJ196611 UYF196611 VIB196611 VRX196611 WBT196611 WLP196611 WVL196611 E262147 IZ262147 SV262147 ACR262147 AMN262147 AWJ262147 BGF262147 BQB262147 BZX262147 CJT262147 CTP262147 DDL262147 DNH262147 DXD262147 EGZ262147 EQV262147 FAR262147 FKN262147 FUJ262147 GEF262147 GOB262147 GXX262147 HHT262147 HRP262147 IBL262147 ILH262147 IVD262147 JEZ262147 JOV262147 JYR262147 KIN262147 KSJ262147 LCF262147 LMB262147 LVX262147 MFT262147 MPP262147 MZL262147 NJH262147 NTD262147 OCZ262147 OMV262147 OWR262147 PGN262147 PQJ262147 QAF262147 QKB262147 QTX262147 RDT262147 RNP262147 RXL262147 SHH262147 SRD262147 TAZ262147 TKV262147 TUR262147 UEN262147 UOJ262147 UYF262147 VIB262147 VRX262147 WBT262147 WLP262147 WVL262147 E327683 IZ327683 SV327683 ACR327683 AMN327683 AWJ327683 BGF327683 BQB327683 BZX327683 CJT327683 CTP327683 DDL327683 DNH327683 DXD327683 EGZ327683 EQV327683 FAR327683 FKN327683 FUJ327683 GEF327683 GOB327683 GXX327683 HHT327683 HRP327683 IBL327683 ILH327683 IVD327683 JEZ327683 JOV327683 JYR327683 KIN327683 KSJ327683 LCF327683 LMB327683 LVX327683 MFT327683 MPP327683 MZL327683 NJH327683 NTD327683 OCZ327683 OMV327683 OWR327683 PGN327683 PQJ327683 QAF327683 QKB327683 QTX327683 RDT327683 RNP327683 RXL327683 SHH327683 SRD327683 TAZ327683 TKV327683 TUR327683 UEN327683 UOJ327683 UYF327683 VIB327683 VRX327683 WBT327683 WLP327683 WVL327683 E393219 IZ393219 SV393219 ACR393219 AMN393219 AWJ393219 BGF393219 BQB393219 BZX393219 CJT393219 CTP393219 DDL393219 DNH393219 DXD393219 EGZ393219 EQV393219 FAR393219 FKN393219 FUJ393219 GEF393219 GOB393219 GXX393219 HHT393219 HRP393219 IBL393219 ILH393219 IVD393219 JEZ393219 JOV393219 JYR393219 KIN393219 KSJ393219 LCF393219 LMB393219 LVX393219 MFT393219 MPP393219 MZL393219 NJH393219 NTD393219 OCZ393219 OMV393219 OWR393219 PGN393219 PQJ393219 QAF393219 QKB393219 QTX393219 RDT393219 RNP393219 RXL393219 SHH393219 SRD393219 TAZ393219 TKV393219 TUR393219 UEN393219 UOJ393219 UYF393219 VIB393219 VRX393219 WBT393219 WLP393219 WVL393219 E458755 IZ458755 SV458755 ACR458755 AMN458755 AWJ458755 BGF458755 BQB458755 BZX458755 CJT458755 CTP458755 DDL458755 DNH458755 DXD458755 EGZ458755 EQV458755 FAR458755 FKN458755 FUJ458755 GEF458755 GOB458755 GXX458755 HHT458755 HRP458755 IBL458755 ILH458755 IVD458755 JEZ458755 JOV458755 JYR458755 KIN458755 KSJ458755 LCF458755 LMB458755 LVX458755 MFT458755 MPP458755 MZL458755 NJH458755 NTD458755 OCZ458755 OMV458755 OWR458755 PGN458755 PQJ458755 QAF458755 QKB458755 QTX458755 RDT458755 RNP458755 RXL458755 SHH458755 SRD458755 TAZ458755 TKV458755 TUR458755 UEN458755 UOJ458755 UYF458755 VIB458755 VRX458755 WBT458755 WLP458755 WVL458755 E524291 IZ524291 SV524291 ACR524291 AMN524291 AWJ524291 BGF524291 BQB524291 BZX524291 CJT524291 CTP524291 DDL524291 DNH524291 DXD524291 EGZ524291 EQV524291 FAR524291 FKN524291 FUJ524291 GEF524291 GOB524291 GXX524291 HHT524291 HRP524291 IBL524291 ILH524291 IVD524291 JEZ524291 JOV524291 JYR524291 KIN524291 KSJ524291 LCF524291 LMB524291 LVX524291 MFT524291 MPP524291 MZL524291 NJH524291 NTD524291 OCZ524291 OMV524291 OWR524291 PGN524291 PQJ524291 QAF524291 QKB524291 QTX524291 RDT524291 RNP524291 RXL524291 SHH524291 SRD524291 TAZ524291 TKV524291 TUR524291 UEN524291 UOJ524291 UYF524291 VIB524291 VRX524291 WBT524291 WLP524291 WVL524291 E589827 IZ589827 SV589827 ACR589827 AMN589827 AWJ589827 BGF589827 BQB589827 BZX589827 CJT589827 CTP589827 DDL589827 DNH589827 DXD589827 EGZ589827 EQV589827 FAR589827 FKN589827 FUJ589827 GEF589827 GOB589827 GXX589827 HHT589827 HRP589827 IBL589827 ILH589827 IVD589827 JEZ589827 JOV589827 JYR589827 KIN589827 KSJ589827 LCF589827 LMB589827 LVX589827 MFT589827 MPP589827 MZL589827 NJH589827 NTD589827 OCZ589827 OMV589827 OWR589827 PGN589827 PQJ589827 QAF589827 QKB589827 QTX589827 RDT589827 RNP589827 RXL589827 SHH589827 SRD589827 TAZ589827 TKV589827 TUR589827 UEN589827 UOJ589827 UYF589827 VIB589827 VRX589827 WBT589827 WLP589827 WVL589827 E655363 IZ655363 SV655363 ACR655363 AMN655363 AWJ655363 BGF655363 BQB655363 BZX655363 CJT655363 CTP655363 DDL655363 DNH655363 DXD655363 EGZ655363 EQV655363 FAR655363 FKN655363 FUJ655363 GEF655363 GOB655363 GXX655363 HHT655363 HRP655363 IBL655363 ILH655363 IVD655363 JEZ655363 JOV655363 JYR655363 KIN655363 KSJ655363 LCF655363 LMB655363 LVX655363 MFT655363 MPP655363 MZL655363 NJH655363 NTD655363 OCZ655363 OMV655363 OWR655363 PGN655363 PQJ655363 QAF655363 QKB655363 QTX655363 RDT655363 RNP655363 RXL655363 SHH655363 SRD655363 TAZ655363 TKV655363 TUR655363 UEN655363 UOJ655363 UYF655363 VIB655363 VRX655363 WBT655363 WLP655363 WVL655363 E720899 IZ720899 SV720899 ACR720899 AMN720899 AWJ720899 BGF720899 BQB720899 BZX720899 CJT720899 CTP720899 DDL720899 DNH720899 DXD720899 EGZ720899 EQV720899 FAR720899 FKN720899 FUJ720899 GEF720899 GOB720899 GXX720899 HHT720899 HRP720899 IBL720899 ILH720899 IVD720899 JEZ720899 JOV720899 JYR720899 KIN720899 KSJ720899 LCF720899 LMB720899 LVX720899 MFT720899 MPP720899 MZL720899 NJH720899 NTD720899 OCZ720899 OMV720899 OWR720899 PGN720899 PQJ720899 QAF720899 QKB720899 QTX720899 RDT720899 RNP720899 RXL720899 SHH720899 SRD720899 TAZ720899 TKV720899 TUR720899 UEN720899 UOJ720899 UYF720899 VIB720899 VRX720899 WBT720899 WLP720899 WVL720899 E786435 IZ786435 SV786435 ACR786435 AMN786435 AWJ786435 BGF786435 BQB786435 BZX786435 CJT786435 CTP786435 DDL786435 DNH786435 DXD786435 EGZ786435 EQV786435 FAR786435 FKN786435 FUJ786435 GEF786435 GOB786435 GXX786435 HHT786435 HRP786435 IBL786435 ILH786435 IVD786435 JEZ786435 JOV786435 JYR786435 KIN786435 KSJ786435 LCF786435 LMB786435 LVX786435 MFT786435 MPP786435 MZL786435 NJH786435 NTD786435 OCZ786435 OMV786435 OWR786435 PGN786435 PQJ786435 QAF786435 QKB786435 QTX786435 RDT786435 RNP786435 RXL786435 SHH786435 SRD786435 TAZ786435 TKV786435 TUR786435 UEN786435 UOJ786435 UYF786435 VIB786435 VRX786435 WBT786435 WLP786435 WVL786435 E851971 IZ851971 SV851971 ACR851971 AMN851971 AWJ851971 BGF851971 BQB851971 BZX851971 CJT851971 CTP851971 DDL851971 DNH851971 DXD851971 EGZ851971 EQV851971 FAR851971 FKN851971 FUJ851971 GEF851971 GOB851971 GXX851971 HHT851971 HRP851971 IBL851971 ILH851971 IVD851971 JEZ851971 JOV851971 JYR851971 KIN851971 KSJ851971 LCF851971 LMB851971 LVX851971 MFT851971 MPP851971 MZL851971 NJH851971 NTD851971 OCZ851971 OMV851971 OWR851971 PGN851971 PQJ851971 QAF851971 QKB851971 QTX851971 RDT851971 RNP851971 RXL851971 SHH851971 SRD851971 TAZ851971 TKV851971 TUR851971 UEN851971 UOJ851971 UYF851971 VIB851971 VRX851971 WBT851971 WLP851971 WVL851971 E917507 IZ917507 SV917507 ACR917507 AMN917507 AWJ917507 BGF917507 BQB917507 BZX917507 CJT917507 CTP917507 DDL917507 DNH917507 DXD917507 EGZ917507 EQV917507 FAR917507 FKN917507 FUJ917507 GEF917507 GOB917507 GXX917507 HHT917507 HRP917507 IBL917507 ILH917507 IVD917507 JEZ917507 JOV917507 JYR917507 KIN917507 KSJ917507 LCF917507 LMB917507 LVX917507 MFT917507 MPP917507 MZL917507 NJH917507 NTD917507 OCZ917507 OMV917507 OWR917507 PGN917507 PQJ917507 QAF917507 QKB917507 QTX917507 RDT917507 RNP917507 RXL917507 SHH917507 SRD917507 TAZ917507 TKV917507 TUR917507 UEN917507 UOJ917507 UYF917507 VIB917507 VRX917507 WBT917507 WLP917507 WVL917507 E983043 IZ983043 SV983043 ACR983043 AMN983043 AWJ983043 BGF983043 BQB983043 BZX983043 CJT983043 CTP983043 DDL983043 DNH983043 DXD983043 EGZ983043 EQV983043 FAR983043 FKN983043 FUJ983043 GEF983043 GOB983043 GXX983043 HHT983043 HRP983043 IBL983043 ILH983043 IVD983043 JEZ983043 JOV983043 JYR983043 KIN983043 KSJ983043 LCF983043 LMB983043 LVX983043 MFT983043 MPP983043 MZL983043 NJH983043 NTD983043 OCZ983043 OMV983043 OWR983043 PGN983043 PQJ983043 QAF983043 QKB983043 QTX983043 RDT983043 RNP983043 RXL983043 SHH983043 SRD983043 TAZ983043 TKV983043 TUR983043 UEN983043 UOJ983043 UYF983043 VIB983043 VRX983043 WBT983043 WLP983043 WVL983043"/>
    <dataValidation allowBlank="1" sqref="G204 JB204:JC204 SX204:SY204 ACT204:ACU204 AMP204:AMQ204 AWL204:AWM204 BGH204:BGI204 BQD204:BQE204 BZZ204:CAA204 CJV204:CJW204 CTR204:CTS204 DDN204:DDO204 DNJ204:DNK204 DXF204:DXG204 EHB204:EHC204 EQX204:EQY204 FAT204:FAU204 FKP204:FKQ204 FUL204:FUM204 GEH204:GEI204 GOD204:GOE204 GXZ204:GYA204 HHV204:HHW204 HRR204:HRS204 IBN204:IBO204 ILJ204:ILK204 IVF204:IVG204 JFB204:JFC204 JOX204:JOY204 JYT204:JYU204 KIP204:KIQ204 KSL204:KSM204 LCH204:LCI204 LMD204:LME204 LVZ204:LWA204 MFV204:MFW204 MPR204:MPS204 MZN204:MZO204 NJJ204:NJK204 NTF204:NTG204 ODB204:ODC204 OMX204:OMY204 OWT204:OWU204 PGP204:PGQ204 PQL204:PQM204 QAH204:QAI204 QKD204:QKE204 QTZ204:QUA204 RDV204:RDW204 RNR204:RNS204 RXN204:RXO204 SHJ204:SHK204 SRF204:SRG204 TBB204:TBC204 TKX204:TKY204 TUT204:TUU204 UEP204:UEQ204 UOL204:UOM204 UYH204:UYI204 VID204:VIE204 VRZ204:VSA204 WBV204:WBW204 WLR204:WLS204 WVN204:WVO204 G65740 JB65740:JC65740 SX65740:SY65740 ACT65740:ACU65740 AMP65740:AMQ65740 AWL65740:AWM65740 BGH65740:BGI65740 BQD65740:BQE65740 BZZ65740:CAA65740 CJV65740:CJW65740 CTR65740:CTS65740 DDN65740:DDO65740 DNJ65740:DNK65740 DXF65740:DXG65740 EHB65740:EHC65740 EQX65740:EQY65740 FAT65740:FAU65740 FKP65740:FKQ65740 FUL65740:FUM65740 GEH65740:GEI65740 GOD65740:GOE65740 GXZ65740:GYA65740 HHV65740:HHW65740 HRR65740:HRS65740 IBN65740:IBO65740 ILJ65740:ILK65740 IVF65740:IVG65740 JFB65740:JFC65740 JOX65740:JOY65740 JYT65740:JYU65740 KIP65740:KIQ65740 KSL65740:KSM65740 LCH65740:LCI65740 LMD65740:LME65740 LVZ65740:LWA65740 MFV65740:MFW65740 MPR65740:MPS65740 MZN65740:MZO65740 NJJ65740:NJK65740 NTF65740:NTG65740 ODB65740:ODC65740 OMX65740:OMY65740 OWT65740:OWU65740 PGP65740:PGQ65740 PQL65740:PQM65740 QAH65740:QAI65740 QKD65740:QKE65740 QTZ65740:QUA65740 RDV65740:RDW65740 RNR65740:RNS65740 RXN65740:RXO65740 SHJ65740:SHK65740 SRF65740:SRG65740 TBB65740:TBC65740 TKX65740:TKY65740 TUT65740:TUU65740 UEP65740:UEQ65740 UOL65740:UOM65740 UYH65740:UYI65740 VID65740:VIE65740 VRZ65740:VSA65740 WBV65740:WBW65740 WLR65740:WLS65740 WVN65740:WVO65740 G131276 JB131276:JC131276 SX131276:SY131276 ACT131276:ACU131276 AMP131276:AMQ131276 AWL131276:AWM131276 BGH131276:BGI131276 BQD131276:BQE131276 BZZ131276:CAA131276 CJV131276:CJW131276 CTR131276:CTS131276 DDN131276:DDO131276 DNJ131276:DNK131276 DXF131276:DXG131276 EHB131276:EHC131276 EQX131276:EQY131276 FAT131276:FAU131276 FKP131276:FKQ131276 FUL131276:FUM131276 GEH131276:GEI131276 GOD131276:GOE131276 GXZ131276:GYA131276 HHV131276:HHW131276 HRR131276:HRS131276 IBN131276:IBO131276 ILJ131276:ILK131276 IVF131276:IVG131276 JFB131276:JFC131276 JOX131276:JOY131276 JYT131276:JYU131276 KIP131276:KIQ131276 KSL131276:KSM131276 LCH131276:LCI131276 LMD131276:LME131276 LVZ131276:LWA131276 MFV131276:MFW131276 MPR131276:MPS131276 MZN131276:MZO131276 NJJ131276:NJK131276 NTF131276:NTG131276 ODB131276:ODC131276 OMX131276:OMY131276 OWT131276:OWU131276 PGP131276:PGQ131276 PQL131276:PQM131276 QAH131276:QAI131276 QKD131276:QKE131276 QTZ131276:QUA131276 RDV131276:RDW131276 RNR131276:RNS131276 RXN131276:RXO131276 SHJ131276:SHK131276 SRF131276:SRG131276 TBB131276:TBC131276 TKX131276:TKY131276 TUT131276:TUU131276 UEP131276:UEQ131276 UOL131276:UOM131276 UYH131276:UYI131276 VID131276:VIE131276 VRZ131276:VSA131276 WBV131276:WBW131276 WLR131276:WLS131276 WVN131276:WVO131276 G196812 JB196812:JC196812 SX196812:SY196812 ACT196812:ACU196812 AMP196812:AMQ196812 AWL196812:AWM196812 BGH196812:BGI196812 BQD196812:BQE196812 BZZ196812:CAA196812 CJV196812:CJW196812 CTR196812:CTS196812 DDN196812:DDO196812 DNJ196812:DNK196812 DXF196812:DXG196812 EHB196812:EHC196812 EQX196812:EQY196812 FAT196812:FAU196812 FKP196812:FKQ196812 FUL196812:FUM196812 GEH196812:GEI196812 GOD196812:GOE196812 GXZ196812:GYA196812 HHV196812:HHW196812 HRR196812:HRS196812 IBN196812:IBO196812 ILJ196812:ILK196812 IVF196812:IVG196812 JFB196812:JFC196812 JOX196812:JOY196812 JYT196812:JYU196812 KIP196812:KIQ196812 KSL196812:KSM196812 LCH196812:LCI196812 LMD196812:LME196812 LVZ196812:LWA196812 MFV196812:MFW196812 MPR196812:MPS196812 MZN196812:MZO196812 NJJ196812:NJK196812 NTF196812:NTG196812 ODB196812:ODC196812 OMX196812:OMY196812 OWT196812:OWU196812 PGP196812:PGQ196812 PQL196812:PQM196812 QAH196812:QAI196812 QKD196812:QKE196812 QTZ196812:QUA196812 RDV196812:RDW196812 RNR196812:RNS196812 RXN196812:RXO196812 SHJ196812:SHK196812 SRF196812:SRG196812 TBB196812:TBC196812 TKX196812:TKY196812 TUT196812:TUU196812 UEP196812:UEQ196812 UOL196812:UOM196812 UYH196812:UYI196812 VID196812:VIE196812 VRZ196812:VSA196812 WBV196812:WBW196812 WLR196812:WLS196812 WVN196812:WVO196812 G262348 JB262348:JC262348 SX262348:SY262348 ACT262348:ACU262348 AMP262348:AMQ262348 AWL262348:AWM262348 BGH262348:BGI262348 BQD262348:BQE262348 BZZ262348:CAA262348 CJV262348:CJW262348 CTR262348:CTS262348 DDN262348:DDO262348 DNJ262348:DNK262348 DXF262348:DXG262348 EHB262348:EHC262348 EQX262348:EQY262348 FAT262348:FAU262348 FKP262348:FKQ262348 FUL262348:FUM262348 GEH262348:GEI262348 GOD262348:GOE262348 GXZ262348:GYA262348 HHV262348:HHW262348 HRR262348:HRS262348 IBN262348:IBO262348 ILJ262348:ILK262348 IVF262348:IVG262348 JFB262348:JFC262348 JOX262348:JOY262348 JYT262348:JYU262348 KIP262348:KIQ262348 KSL262348:KSM262348 LCH262348:LCI262348 LMD262348:LME262348 LVZ262348:LWA262348 MFV262348:MFW262348 MPR262348:MPS262348 MZN262348:MZO262348 NJJ262348:NJK262348 NTF262348:NTG262348 ODB262348:ODC262348 OMX262348:OMY262348 OWT262348:OWU262348 PGP262348:PGQ262348 PQL262348:PQM262348 QAH262348:QAI262348 QKD262348:QKE262348 QTZ262348:QUA262348 RDV262348:RDW262348 RNR262348:RNS262348 RXN262348:RXO262348 SHJ262348:SHK262348 SRF262348:SRG262348 TBB262348:TBC262348 TKX262348:TKY262348 TUT262348:TUU262348 UEP262348:UEQ262348 UOL262348:UOM262348 UYH262348:UYI262348 VID262348:VIE262348 VRZ262348:VSA262348 WBV262348:WBW262348 WLR262348:WLS262348 WVN262348:WVO262348 G327884 JB327884:JC327884 SX327884:SY327884 ACT327884:ACU327884 AMP327884:AMQ327884 AWL327884:AWM327884 BGH327884:BGI327884 BQD327884:BQE327884 BZZ327884:CAA327884 CJV327884:CJW327884 CTR327884:CTS327884 DDN327884:DDO327884 DNJ327884:DNK327884 DXF327884:DXG327884 EHB327884:EHC327884 EQX327884:EQY327884 FAT327884:FAU327884 FKP327884:FKQ327884 FUL327884:FUM327884 GEH327884:GEI327884 GOD327884:GOE327884 GXZ327884:GYA327884 HHV327884:HHW327884 HRR327884:HRS327884 IBN327884:IBO327884 ILJ327884:ILK327884 IVF327884:IVG327884 JFB327884:JFC327884 JOX327884:JOY327884 JYT327884:JYU327884 KIP327884:KIQ327884 KSL327884:KSM327884 LCH327884:LCI327884 LMD327884:LME327884 LVZ327884:LWA327884 MFV327884:MFW327884 MPR327884:MPS327884 MZN327884:MZO327884 NJJ327884:NJK327884 NTF327884:NTG327884 ODB327884:ODC327884 OMX327884:OMY327884 OWT327884:OWU327884 PGP327884:PGQ327884 PQL327884:PQM327884 QAH327884:QAI327884 QKD327884:QKE327884 QTZ327884:QUA327884 RDV327884:RDW327884 RNR327884:RNS327884 RXN327884:RXO327884 SHJ327884:SHK327884 SRF327884:SRG327884 TBB327884:TBC327884 TKX327884:TKY327884 TUT327884:TUU327884 UEP327884:UEQ327884 UOL327884:UOM327884 UYH327884:UYI327884 VID327884:VIE327884 VRZ327884:VSA327884 WBV327884:WBW327884 WLR327884:WLS327884 WVN327884:WVO327884 G393420 JB393420:JC393420 SX393420:SY393420 ACT393420:ACU393420 AMP393420:AMQ393420 AWL393420:AWM393420 BGH393420:BGI393420 BQD393420:BQE393420 BZZ393420:CAA393420 CJV393420:CJW393420 CTR393420:CTS393420 DDN393420:DDO393420 DNJ393420:DNK393420 DXF393420:DXG393420 EHB393420:EHC393420 EQX393420:EQY393420 FAT393420:FAU393420 FKP393420:FKQ393420 FUL393420:FUM393420 GEH393420:GEI393420 GOD393420:GOE393420 GXZ393420:GYA393420 HHV393420:HHW393420 HRR393420:HRS393420 IBN393420:IBO393420 ILJ393420:ILK393420 IVF393420:IVG393420 JFB393420:JFC393420 JOX393420:JOY393420 JYT393420:JYU393420 KIP393420:KIQ393420 KSL393420:KSM393420 LCH393420:LCI393420 LMD393420:LME393420 LVZ393420:LWA393420 MFV393420:MFW393420 MPR393420:MPS393420 MZN393420:MZO393420 NJJ393420:NJK393420 NTF393420:NTG393420 ODB393420:ODC393420 OMX393420:OMY393420 OWT393420:OWU393420 PGP393420:PGQ393420 PQL393420:PQM393420 QAH393420:QAI393420 QKD393420:QKE393420 QTZ393420:QUA393420 RDV393420:RDW393420 RNR393420:RNS393420 RXN393420:RXO393420 SHJ393420:SHK393420 SRF393420:SRG393420 TBB393420:TBC393420 TKX393420:TKY393420 TUT393420:TUU393420 UEP393420:UEQ393420 UOL393420:UOM393420 UYH393420:UYI393420 VID393420:VIE393420 VRZ393420:VSA393420 WBV393420:WBW393420 WLR393420:WLS393420 WVN393420:WVO393420 G458956 JB458956:JC458956 SX458956:SY458956 ACT458956:ACU458956 AMP458956:AMQ458956 AWL458956:AWM458956 BGH458956:BGI458956 BQD458956:BQE458956 BZZ458956:CAA458956 CJV458956:CJW458956 CTR458956:CTS458956 DDN458956:DDO458956 DNJ458956:DNK458956 DXF458956:DXG458956 EHB458956:EHC458956 EQX458956:EQY458956 FAT458956:FAU458956 FKP458956:FKQ458956 FUL458956:FUM458956 GEH458956:GEI458956 GOD458956:GOE458956 GXZ458956:GYA458956 HHV458956:HHW458956 HRR458956:HRS458956 IBN458956:IBO458956 ILJ458956:ILK458956 IVF458956:IVG458956 JFB458956:JFC458956 JOX458956:JOY458956 JYT458956:JYU458956 KIP458956:KIQ458956 KSL458956:KSM458956 LCH458956:LCI458956 LMD458956:LME458956 LVZ458956:LWA458956 MFV458956:MFW458956 MPR458956:MPS458956 MZN458956:MZO458956 NJJ458956:NJK458956 NTF458956:NTG458956 ODB458956:ODC458956 OMX458956:OMY458956 OWT458956:OWU458956 PGP458956:PGQ458956 PQL458956:PQM458956 QAH458956:QAI458956 QKD458956:QKE458956 QTZ458956:QUA458956 RDV458956:RDW458956 RNR458956:RNS458956 RXN458956:RXO458956 SHJ458956:SHK458956 SRF458956:SRG458956 TBB458956:TBC458956 TKX458956:TKY458956 TUT458956:TUU458956 UEP458956:UEQ458956 UOL458956:UOM458956 UYH458956:UYI458956 VID458956:VIE458956 VRZ458956:VSA458956 WBV458956:WBW458956 WLR458956:WLS458956 WVN458956:WVO458956 G524492 JB524492:JC524492 SX524492:SY524492 ACT524492:ACU524492 AMP524492:AMQ524492 AWL524492:AWM524492 BGH524492:BGI524492 BQD524492:BQE524492 BZZ524492:CAA524492 CJV524492:CJW524492 CTR524492:CTS524492 DDN524492:DDO524492 DNJ524492:DNK524492 DXF524492:DXG524492 EHB524492:EHC524492 EQX524492:EQY524492 FAT524492:FAU524492 FKP524492:FKQ524492 FUL524492:FUM524492 GEH524492:GEI524492 GOD524492:GOE524492 GXZ524492:GYA524492 HHV524492:HHW524492 HRR524492:HRS524492 IBN524492:IBO524492 ILJ524492:ILK524492 IVF524492:IVG524492 JFB524492:JFC524492 JOX524492:JOY524492 JYT524492:JYU524492 KIP524492:KIQ524492 KSL524492:KSM524492 LCH524492:LCI524492 LMD524492:LME524492 LVZ524492:LWA524492 MFV524492:MFW524492 MPR524492:MPS524492 MZN524492:MZO524492 NJJ524492:NJK524492 NTF524492:NTG524492 ODB524492:ODC524492 OMX524492:OMY524492 OWT524492:OWU524492 PGP524492:PGQ524492 PQL524492:PQM524492 QAH524492:QAI524492 QKD524492:QKE524492 QTZ524492:QUA524492 RDV524492:RDW524492 RNR524492:RNS524492 RXN524492:RXO524492 SHJ524492:SHK524492 SRF524492:SRG524492 TBB524492:TBC524492 TKX524492:TKY524492 TUT524492:TUU524492 UEP524492:UEQ524492 UOL524492:UOM524492 UYH524492:UYI524492 VID524492:VIE524492 VRZ524492:VSA524492 WBV524492:WBW524492 WLR524492:WLS524492 WVN524492:WVO524492 G590028 JB590028:JC590028 SX590028:SY590028 ACT590028:ACU590028 AMP590028:AMQ590028 AWL590028:AWM590028 BGH590028:BGI590028 BQD590028:BQE590028 BZZ590028:CAA590028 CJV590028:CJW590028 CTR590028:CTS590028 DDN590028:DDO590028 DNJ590028:DNK590028 DXF590028:DXG590028 EHB590028:EHC590028 EQX590028:EQY590028 FAT590028:FAU590028 FKP590028:FKQ590028 FUL590028:FUM590028 GEH590028:GEI590028 GOD590028:GOE590028 GXZ590028:GYA590028 HHV590028:HHW590028 HRR590028:HRS590028 IBN590028:IBO590028 ILJ590028:ILK590028 IVF590028:IVG590028 JFB590028:JFC590028 JOX590028:JOY590028 JYT590028:JYU590028 KIP590028:KIQ590028 KSL590028:KSM590028 LCH590028:LCI590028 LMD590028:LME590028 LVZ590028:LWA590028 MFV590028:MFW590028 MPR590028:MPS590028 MZN590028:MZO590028 NJJ590028:NJK590028 NTF590028:NTG590028 ODB590028:ODC590028 OMX590028:OMY590028 OWT590028:OWU590028 PGP590028:PGQ590028 PQL590028:PQM590028 QAH590028:QAI590028 QKD590028:QKE590028 QTZ590028:QUA590028 RDV590028:RDW590028 RNR590028:RNS590028 RXN590028:RXO590028 SHJ590028:SHK590028 SRF590028:SRG590028 TBB590028:TBC590028 TKX590028:TKY590028 TUT590028:TUU590028 UEP590028:UEQ590028 UOL590028:UOM590028 UYH590028:UYI590028 VID590028:VIE590028 VRZ590028:VSA590028 WBV590028:WBW590028 WLR590028:WLS590028 WVN590028:WVO590028 G655564 JB655564:JC655564 SX655564:SY655564 ACT655564:ACU655564 AMP655564:AMQ655564 AWL655564:AWM655564 BGH655564:BGI655564 BQD655564:BQE655564 BZZ655564:CAA655564 CJV655564:CJW655564 CTR655564:CTS655564 DDN655564:DDO655564 DNJ655564:DNK655564 DXF655564:DXG655564 EHB655564:EHC655564 EQX655564:EQY655564 FAT655564:FAU655564 FKP655564:FKQ655564 FUL655564:FUM655564 GEH655564:GEI655564 GOD655564:GOE655564 GXZ655564:GYA655564 HHV655564:HHW655564 HRR655564:HRS655564 IBN655564:IBO655564 ILJ655564:ILK655564 IVF655564:IVG655564 JFB655564:JFC655564 JOX655564:JOY655564 JYT655564:JYU655564 KIP655564:KIQ655564 KSL655564:KSM655564 LCH655564:LCI655564 LMD655564:LME655564 LVZ655564:LWA655564 MFV655564:MFW655564 MPR655564:MPS655564 MZN655564:MZO655564 NJJ655564:NJK655564 NTF655564:NTG655564 ODB655564:ODC655564 OMX655564:OMY655564 OWT655564:OWU655564 PGP655564:PGQ655564 PQL655564:PQM655564 QAH655564:QAI655564 QKD655564:QKE655564 QTZ655564:QUA655564 RDV655564:RDW655564 RNR655564:RNS655564 RXN655564:RXO655564 SHJ655564:SHK655564 SRF655564:SRG655564 TBB655564:TBC655564 TKX655564:TKY655564 TUT655564:TUU655564 UEP655564:UEQ655564 UOL655564:UOM655564 UYH655564:UYI655564 VID655564:VIE655564 VRZ655564:VSA655564 WBV655564:WBW655564 WLR655564:WLS655564 WVN655564:WVO655564 G721100 JB721100:JC721100 SX721100:SY721100 ACT721100:ACU721100 AMP721100:AMQ721100 AWL721100:AWM721100 BGH721100:BGI721100 BQD721100:BQE721100 BZZ721100:CAA721100 CJV721100:CJW721100 CTR721100:CTS721100 DDN721100:DDO721100 DNJ721100:DNK721100 DXF721100:DXG721100 EHB721100:EHC721100 EQX721100:EQY721100 FAT721100:FAU721100 FKP721100:FKQ721100 FUL721100:FUM721100 GEH721100:GEI721100 GOD721100:GOE721100 GXZ721100:GYA721100 HHV721100:HHW721100 HRR721100:HRS721100 IBN721100:IBO721100 ILJ721100:ILK721100 IVF721100:IVG721100 JFB721100:JFC721100 JOX721100:JOY721100 JYT721100:JYU721100 KIP721100:KIQ721100 KSL721100:KSM721100 LCH721100:LCI721100 LMD721100:LME721100 LVZ721100:LWA721100 MFV721100:MFW721100 MPR721100:MPS721100 MZN721100:MZO721100 NJJ721100:NJK721100 NTF721100:NTG721100 ODB721100:ODC721100 OMX721100:OMY721100 OWT721100:OWU721100 PGP721100:PGQ721100 PQL721100:PQM721100 QAH721100:QAI721100 QKD721100:QKE721100 QTZ721100:QUA721100 RDV721100:RDW721100 RNR721100:RNS721100 RXN721100:RXO721100 SHJ721100:SHK721100 SRF721100:SRG721100 TBB721100:TBC721100 TKX721100:TKY721100 TUT721100:TUU721100 UEP721100:UEQ721100 UOL721100:UOM721100 UYH721100:UYI721100 VID721100:VIE721100 VRZ721100:VSA721100 WBV721100:WBW721100 WLR721100:WLS721100 WVN721100:WVO721100 G786636 JB786636:JC786636 SX786636:SY786636 ACT786636:ACU786636 AMP786636:AMQ786636 AWL786636:AWM786636 BGH786636:BGI786636 BQD786636:BQE786636 BZZ786636:CAA786636 CJV786636:CJW786636 CTR786636:CTS786636 DDN786636:DDO786636 DNJ786636:DNK786636 DXF786636:DXG786636 EHB786636:EHC786636 EQX786636:EQY786636 FAT786636:FAU786636 FKP786636:FKQ786636 FUL786636:FUM786636 GEH786636:GEI786636 GOD786636:GOE786636 GXZ786636:GYA786636 HHV786636:HHW786636 HRR786636:HRS786636 IBN786636:IBO786636 ILJ786636:ILK786636 IVF786636:IVG786636 JFB786636:JFC786636 JOX786636:JOY786636 JYT786636:JYU786636 KIP786636:KIQ786636 KSL786636:KSM786636 LCH786636:LCI786636 LMD786636:LME786636 LVZ786636:LWA786636 MFV786636:MFW786636 MPR786636:MPS786636 MZN786636:MZO786636 NJJ786636:NJK786636 NTF786636:NTG786636 ODB786636:ODC786636 OMX786636:OMY786636 OWT786636:OWU786636 PGP786636:PGQ786636 PQL786636:PQM786636 QAH786636:QAI786636 QKD786636:QKE786636 QTZ786636:QUA786636 RDV786636:RDW786636 RNR786636:RNS786636 RXN786636:RXO786636 SHJ786636:SHK786636 SRF786636:SRG786636 TBB786636:TBC786636 TKX786636:TKY786636 TUT786636:TUU786636 UEP786636:UEQ786636 UOL786636:UOM786636 UYH786636:UYI786636 VID786636:VIE786636 VRZ786636:VSA786636 WBV786636:WBW786636 WLR786636:WLS786636 WVN786636:WVO786636 G852172 JB852172:JC852172 SX852172:SY852172 ACT852172:ACU852172 AMP852172:AMQ852172 AWL852172:AWM852172 BGH852172:BGI852172 BQD852172:BQE852172 BZZ852172:CAA852172 CJV852172:CJW852172 CTR852172:CTS852172 DDN852172:DDO852172 DNJ852172:DNK852172 DXF852172:DXG852172 EHB852172:EHC852172 EQX852172:EQY852172 FAT852172:FAU852172 FKP852172:FKQ852172 FUL852172:FUM852172 GEH852172:GEI852172 GOD852172:GOE852172 GXZ852172:GYA852172 HHV852172:HHW852172 HRR852172:HRS852172 IBN852172:IBO852172 ILJ852172:ILK852172 IVF852172:IVG852172 JFB852172:JFC852172 JOX852172:JOY852172 JYT852172:JYU852172 KIP852172:KIQ852172 KSL852172:KSM852172 LCH852172:LCI852172 LMD852172:LME852172 LVZ852172:LWA852172 MFV852172:MFW852172 MPR852172:MPS852172 MZN852172:MZO852172 NJJ852172:NJK852172 NTF852172:NTG852172 ODB852172:ODC852172 OMX852172:OMY852172 OWT852172:OWU852172 PGP852172:PGQ852172 PQL852172:PQM852172 QAH852172:QAI852172 QKD852172:QKE852172 QTZ852172:QUA852172 RDV852172:RDW852172 RNR852172:RNS852172 RXN852172:RXO852172 SHJ852172:SHK852172 SRF852172:SRG852172 TBB852172:TBC852172 TKX852172:TKY852172 TUT852172:TUU852172 UEP852172:UEQ852172 UOL852172:UOM852172 UYH852172:UYI852172 VID852172:VIE852172 VRZ852172:VSA852172 WBV852172:WBW852172 WLR852172:WLS852172 WVN852172:WVO852172 G917708 JB917708:JC917708 SX917708:SY917708 ACT917708:ACU917708 AMP917708:AMQ917708 AWL917708:AWM917708 BGH917708:BGI917708 BQD917708:BQE917708 BZZ917708:CAA917708 CJV917708:CJW917708 CTR917708:CTS917708 DDN917708:DDO917708 DNJ917708:DNK917708 DXF917708:DXG917708 EHB917708:EHC917708 EQX917708:EQY917708 FAT917708:FAU917708 FKP917708:FKQ917708 FUL917708:FUM917708 GEH917708:GEI917708 GOD917708:GOE917708 GXZ917708:GYA917708 HHV917708:HHW917708 HRR917708:HRS917708 IBN917708:IBO917708 ILJ917708:ILK917708 IVF917708:IVG917708 JFB917708:JFC917708 JOX917708:JOY917708 JYT917708:JYU917708 KIP917708:KIQ917708 KSL917708:KSM917708 LCH917708:LCI917708 LMD917708:LME917708 LVZ917708:LWA917708 MFV917708:MFW917708 MPR917708:MPS917708 MZN917708:MZO917708 NJJ917708:NJK917708 NTF917708:NTG917708 ODB917708:ODC917708 OMX917708:OMY917708 OWT917708:OWU917708 PGP917708:PGQ917708 PQL917708:PQM917708 QAH917708:QAI917708 QKD917708:QKE917708 QTZ917708:QUA917708 RDV917708:RDW917708 RNR917708:RNS917708 RXN917708:RXO917708 SHJ917708:SHK917708 SRF917708:SRG917708 TBB917708:TBC917708 TKX917708:TKY917708 TUT917708:TUU917708 UEP917708:UEQ917708 UOL917708:UOM917708 UYH917708:UYI917708 VID917708:VIE917708 VRZ917708:VSA917708 WBV917708:WBW917708 WLR917708:WLS917708 WVN917708:WVO917708 G983244 JB983244:JC983244 SX983244:SY983244 ACT983244:ACU983244 AMP983244:AMQ983244 AWL983244:AWM983244 BGH983244:BGI983244 BQD983244:BQE983244 BZZ983244:CAA983244 CJV983244:CJW983244 CTR983244:CTS983244 DDN983244:DDO983244 DNJ983244:DNK983244 DXF983244:DXG983244 EHB983244:EHC983244 EQX983244:EQY983244 FAT983244:FAU983244 FKP983244:FKQ983244 FUL983244:FUM983244 GEH983244:GEI983244 GOD983244:GOE983244 GXZ983244:GYA983244 HHV983244:HHW983244 HRR983244:HRS983244 IBN983244:IBO983244 ILJ983244:ILK983244 IVF983244:IVG983244 JFB983244:JFC983244 JOX983244:JOY983244 JYT983244:JYU983244 KIP983244:KIQ983244 KSL983244:KSM983244 LCH983244:LCI983244 LMD983244:LME983244 LVZ983244:LWA983244 MFV983244:MFW983244 MPR983244:MPS983244 MZN983244:MZO983244 NJJ983244:NJK983244 NTF983244:NTG983244 ODB983244:ODC983244 OMX983244:OMY983244 OWT983244:OWU983244 PGP983244:PGQ983244 PQL983244:PQM983244 QAH983244:QAI983244 QKD983244:QKE983244 QTZ983244:QUA983244 RDV983244:RDW983244 RNR983244:RNS983244 RXN983244:RXO983244 SHJ983244:SHK983244 SRF983244:SRG983244 TBB983244:TBC983244 TKX983244:TKY983244 TUT983244:TUU983244 UEP983244:UEQ983244 UOL983244:UOM983244 UYH983244:UYI983244 VID983244:VIE983244 VRZ983244:VSA983244 WBV983244:WBW983244 WLR983244:WLS983244 WVN983244:WVO983244"/>
  </dataValidations>
  <pageMargins left="0.7" right="0.7" top="0.75" bottom="0.75" header="0.3" footer="0.3"/>
  <ignoredErrors>
    <ignoredError sqref="E7:E182" numberStoredAsText="1"/>
    <ignoredError sqref="G40" formulaRange="1"/>
  </ignoredErrors>
  <legacyDrawing r:id="rId1"/>
  <extLst>
    <ext xmlns:x14="http://schemas.microsoft.com/office/spreadsheetml/2009/9/main" uri="{CCE6A557-97BC-4b89-ADB6-D9C93CAAB3DF}">
      <x14:dataValidations xmlns:xm="http://schemas.microsoft.com/office/excel/2006/main" count="1">
        <x14:dataValidation operator="greaterThanOrEqual" allowBlank="1" errorTitle="Error de datos" error="Debe ingresar un valor entero positivo">
          <xm:sqref>F6:F107 JA6:JA107 SW6:SW107 ACS6:ACS107 AMO6:AMO107 AWK6:AWK107 BGG6:BGG107 BQC6:BQC107 BZY6:BZY107 CJU6:CJU107 CTQ6:CTQ107 DDM6:DDM107 DNI6:DNI107 DXE6:DXE107 EHA6:EHA107 EQW6:EQW107 FAS6:FAS107 FKO6:FKO107 FUK6:FUK107 GEG6:GEG107 GOC6:GOC107 GXY6:GXY107 HHU6:HHU107 HRQ6:HRQ107 IBM6:IBM107 ILI6:ILI107 IVE6:IVE107 JFA6:JFA107 JOW6:JOW107 JYS6:JYS107 KIO6:KIO107 KSK6:KSK107 LCG6:LCG107 LMC6:LMC107 LVY6:LVY107 MFU6:MFU107 MPQ6:MPQ107 MZM6:MZM107 NJI6:NJI107 NTE6:NTE107 ODA6:ODA107 OMW6:OMW107 OWS6:OWS107 PGO6:PGO107 PQK6:PQK107 QAG6:QAG107 QKC6:QKC107 QTY6:QTY107 RDU6:RDU107 RNQ6:RNQ107 RXM6:RXM107 SHI6:SHI107 SRE6:SRE107 TBA6:TBA107 TKW6:TKW107 TUS6:TUS107 UEO6:UEO107 UOK6:UOK107 UYG6:UYG107 VIC6:VIC107 VRY6:VRY107 WBU6:WBU107 WLQ6:WLQ107 WVM6:WVM107 F65542:F65643 JA65542:JA65643 SW65542:SW65643 ACS65542:ACS65643 AMO65542:AMO65643 AWK65542:AWK65643 BGG65542:BGG65643 BQC65542:BQC65643 BZY65542:BZY65643 CJU65542:CJU65643 CTQ65542:CTQ65643 DDM65542:DDM65643 DNI65542:DNI65643 DXE65542:DXE65643 EHA65542:EHA65643 EQW65542:EQW65643 FAS65542:FAS65643 FKO65542:FKO65643 FUK65542:FUK65643 GEG65542:GEG65643 GOC65542:GOC65643 GXY65542:GXY65643 HHU65542:HHU65643 HRQ65542:HRQ65643 IBM65542:IBM65643 ILI65542:ILI65643 IVE65542:IVE65643 JFA65542:JFA65643 JOW65542:JOW65643 JYS65542:JYS65643 KIO65542:KIO65643 KSK65542:KSK65643 LCG65542:LCG65643 LMC65542:LMC65643 LVY65542:LVY65643 MFU65542:MFU65643 MPQ65542:MPQ65643 MZM65542:MZM65643 NJI65542:NJI65643 NTE65542:NTE65643 ODA65542:ODA65643 OMW65542:OMW65643 OWS65542:OWS65643 PGO65542:PGO65643 PQK65542:PQK65643 QAG65542:QAG65643 QKC65542:QKC65643 QTY65542:QTY65643 RDU65542:RDU65643 RNQ65542:RNQ65643 RXM65542:RXM65643 SHI65542:SHI65643 SRE65542:SRE65643 TBA65542:TBA65643 TKW65542:TKW65643 TUS65542:TUS65643 UEO65542:UEO65643 UOK65542:UOK65643 UYG65542:UYG65643 VIC65542:VIC65643 VRY65542:VRY65643 WBU65542:WBU65643 WLQ65542:WLQ65643 WVM65542:WVM65643 F131078:F131179 JA131078:JA131179 SW131078:SW131179 ACS131078:ACS131179 AMO131078:AMO131179 AWK131078:AWK131179 BGG131078:BGG131179 BQC131078:BQC131179 BZY131078:BZY131179 CJU131078:CJU131179 CTQ131078:CTQ131179 DDM131078:DDM131179 DNI131078:DNI131179 DXE131078:DXE131179 EHA131078:EHA131179 EQW131078:EQW131179 FAS131078:FAS131179 FKO131078:FKO131179 FUK131078:FUK131179 GEG131078:GEG131179 GOC131078:GOC131179 GXY131078:GXY131179 HHU131078:HHU131179 HRQ131078:HRQ131179 IBM131078:IBM131179 ILI131078:ILI131179 IVE131078:IVE131179 JFA131078:JFA131179 JOW131078:JOW131179 JYS131078:JYS131179 KIO131078:KIO131179 KSK131078:KSK131179 LCG131078:LCG131179 LMC131078:LMC131179 LVY131078:LVY131179 MFU131078:MFU131179 MPQ131078:MPQ131179 MZM131078:MZM131179 NJI131078:NJI131179 NTE131078:NTE131179 ODA131078:ODA131179 OMW131078:OMW131179 OWS131078:OWS131179 PGO131078:PGO131179 PQK131078:PQK131179 QAG131078:QAG131179 QKC131078:QKC131179 QTY131078:QTY131179 RDU131078:RDU131179 RNQ131078:RNQ131179 RXM131078:RXM131179 SHI131078:SHI131179 SRE131078:SRE131179 TBA131078:TBA131179 TKW131078:TKW131179 TUS131078:TUS131179 UEO131078:UEO131179 UOK131078:UOK131179 UYG131078:UYG131179 VIC131078:VIC131179 VRY131078:VRY131179 WBU131078:WBU131179 WLQ131078:WLQ131179 WVM131078:WVM131179 F196614:F196715 JA196614:JA196715 SW196614:SW196715 ACS196614:ACS196715 AMO196614:AMO196715 AWK196614:AWK196715 BGG196614:BGG196715 BQC196614:BQC196715 BZY196614:BZY196715 CJU196614:CJU196715 CTQ196614:CTQ196715 DDM196614:DDM196715 DNI196614:DNI196715 DXE196614:DXE196715 EHA196614:EHA196715 EQW196614:EQW196715 FAS196614:FAS196715 FKO196614:FKO196715 FUK196614:FUK196715 GEG196614:GEG196715 GOC196614:GOC196715 GXY196614:GXY196715 HHU196614:HHU196715 HRQ196614:HRQ196715 IBM196614:IBM196715 ILI196614:ILI196715 IVE196614:IVE196715 JFA196614:JFA196715 JOW196614:JOW196715 JYS196614:JYS196715 KIO196614:KIO196715 KSK196614:KSK196715 LCG196614:LCG196715 LMC196614:LMC196715 LVY196614:LVY196715 MFU196614:MFU196715 MPQ196614:MPQ196715 MZM196614:MZM196715 NJI196614:NJI196715 NTE196614:NTE196715 ODA196614:ODA196715 OMW196614:OMW196715 OWS196614:OWS196715 PGO196614:PGO196715 PQK196614:PQK196715 QAG196614:QAG196715 QKC196614:QKC196715 QTY196614:QTY196715 RDU196614:RDU196715 RNQ196614:RNQ196715 RXM196614:RXM196715 SHI196614:SHI196715 SRE196614:SRE196715 TBA196614:TBA196715 TKW196614:TKW196715 TUS196614:TUS196715 UEO196614:UEO196715 UOK196614:UOK196715 UYG196614:UYG196715 VIC196614:VIC196715 VRY196614:VRY196715 WBU196614:WBU196715 WLQ196614:WLQ196715 WVM196614:WVM196715 F262150:F262251 JA262150:JA262251 SW262150:SW262251 ACS262150:ACS262251 AMO262150:AMO262251 AWK262150:AWK262251 BGG262150:BGG262251 BQC262150:BQC262251 BZY262150:BZY262251 CJU262150:CJU262251 CTQ262150:CTQ262251 DDM262150:DDM262251 DNI262150:DNI262251 DXE262150:DXE262251 EHA262150:EHA262251 EQW262150:EQW262251 FAS262150:FAS262251 FKO262150:FKO262251 FUK262150:FUK262251 GEG262150:GEG262251 GOC262150:GOC262251 GXY262150:GXY262251 HHU262150:HHU262251 HRQ262150:HRQ262251 IBM262150:IBM262251 ILI262150:ILI262251 IVE262150:IVE262251 JFA262150:JFA262251 JOW262150:JOW262251 JYS262150:JYS262251 KIO262150:KIO262251 KSK262150:KSK262251 LCG262150:LCG262251 LMC262150:LMC262251 LVY262150:LVY262251 MFU262150:MFU262251 MPQ262150:MPQ262251 MZM262150:MZM262251 NJI262150:NJI262251 NTE262150:NTE262251 ODA262150:ODA262251 OMW262150:OMW262251 OWS262150:OWS262251 PGO262150:PGO262251 PQK262150:PQK262251 QAG262150:QAG262251 QKC262150:QKC262251 QTY262150:QTY262251 RDU262150:RDU262251 RNQ262150:RNQ262251 RXM262150:RXM262251 SHI262150:SHI262251 SRE262150:SRE262251 TBA262150:TBA262251 TKW262150:TKW262251 TUS262150:TUS262251 UEO262150:UEO262251 UOK262150:UOK262251 UYG262150:UYG262251 VIC262150:VIC262251 VRY262150:VRY262251 WBU262150:WBU262251 WLQ262150:WLQ262251 WVM262150:WVM262251 F327686:F327787 JA327686:JA327787 SW327686:SW327787 ACS327686:ACS327787 AMO327686:AMO327787 AWK327686:AWK327787 BGG327686:BGG327787 BQC327686:BQC327787 BZY327686:BZY327787 CJU327686:CJU327787 CTQ327686:CTQ327787 DDM327686:DDM327787 DNI327686:DNI327787 DXE327686:DXE327787 EHA327686:EHA327787 EQW327686:EQW327787 FAS327686:FAS327787 FKO327686:FKO327787 FUK327686:FUK327787 GEG327686:GEG327787 GOC327686:GOC327787 GXY327686:GXY327787 HHU327686:HHU327787 HRQ327686:HRQ327787 IBM327686:IBM327787 ILI327686:ILI327787 IVE327686:IVE327787 JFA327686:JFA327787 JOW327686:JOW327787 JYS327686:JYS327787 KIO327686:KIO327787 KSK327686:KSK327787 LCG327686:LCG327787 LMC327686:LMC327787 LVY327686:LVY327787 MFU327686:MFU327787 MPQ327686:MPQ327787 MZM327686:MZM327787 NJI327686:NJI327787 NTE327686:NTE327787 ODA327686:ODA327787 OMW327686:OMW327787 OWS327686:OWS327787 PGO327686:PGO327787 PQK327686:PQK327787 QAG327686:QAG327787 QKC327686:QKC327787 QTY327686:QTY327787 RDU327686:RDU327787 RNQ327686:RNQ327787 RXM327686:RXM327787 SHI327686:SHI327787 SRE327686:SRE327787 TBA327686:TBA327787 TKW327686:TKW327787 TUS327686:TUS327787 UEO327686:UEO327787 UOK327686:UOK327787 UYG327686:UYG327787 VIC327686:VIC327787 VRY327686:VRY327787 WBU327686:WBU327787 WLQ327686:WLQ327787 WVM327686:WVM327787 F393222:F393323 JA393222:JA393323 SW393222:SW393323 ACS393222:ACS393323 AMO393222:AMO393323 AWK393222:AWK393323 BGG393222:BGG393323 BQC393222:BQC393323 BZY393222:BZY393323 CJU393222:CJU393323 CTQ393222:CTQ393323 DDM393222:DDM393323 DNI393222:DNI393323 DXE393222:DXE393323 EHA393222:EHA393323 EQW393222:EQW393323 FAS393222:FAS393323 FKO393222:FKO393323 FUK393222:FUK393323 GEG393222:GEG393323 GOC393222:GOC393323 GXY393222:GXY393323 HHU393222:HHU393323 HRQ393222:HRQ393323 IBM393222:IBM393323 ILI393222:ILI393323 IVE393222:IVE393323 JFA393222:JFA393323 JOW393222:JOW393323 JYS393222:JYS393323 KIO393222:KIO393323 KSK393222:KSK393323 LCG393222:LCG393323 LMC393222:LMC393323 LVY393222:LVY393323 MFU393222:MFU393323 MPQ393222:MPQ393323 MZM393222:MZM393323 NJI393222:NJI393323 NTE393222:NTE393323 ODA393222:ODA393323 OMW393222:OMW393323 OWS393222:OWS393323 PGO393222:PGO393323 PQK393222:PQK393323 QAG393222:QAG393323 QKC393222:QKC393323 QTY393222:QTY393323 RDU393222:RDU393323 RNQ393222:RNQ393323 RXM393222:RXM393323 SHI393222:SHI393323 SRE393222:SRE393323 TBA393222:TBA393323 TKW393222:TKW393323 TUS393222:TUS393323 UEO393222:UEO393323 UOK393222:UOK393323 UYG393222:UYG393323 VIC393222:VIC393323 VRY393222:VRY393323 WBU393222:WBU393323 WLQ393222:WLQ393323 WVM393222:WVM393323 F458758:F458859 JA458758:JA458859 SW458758:SW458859 ACS458758:ACS458859 AMO458758:AMO458859 AWK458758:AWK458859 BGG458758:BGG458859 BQC458758:BQC458859 BZY458758:BZY458859 CJU458758:CJU458859 CTQ458758:CTQ458859 DDM458758:DDM458859 DNI458758:DNI458859 DXE458758:DXE458859 EHA458758:EHA458859 EQW458758:EQW458859 FAS458758:FAS458859 FKO458758:FKO458859 FUK458758:FUK458859 GEG458758:GEG458859 GOC458758:GOC458859 GXY458758:GXY458859 HHU458758:HHU458859 HRQ458758:HRQ458859 IBM458758:IBM458859 ILI458758:ILI458859 IVE458758:IVE458859 JFA458758:JFA458859 JOW458758:JOW458859 JYS458758:JYS458859 KIO458758:KIO458859 KSK458758:KSK458859 LCG458758:LCG458859 LMC458758:LMC458859 LVY458758:LVY458859 MFU458758:MFU458859 MPQ458758:MPQ458859 MZM458758:MZM458859 NJI458758:NJI458859 NTE458758:NTE458859 ODA458758:ODA458859 OMW458758:OMW458859 OWS458758:OWS458859 PGO458758:PGO458859 PQK458758:PQK458859 QAG458758:QAG458859 QKC458758:QKC458859 QTY458758:QTY458859 RDU458758:RDU458859 RNQ458758:RNQ458859 RXM458758:RXM458859 SHI458758:SHI458859 SRE458758:SRE458859 TBA458758:TBA458859 TKW458758:TKW458859 TUS458758:TUS458859 UEO458758:UEO458859 UOK458758:UOK458859 UYG458758:UYG458859 VIC458758:VIC458859 VRY458758:VRY458859 WBU458758:WBU458859 WLQ458758:WLQ458859 WVM458758:WVM458859 F524294:F524395 JA524294:JA524395 SW524294:SW524395 ACS524294:ACS524395 AMO524294:AMO524395 AWK524294:AWK524395 BGG524294:BGG524395 BQC524294:BQC524395 BZY524294:BZY524395 CJU524294:CJU524395 CTQ524294:CTQ524395 DDM524294:DDM524395 DNI524294:DNI524395 DXE524294:DXE524395 EHA524294:EHA524395 EQW524294:EQW524395 FAS524294:FAS524395 FKO524294:FKO524395 FUK524294:FUK524395 GEG524294:GEG524395 GOC524294:GOC524395 GXY524294:GXY524395 HHU524294:HHU524395 HRQ524294:HRQ524395 IBM524294:IBM524395 ILI524294:ILI524395 IVE524294:IVE524395 JFA524294:JFA524395 JOW524294:JOW524395 JYS524294:JYS524395 KIO524294:KIO524395 KSK524294:KSK524395 LCG524294:LCG524395 LMC524294:LMC524395 LVY524294:LVY524395 MFU524294:MFU524395 MPQ524294:MPQ524395 MZM524294:MZM524395 NJI524294:NJI524395 NTE524294:NTE524395 ODA524294:ODA524395 OMW524294:OMW524395 OWS524294:OWS524395 PGO524294:PGO524395 PQK524294:PQK524395 QAG524294:QAG524395 QKC524294:QKC524395 QTY524294:QTY524395 RDU524294:RDU524395 RNQ524294:RNQ524395 RXM524294:RXM524395 SHI524294:SHI524395 SRE524294:SRE524395 TBA524294:TBA524395 TKW524294:TKW524395 TUS524294:TUS524395 UEO524294:UEO524395 UOK524294:UOK524395 UYG524294:UYG524395 VIC524294:VIC524395 VRY524294:VRY524395 WBU524294:WBU524395 WLQ524294:WLQ524395 WVM524294:WVM524395 F589830:F589931 JA589830:JA589931 SW589830:SW589931 ACS589830:ACS589931 AMO589830:AMO589931 AWK589830:AWK589931 BGG589830:BGG589931 BQC589830:BQC589931 BZY589830:BZY589931 CJU589830:CJU589931 CTQ589830:CTQ589931 DDM589830:DDM589931 DNI589830:DNI589931 DXE589830:DXE589931 EHA589830:EHA589931 EQW589830:EQW589931 FAS589830:FAS589931 FKO589830:FKO589931 FUK589830:FUK589931 GEG589830:GEG589931 GOC589830:GOC589931 GXY589830:GXY589931 HHU589830:HHU589931 HRQ589830:HRQ589931 IBM589830:IBM589931 ILI589830:ILI589931 IVE589830:IVE589931 JFA589830:JFA589931 JOW589830:JOW589931 JYS589830:JYS589931 KIO589830:KIO589931 KSK589830:KSK589931 LCG589830:LCG589931 LMC589830:LMC589931 LVY589830:LVY589931 MFU589830:MFU589931 MPQ589830:MPQ589931 MZM589830:MZM589931 NJI589830:NJI589931 NTE589830:NTE589931 ODA589830:ODA589931 OMW589830:OMW589931 OWS589830:OWS589931 PGO589830:PGO589931 PQK589830:PQK589931 QAG589830:QAG589931 QKC589830:QKC589931 QTY589830:QTY589931 RDU589830:RDU589931 RNQ589830:RNQ589931 RXM589830:RXM589931 SHI589830:SHI589931 SRE589830:SRE589931 TBA589830:TBA589931 TKW589830:TKW589931 TUS589830:TUS589931 UEO589830:UEO589931 UOK589830:UOK589931 UYG589830:UYG589931 VIC589830:VIC589931 VRY589830:VRY589931 WBU589830:WBU589931 WLQ589830:WLQ589931 WVM589830:WVM589931 F655366:F655467 JA655366:JA655467 SW655366:SW655467 ACS655366:ACS655467 AMO655366:AMO655467 AWK655366:AWK655467 BGG655366:BGG655467 BQC655366:BQC655467 BZY655366:BZY655467 CJU655366:CJU655467 CTQ655366:CTQ655467 DDM655366:DDM655467 DNI655366:DNI655467 DXE655366:DXE655467 EHA655366:EHA655467 EQW655366:EQW655467 FAS655366:FAS655467 FKO655366:FKO655467 FUK655366:FUK655467 GEG655366:GEG655467 GOC655366:GOC655467 GXY655366:GXY655467 HHU655366:HHU655467 HRQ655366:HRQ655467 IBM655366:IBM655467 ILI655366:ILI655467 IVE655366:IVE655467 JFA655366:JFA655467 JOW655366:JOW655467 JYS655366:JYS655467 KIO655366:KIO655467 KSK655366:KSK655467 LCG655366:LCG655467 LMC655366:LMC655467 LVY655366:LVY655467 MFU655366:MFU655467 MPQ655366:MPQ655467 MZM655366:MZM655467 NJI655366:NJI655467 NTE655366:NTE655467 ODA655366:ODA655467 OMW655366:OMW655467 OWS655366:OWS655467 PGO655366:PGO655467 PQK655366:PQK655467 QAG655366:QAG655467 QKC655366:QKC655467 QTY655366:QTY655467 RDU655366:RDU655467 RNQ655366:RNQ655467 RXM655366:RXM655467 SHI655366:SHI655467 SRE655366:SRE655467 TBA655366:TBA655467 TKW655366:TKW655467 TUS655366:TUS655467 UEO655366:UEO655467 UOK655366:UOK655467 UYG655366:UYG655467 VIC655366:VIC655467 VRY655366:VRY655467 WBU655366:WBU655467 WLQ655366:WLQ655467 WVM655366:WVM655467 F720902:F721003 JA720902:JA721003 SW720902:SW721003 ACS720902:ACS721003 AMO720902:AMO721003 AWK720902:AWK721003 BGG720902:BGG721003 BQC720902:BQC721003 BZY720902:BZY721003 CJU720902:CJU721003 CTQ720902:CTQ721003 DDM720902:DDM721003 DNI720902:DNI721003 DXE720902:DXE721003 EHA720902:EHA721003 EQW720902:EQW721003 FAS720902:FAS721003 FKO720902:FKO721003 FUK720902:FUK721003 GEG720902:GEG721003 GOC720902:GOC721003 GXY720902:GXY721003 HHU720902:HHU721003 HRQ720902:HRQ721003 IBM720902:IBM721003 ILI720902:ILI721003 IVE720902:IVE721003 JFA720902:JFA721003 JOW720902:JOW721003 JYS720902:JYS721003 KIO720902:KIO721003 KSK720902:KSK721003 LCG720902:LCG721003 LMC720902:LMC721003 LVY720902:LVY721003 MFU720902:MFU721003 MPQ720902:MPQ721003 MZM720902:MZM721003 NJI720902:NJI721003 NTE720902:NTE721003 ODA720902:ODA721003 OMW720902:OMW721003 OWS720902:OWS721003 PGO720902:PGO721003 PQK720902:PQK721003 QAG720902:QAG721003 QKC720902:QKC721003 QTY720902:QTY721003 RDU720902:RDU721003 RNQ720902:RNQ721003 RXM720902:RXM721003 SHI720902:SHI721003 SRE720902:SRE721003 TBA720902:TBA721003 TKW720902:TKW721003 TUS720902:TUS721003 UEO720902:UEO721003 UOK720902:UOK721003 UYG720902:UYG721003 VIC720902:VIC721003 VRY720902:VRY721003 WBU720902:WBU721003 WLQ720902:WLQ721003 WVM720902:WVM721003 F786438:F786539 JA786438:JA786539 SW786438:SW786539 ACS786438:ACS786539 AMO786438:AMO786539 AWK786438:AWK786539 BGG786438:BGG786539 BQC786438:BQC786539 BZY786438:BZY786539 CJU786438:CJU786539 CTQ786438:CTQ786539 DDM786438:DDM786539 DNI786438:DNI786539 DXE786438:DXE786539 EHA786438:EHA786539 EQW786438:EQW786539 FAS786438:FAS786539 FKO786438:FKO786539 FUK786438:FUK786539 GEG786438:GEG786539 GOC786438:GOC786539 GXY786438:GXY786539 HHU786438:HHU786539 HRQ786438:HRQ786539 IBM786438:IBM786539 ILI786438:ILI786539 IVE786438:IVE786539 JFA786438:JFA786539 JOW786438:JOW786539 JYS786438:JYS786539 KIO786438:KIO786539 KSK786438:KSK786539 LCG786438:LCG786539 LMC786438:LMC786539 LVY786438:LVY786539 MFU786438:MFU786539 MPQ786438:MPQ786539 MZM786438:MZM786539 NJI786438:NJI786539 NTE786438:NTE786539 ODA786438:ODA786539 OMW786438:OMW786539 OWS786438:OWS786539 PGO786438:PGO786539 PQK786438:PQK786539 QAG786438:QAG786539 QKC786438:QKC786539 QTY786438:QTY786539 RDU786438:RDU786539 RNQ786438:RNQ786539 RXM786438:RXM786539 SHI786438:SHI786539 SRE786438:SRE786539 TBA786438:TBA786539 TKW786438:TKW786539 TUS786438:TUS786539 UEO786438:UEO786539 UOK786438:UOK786539 UYG786438:UYG786539 VIC786438:VIC786539 VRY786438:VRY786539 WBU786438:WBU786539 WLQ786438:WLQ786539 WVM786438:WVM786539 F851974:F852075 JA851974:JA852075 SW851974:SW852075 ACS851974:ACS852075 AMO851974:AMO852075 AWK851974:AWK852075 BGG851974:BGG852075 BQC851974:BQC852075 BZY851974:BZY852075 CJU851974:CJU852075 CTQ851974:CTQ852075 DDM851974:DDM852075 DNI851974:DNI852075 DXE851974:DXE852075 EHA851974:EHA852075 EQW851974:EQW852075 FAS851974:FAS852075 FKO851974:FKO852075 FUK851974:FUK852075 GEG851974:GEG852075 GOC851974:GOC852075 GXY851974:GXY852075 HHU851974:HHU852075 HRQ851974:HRQ852075 IBM851974:IBM852075 ILI851974:ILI852075 IVE851974:IVE852075 JFA851974:JFA852075 JOW851974:JOW852075 JYS851974:JYS852075 KIO851974:KIO852075 KSK851974:KSK852075 LCG851974:LCG852075 LMC851974:LMC852075 LVY851974:LVY852075 MFU851974:MFU852075 MPQ851974:MPQ852075 MZM851974:MZM852075 NJI851974:NJI852075 NTE851974:NTE852075 ODA851974:ODA852075 OMW851974:OMW852075 OWS851974:OWS852075 PGO851974:PGO852075 PQK851974:PQK852075 QAG851974:QAG852075 QKC851974:QKC852075 QTY851974:QTY852075 RDU851974:RDU852075 RNQ851974:RNQ852075 RXM851974:RXM852075 SHI851974:SHI852075 SRE851974:SRE852075 TBA851974:TBA852075 TKW851974:TKW852075 TUS851974:TUS852075 UEO851974:UEO852075 UOK851974:UOK852075 UYG851974:UYG852075 VIC851974:VIC852075 VRY851974:VRY852075 WBU851974:WBU852075 WLQ851974:WLQ852075 WVM851974:WVM852075 F917510:F917611 JA917510:JA917611 SW917510:SW917611 ACS917510:ACS917611 AMO917510:AMO917611 AWK917510:AWK917611 BGG917510:BGG917611 BQC917510:BQC917611 BZY917510:BZY917611 CJU917510:CJU917611 CTQ917510:CTQ917611 DDM917510:DDM917611 DNI917510:DNI917611 DXE917510:DXE917611 EHA917510:EHA917611 EQW917510:EQW917611 FAS917510:FAS917611 FKO917510:FKO917611 FUK917510:FUK917611 GEG917510:GEG917611 GOC917510:GOC917611 GXY917510:GXY917611 HHU917510:HHU917611 HRQ917510:HRQ917611 IBM917510:IBM917611 ILI917510:ILI917611 IVE917510:IVE917611 JFA917510:JFA917611 JOW917510:JOW917611 JYS917510:JYS917611 KIO917510:KIO917611 KSK917510:KSK917611 LCG917510:LCG917611 LMC917510:LMC917611 LVY917510:LVY917611 MFU917510:MFU917611 MPQ917510:MPQ917611 MZM917510:MZM917611 NJI917510:NJI917611 NTE917510:NTE917611 ODA917510:ODA917611 OMW917510:OMW917611 OWS917510:OWS917611 PGO917510:PGO917611 PQK917510:PQK917611 QAG917510:QAG917611 QKC917510:QKC917611 QTY917510:QTY917611 RDU917510:RDU917611 RNQ917510:RNQ917611 RXM917510:RXM917611 SHI917510:SHI917611 SRE917510:SRE917611 TBA917510:TBA917611 TKW917510:TKW917611 TUS917510:TUS917611 UEO917510:UEO917611 UOK917510:UOK917611 UYG917510:UYG917611 VIC917510:VIC917611 VRY917510:VRY917611 WBU917510:WBU917611 WLQ917510:WLQ917611 WVM917510:WVM917611 F983046:F983147 JA983046:JA983147 SW983046:SW983147 ACS983046:ACS983147 AMO983046:AMO983147 AWK983046:AWK983147 BGG983046:BGG983147 BQC983046:BQC983147 BZY983046:BZY983147 CJU983046:CJU983147 CTQ983046:CTQ983147 DDM983046:DDM983147 DNI983046:DNI983147 DXE983046:DXE983147 EHA983046:EHA983147 EQW983046:EQW983147 FAS983046:FAS983147 FKO983046:FKO983147 FUK983046:FUK983147 GEG983046:GEG983147 GOC983046:GOC983147 GXY983046:GXY983147 HHU983046:HHU983147 HRQ983046:HRQ983147 IBM983046:IBM983147 ILI983046:ILI983147 IVE983046:IVE983147 JFA983046:JFA983147 JOW983046:JOW983147 JYS983046:JYS983147 KIO983046:KIO983147 KSK983046:KSK983147 LCG983046:LCG983147 LMC983046:LMC983147 LVY983046:LVY983147 MFU983046:MFU983147 MPQ983046:MPQ983147 MZM983046:MZM983147 NJI983046:NJI983147 NTE983046:NTE983147 ODA983046:ODA983147 OMW983046:OMW983147 OWS983046:OWS983147 PGO983046:PGO983147 PQK983046:PQK983147 QAG983046:QAG983147 QKC983046:QKC983147 QTY983046:QTY983147 RDU983046:RDU983147 RNQ983046:RNQ983147 RXM983046:RXM983147 SHI983046:SHI983147 SRE983046:SRE983147 TBA983046:TBA983147 TKW983046:TKW983147 TUS983046:TUS983147 UEO983046:UEO983147 UOK983046:UOK983147 UYG983046:UYG983147 VIC983046:VIC983147 VRY983046:VRY983147 WBU983046:WBU983147 WLQ983046:WLQ983147 WVM983046:WVM983147 F203 JA203 SW203 ACS203 AMO203 AWK203 BGG203 BQC203 BZY203 CJU203 CTQ203 DDM203 DNI203 DXE203 EHA203 EQW203 FAS203 FKO203 FUK203 GEG203 GOC203 GXY203 HHU203 HRQ203 IBM203 ILI203 IVE203 JFA203 JOW203 JYS203 KIO203 KSK203 LCG203 LMC203 LVY203 MFU203 MPQ203 MZM203 NJI203 NTE203 ODA203 OMW203 OWS203 PGO203 PQK203 QAG203 QKC203 QTY203 RDU203 RNQ203 RXM203 SHI203 SRE203 TBA203 TKW203 TUS203 UEO203 UOK203 UYG203 VIC203 VRY203 WBU203 WLQ203 WVM203 F65739 JA65739 SW65739 ACS65739 AMO65739 AWK65739 BGG65739 BQC65739 BZY65739 CJU65739 CTQ65739 DDM65739 DNI65739 DXE65739 EHA65739 EQW65739 FAS65739 FKO65739 FUK65739 GEG65739 GOC65739 GXY65739 HHU65739 HRQ65739 IBM65739 ILI65739 IVE65739 JFA65739 JOW65739 JYS65739 KIO65739 KSK65739 LCG65739 LMC65739 LVY65739 MFU65739 MPQ65739 MZM65739 NJI65739 NTE65739 ODA65739 OMW65739 OWS65739 PGO65739 PQK65739 QAG65739 QKC65739 QTY65739 RDU65739 RNQ65739 RXM65739 SHI65739 SRE65739 TBA65739 TKW65739 TUS65739 UEO65739 UOK65739 UYG65739 VIC65739 VRY65739 WBU65739 WLQ65739 WVM65739 F131275 JA131275 SW131275 ACS131275 AMO131275 AWK131275 BGG131275 BQC131275 BZY131275 CJU131275 CTQ131275 DDM131275 DNI131275 DXE131275 EHA131275 EQW131275 FAS131275 FKO131275 FUK131275 GEG131275 GOC131275 GXY131275 HHU131275 HRQ131275 IBM131275 ILI131275 IVE131275 JFA131275 JOW131275 JYS131275 KIO131275 KSK131275 LCG131275 LMC131275 LVY131275 MFU131275 MPQ131275 MZM131275 NJI131275 NTE131275 ODA131275 OMW131275 OWS131275 PGO131275 PQK131275 QAG131275 QKC131275 QTY131275 RDU131275 RNQ131275 RXM131275 SHI131275 SRE131275 TBA131275 TKW131275 TUS131275 UEO131275 UOK131275 UYG131275 VIC131275 VRY131275 WBU131275 WLQ131275 WVM131275 F196811 JA196811 SW196811 ACS196811 AMO196811 AWK196811 BGG196811 BQC196811 BZY196811 CJU196811 CTQ196811 DDM196811 DNI196811 DXE196811 EHA196811 EQW196811 FAS196811 FKO196811 FUK196811 GEG196811 GOC196811 GXY196811 HHU196811 HRQ196811 IBM196811 ILI196811 IVE196811 JFA196811 JOW196811 JYS196811 KIO196811 KSK196811 LCG196811 LMC196811 LVY196811 MFU196811 MPQ196811 MZM196811 NJI196811 NTE196811 ODA196811 OMW196811 OWS196811 PGO196811 PQK196811 QAG196811 QKC196811 QTY196811 RDU196811 RNQ196811 RXM196811 SHI196811 SRE196811 TBA196811 TKW196811 TUS196811 UEO196811 UOK196811 UYG196811 VIC196811 VRY196811 WBU196811 WLQ196811 WVM196811 F262347 JA262347 SW262347 ACS262347 AMO262347 AWK262347 BGG262347 BQC262347 BZY262347 CJU262347 CTQ262347 DDM262347 DNI262347 DXE262347 EHA262347 EQW262347 FAS262347 FKO262347 FUK262347 GEG262347 GOC262347 GXY262347 HHU262347 HRQ262347 IBM262347 ILI262347 IVE262347 JFA262347 JOW262347 JYS262347 KIO262347 KSK262347 LCG262347 LMC262347 LVY262347 MFU262347 MPQ262347 MZM262347 NJI262347 NTE262347 ODA262347 OMW262347 OWS262347 PGO262347 PQK262347 QAG262347 QKC262347 QTY262347 RDU262347 RNQ262347 RXM262347 SHI262347 SRE262347 TBA262347 TKW262347 TUS262347 UEO262347 UOK262347 UYG262347 VIC262347 VRY262347 WBU262347 WLQ262347 WVM262347 F327883 JA327883 SW327883 ACS327883 AMO327883 AWK327883 BGG327883 BQC327883 BZY327883 CJU327883 CTQ327883 DDM327883 DNI327883 DXE327883 EHA327883 EQW327883 FAS327883 FKO327883 FUK327883 GEG327883 GOC327883 GXY327883 HHU327883 HRQ327883 IBM327883 ILI327883 IVE327883 JFA327883 JOW327883 JYS327883 KIO327883 KSK327883 LCG327883 LMC327883 LVY327883 MFU327883 MPQ327883 MZM327883 NJI327883 NTE327883 ODA327883 OMW327883 OWS327883 PGO327883 PQK327883 QAG327883 QKC327883 QTY327883 RDU327883 RNQ327883 RXM327883 SHI327883 SRE327883 TBA327883 TKW327883 TUS327883 UEO327883 UOK327883 UYG327883 VIC327883 VRY327883 WBU327883 WLQ327883 WVM327883 F393419 JA393419 SW393419 ACS393419 AMO393419 AWK393419 BGG393419 BQC393419 BZY393419 CJU393419 CTQ393419 DDM393419 DNI393419 DXE393419 EHA393419 EQW393419 FAS393419 FKO393419 FUK393419 GEG393419 GOC393419 GXY393419 HHU393419 HRQ393419 IBM393419 ILI393419 IVE393419 JFA393419 JOW393419 JYS393419 KIO393419 KSK393419 LCG393419 LMC393419 LVY393419 MFU393419 MPQ393419 MZM393419 NJI393419 NTE393419 ODA393419 OMW393419 OWS393419 PGO393419 PQK393419 QAG393419 QKC393419 QTY393419 RDU393419 RNQ393419 RXM393419 SHI393419 SRE393419 TBA393419 TKW393419 TUS393419 UEO393419 UOK393419 UYG393419 VIC393419 VRY393419 WBU393419 WLQ393419 WVM393419 F458955 JA458955 SW458955 ACS458955 AMO458955 AWK458955 BGG458955 BQC458955 BZY458955 CJU458955 CTQ458955 DDM458955 DNI458955 DXE458955 EHA458955 EQW458955 FAS458955 FKO458955 FUK458955 GEG458955 GOC458955 GXY458955 HHU458955 HRQ458955 IBM458955 ILI458955 IVE458955 JFA458955 JOW458955 JYS458955 KIO458955 KSK458955 LCG458955 LMC458955 LVY458955 MFU458955 MPQ458955 MZM458955 NJI458955 NTE458955 ODA458955 OMW458955 OWS458955 PGO458955 PQK458955 QAG458955 QKC458955 QTY458955 RDU458955 RNQ458955 RXM458955 SHI458955 SRE458955 TBA458955 TKW458955 TUS458955 UEO458955 UOK458955 UYG458955 VIC458955 VRY458955 WBU458955 WLQ458955 WVM458955 F524491 JA524491 SW524491 ACS524491 AMO524491 AWK524491 BGG524491 BQC524491 BZY524491 CJU524491 CTQ524491 DDM524491 DNI524491 DXE524491 EHA524491 EQW524491 FAS524491 FKO524491 FUK524491 GEG524491 GOC524491 GXY524491 HHU524491 HRQ524491 IBM524491 ILI524491 IVE524491 JFA524491 JOW524491 JYS524491 KIO524491 KSK524491 LCG524491 LMC524491 LVY524491 MFU524491 MPQ524491 MZM524491 NJI524491 NTE524491 ODA524491 OMW524491 OWS524491 PGO524491 PQK524491 QAG524491 QKC524491 QTY524491 RDU524491 RNQ524491 RXM524491 SHI524491 SRE524491 TBA524491 TKW524491 TUS524491 UEO524491 UOK524491 UYG524491 VIC524491 VRY524491 WBU524491 WLQ524491 WVM524491 F590027 JA590027 SW590027 ACS590027 AMO590027 AWK590027 BGG590027 BQC590027 BZY590027 CJU590027 CTQ590027 DDM590027 DNI590027 DXE590027 EHA590027 EQW590027 FAS590027 FKO590027 FUK590027 GEG590027 GOC590027 GXY590027 HHU590027 HRQ590027 IBM590027 ILI590027 IVE590027 JFA590027 JOW590027 JYS590027 KIO590027 KSK590027 LCG590027 LMC590027 LVY590027 MFU590027 MPQ590027 MZM590027 NJI590027 NTE590027 ODA590027 OMW590027 OWS590027 PGO590027 PQK590027 QAG590027 QKC590027 QTY590027 RDU590027 RNQ590027 RXM590027 SHI590027 SRE590027 TBA590027 TKW590027 TUS590027 UEO590027 UOK590027 UYG590027 VIC590027 VRY590027 WBU590027 WLQ590027 WVM590027 F655563 JA655563 SW655563 ACS655563 AMO655563 AWK655563 BGG655563 BQC655563 BZY655563 CJU655563 CTQ655563 DDM655563 DNI655563 DXE655563 EHA655563 EQW655563 FAS655563 FKO655563 FUK655563 GEG655563 GOC655563 GXY655563 HHU655563 HRQ655563 IBM655563 ILI655563 IVE655563 JFA655563 JOW655563 JYS655563 KIO655563 KSK655563 LCG655563 LMC655563 LVY655563 MFU655563 MPQ655563 MZM655563 NJI655563 NTE655563 ODA655563 OMW655563 OWS655563 PGO655563 PQK655563 QAG655563 QKC655563 QTY655563 RDU655563 RNQ655563 RXM655563 SHI655563 SRE655563 TBA655563 TKW655563 TUS655563 UEO655563 UOK655563 UYG655563 VIC655563 VRY655563 WBU655563 WLQ655563 WVM655563 F721099 JA721099 SW721099 ACS721099 AMO721099 AWK721099 BGG721099 BQC721099 BZY721099 CJU721099 CTQ721099 DDM721099 DNI721099 DXE721099 EHA721099 EQW721099 FAS721099 FKO721099 FUK721099 GEG721099 GOC721099 GXY721099 HHU721099 HRQ721099 IBM721099 ILI721099 IVE721099 JFA721099 JOW721099 JYS721099 KIO721099 KSK721099 LCG721099 LMC721099 LVY721099 MFU721099 MPQ721099 MZM721099 NJI721099 NTE721099 ODA721099 OMW721099 OWS721099 PGO721099 PQK721099 QAG721099 QKC721099 QTY721099 RDU721099 RNQ721099 RXM721099 SHI721099 SRE721099 TBA721099 TKW721099 TUS721099 UEO721099 UOK721099 UYG721099 VIC721099 VRY721099 WBU721099 WLQ721099 WVM721099 F786635 JA786635 SW786635 ACS786635 AMO786635 AWK786635 BGG786635 BQC786635 BZY786635 CJU786635 CTQ786635 DDM786635 DNI786635 DXE786635 EHA786635 EQW786635 FAS786635 FKO786635 FUK786635 GEG786635 GOC786635 GXY786635 HHU786635 HRQ786635 IBM786635 ILI786635 IVE786635 JFA786635 JOW786635 JYS786635 KIO786635 KSK786635 LCG786635 LMC786635 LVY786635 MFU786635 MPQ786635 MZM786635 NJI786635 NTE786635 ODA786635 OMW786635 OWS786635 PGO786635 PQK786635 QAG786635 QKC786635 QTY786635 RDU786635 RNQ786635 RXM786635 SHI786635 SRE786635 TBA786635 TKW786635 TUS786635 UEO786635 UOK786635 UYG786635 VIC786635 VRY786635 WBU786635 WLQ786635 WVM786635 F852171 JA852171 SW852171 ACS852171 AMO852171 AWK852171 BGG852171 BQC852171 BZY852171 CJU852171 CTQ852171 DDM852171 DNI852171 DXE852171 EHA852171 EQW852171 FAS852171 FKO852171 FUK852171 GEG852171 GOC852171 GXY852171 HHU852171 HRQ852171 IBM852171 ILI852171 IVE852171 JFA852171 JOW852171 JYS852171 KIO852171 KSK852171 LCG852171 LMC852171 LVY852171 MFU852171 MPQ852171 MZM852171 NJI852171 NTE852171 ODA852171 OMW852171 OWS852171 PGO852171 PQK852171 QAG852171 QKC852171 QTY852171 RDU852171 RNQ852171 RXM852171 SHI852171 SRE852171 TBA852171 TKW852171 TUS852171 UEO852171 UOK852171 UYG852171 VIC852171 VRY852171 WBU852171 WLQ852171 WVM852171 F917707 JA917707 SW917707 ACS917707 AMO917707 AWK917707 BGG917707 BQC917707 BZY917707 CJU917707 CTQ917707 DDM917707 DNI917707 DXE917707 EHA917707 EQW917707 FAS917707 FKO917707 FUK917707 GEG917707 GOC917707 GXY917707 HHU917707 HRQ917707 IBM917707 ILI917707 IVE917707 JFA917707 JOW917707 JYS917707 KIO917707 KSK917707 LCG917707 LMC917707 LVY917707 MFU917707 MPQ917707 MZM917707 NJI917707 NTE917707 ODA917707 OMW917707 OWS917707 PGO917707 PQK917707 QAG917707 QKC917707 QTY917707 RDU917707 RNQ917707 RXM917707 SHI917707 SRE917707 TBA917707 TKW917707 TUS917707 UEO917707 UOK917707 UYG917707 VIC917707 VRY917707 WBU917707 WLQ917707 WVM917707 F983243 JA983243 SW983243 ACS983243 AMO983243 AWK983243 BGG983243 BQC983243 BZY983243 CJU983243 CTQ983243 DDM983243 DNI983243 DXE983243 EHA983243 EQW983243 FAS983243 FKO983243 FUK983243 GEG983243 GOC983243 GXY983243 HHU983243 HRQ983243 IBM983243 ILI983243 IVE983243 JFA983243 JOW983243 JYS983243 KIO983243 KSK983243 LCG983243 LMC983243 LVY983243 MFU983243 MPQ983243 MZM983243 NJI983243 NTE983243 ODA983243 OMW983243 OWS983243 PGO983243 PQK983243 QAG983243 QKC983243 QTY983243 RDU983243 RNQ983243 RXM983243 SHI983243 SRE983243 TBA983243 TKW983243 TUS983243 UEO983243 UOK983243 UYG983243 VIC983243 VRY983243 WBU983243 WLQ983243 WVM983243 C13:C47 IW13:IW47 SS13:SS47 ACO13:ACO47 AMK13:AMK47 AWG13:AWG47 BGC13:BGC47 BPY13:BPY47 BZU13:BZU47 CJQ13:CJQ47 CTM13:CTM47 DDI13:DDI47 DNE13:DNE47 DXA13:DXA47 EGW13:EGW47 EQS13:EQS47 FAO13:FAO47 FKK13:FKK47 FUG13:FUG47 GEC13:GEC47 GNY13:GNY47 GXU13:GXU47 HHQ13:HHQ47 HRM13:HRM47 IBI13:IBI47 ILE13:ILE47 IVA13:IVA47 JEW13:JEW47 JOS13:JOS47 JYO13:JYO47 KIK13:KIK47 KSG13:KSG47 LCC13:LCC47 LLY13:LLY47 LVU13:LVU47 MFQ13:MFQ47 MPM13:MPM47 MZI13:MZI47 NJE13:NJE47 NTA13:NTA47 OCW13:OCW47 OMS13:OMS47 OWO13:OWO47 PGK13:PGK47 PQG13:PQG47 QAC13:QAC47 QJY13:QJY47 QTU13:QTU47 RDQ13:RDQ47 RNM13:RNM47 RXI13:RXI47 SHE13:SHE47 SRA13:SRA47 TAW13:TAW47 TKS13:TKS47 TUO13:TUO47 UEK13:UEK47 UOG13:UOG47 UYC13:UYC47 VHY13:VHY47 VRU13:VRU47 WBQ13:WBQ47 WLM13:WLM47 WVI13:WVI47 C65549:C65583 IW65549:IW65583 SS65549:SS65583 ACO65549:ACO65583 AMK65549:AMK65583 AWG65549:AWG65583 BGC65549:BGC65583 BPY65549:BPY65583 BZU65549:BZU65583 CJQ65549:CJQ65583 CTM65549:CTM65583 DDI65549:DDI65583 DNE65549:DNE65583 DXA65549:DXA65583 EGW65549:EGW65583 EQS65549:EQS65583 FAO65549:FAO65583 FKK65549:FKK65583 FUG65549:FUG65583 GEC65549:GEC65583 GNY65549:GNY65583 GXU65549:GXU65583 HHQ65549:HHQ65583 HRM65549:HRM65583 IBI65549:IBI65583 ILE65549:ILE65583 IVA65549:IVA65583 JEW65549:JEW65583 JOS65549:JOS65583 JYO65549:JYO65583 KIK65549:KIK65583 KSG65549:KSG65583 LCC65549:LCC65583 LLY65549:LLY65583 LVU65549:LVU65583 MFQ65549:MFQ65583 MPM65549:MPM65583 MZI65549:MZI65583 NJE65549:NJE65583 NTA65549:NTA65583 OCW65549:OCW65583 OMS65549:OMS65583 OWO65549:OWO65583 PGK65549:PGK65583 PQG65549:PQG65583 QAC65549:QAC65583 QJY65549:QJY65583 QTU65549:QTU65583 RDQ65549:RDQ65583 RNM65549:RNM65583 RXI65549:RXI65583 SHE65549:SHE65583 SRA65549:SRA65583 TAW65549:TAW65583 TKS65549:TKS65583 TUO65549:TUO65583 UEK65549:UEK65583 UOG65549:UOG65583 UYC65549:UYC65583 VHY65549:VHY65583 VRU65549:VRU65583 WBQ65549:WBQ65583 WLM65549:WLM65583 WVI65549:WVI65583 C131085:C131119 IW131085:IW131119 SS131085:SS131119 ACO131085:ACO131119 AMK131085:AMK131119 AWG131085:AWG131119 BGC131085:BGC131119 BPY131085:BPY131119 BZU131085:BZU131119 CJQ131085:CJQ131119 CTM131085:CTM131119 DDI131085:DDI131119 DNE131085:DNE131119 DXA131085:DXA131119 EGW131085:EGW131119 EQS131085:EQS131119 FAO131085:FAO131119 FKK131085:FKK131119 FUG131085:FUG131119 GEC131085:GEC131119 GNY131085:GNY131119 GXU131085:GXU131119 HHQ131085:HHQ131119 HRM131085:HRM131119 IBI131085:IBI131119 ILE131085:ILE131119 IVA131085:IVA131119 JEW131085:JEW131119 JOS131085:JOS131119 JYO131085:JYO131119 KIK131085:KIK131119 KSG131085:KSG131119 LCC131085:LCC131119 LLY131085:LLY131119 LVU131085:LVU131119 MFQ131085:MFQ131119 MPM131085:MPM131119 MZI131085:MZI131119 NJE131085:NJE131119 NTA131085:NTA131119 OCW131085:OCW131119 OMS131085:OMS131119 OWO131085:OWO131119 PGK131085:PGK131119 PQG131085:PQG131119 QAC131085:QAC131119 QJY131085:QJY131119 QTU131085:QTU131119 RDQ131085:RDQ131119 RNM131085:RNM131119 RXI131085:RXI131119 SHE131085:SHE131119 SRA131085:SRA131119 TAW131085:TAW131119 TKS131085:TKS131119 TUO131085:TUO131119 UEK131085:UEK131119 UOG131085:UOG131119 UYC131085:UYC131119 VHY131085:VHY131119 VRU131085:VRU131119 WBQ131085:WBQ131119 WLM131085:WLM131119 WVI131085:WVI131119 C196621:C196655 IW196621:IW196655 SS196621:SS196655 ACO196621:ACO196655 AMK196621:AMK196655 AWG196621:AWG196655 BGC196621:BGC196655 BPY196621:BPY196655 BZU196621:BZU196655 CJQ196621:CJQ196655 CTM196621:CTM196655 DDI196621:DDI196655 DNE196621:DNE196655 DXA196621:DXA196655 EGW196621:EGW196655 EQS196621:EQS196655 FAO196621:FAO196655 FKK196621:FKK196655 FUG196621:FUG196655 GEC196621:GEC196655 GNY196621:GNY196655 GXU196621:GXU196655 HHQ196621:HHQ196655 HRM196621:HRM196655 IBI196621:IBI196655 ILE196621:ILE196655 IVA196621:IVA196655 JEW196621:JEW196655 JOS196621:JOS196655 JYO196621:JYO196655 KIK196621:KIK196655 KSG196621:KSG196655 LCC196621:LCC196655 LLY196621:LLY196655 LVU196621:LVU196655 MFQ196621:MFQ196655 MPM196621:MPM196655 MZI196621:MZI196655 NJE196621:NJE196655 NTA196621:NTA196655 OCW196621:OCW196655 OMS196621:OMS196655 OWO196621:OWO196655 PGK196621:PGK196655 PQG196621:PQG196655 QAC196621:QAC196655 QJY196621:QJY196655 QTU196621:QTU196655 RDQ196621:RDQ196655 RNM196621:RNM196655 RXI196621:RXI196655 SHE196621:SHE196655 SRA196621:SRA196655 TAW196621:TAW196655 TKS196621:TKS196655 TUO196621:TUO196655 UEK196621:UEK196655 UOG196621:UOG196655 UYC196621:UYC196655 VHY196621:VHY196655 VRU196621:VRU196655 WBQ196621:WBQ196655 WLM196621:WLM196655 WVI196621:WVI196655 C262157:C262191 IW262157:IW262191 SS262157:SS262191 ACO262157:ACO262191 AMK262157:AMK262191 AWG262157:AWG262191 BGC262157:BGC262191 BPY262157:BPY262191 BZU262157:BZU262191 CJQ262157:CJQ262191 CTM262157:CTM262191 DDI262157:DDI262191 DNE262157:DNE262191 DXA262157:DXA262191 EGW262157:EGW262191 EQS262157:EQS262191 FAO262157:FAO262191 FKK262157:FKK262191 FUG262157:FUG262191 GEC262157:GEC262191 GNY262157:GNY262191 GXU262157:GXU262191 HHQ262157:HHQ262191 HRM262157:HRM262191 IBI262157:IBI262191 ILE262157:ILE262191 IVA262157:IVA262191 JEW262157:JEW262191 JOS262157:JOS262191 JYO262157:JYO262191 KIK262157:KIK262191 KSG262157:KSG262191 LCC262157:LCC262191 LLY262157:LLY262191 LVU262157:LVU262191 MFQ262157:MFQ262191 MPM262157:MPM262191 MZI262157:MZI262191 NJE262157:NJE262191 NTA262157:NTA262191 OCW262157:OCW262191 OMS262157:OMS262191 OWO262157:OWO262191 PGK262157:PGK262191 PQG262157:PQG262191 QAC262157:QAC262191 QJY262157:QJY262191 QTU262157:QTU262191 RDQ262157:RDQ262191 RNM262157:RNM262191 RXI262157:RXI262191 SHE262157:SHE262191 SRA262157:SRA262191 TAW262157:TAW262191 TKS262157:TKS262191 TUO262157:TUO262191 UEK262157:UEK262191 UOG262157:UOG262191 UYC262157:UYC262191 VHY262157:VHY262191 VRU262157:VRU262191 WBQ262157:WBQ262191 WLM262157:WLM262191 WVI262157:WVI262191 C327693:C327727 IW327693:IW327727 SS327693:SS327727 ACO327693:ACO327727 AMK327693:AMK327727 AWG327693:AWG327727 BGC327693:BGC327727 BPY327693:BPY327727 BZU327693:BZU327727 CJQ327693:CJQ327727 CTM327693:CTM327727 DDI327693:DDI327727 DNE327693:DNE327727 DXA327693:DXA327727 EGW327693:EGW327727 EQS327693:EQS327727 FAO327693:FAO327727 FKK327693:FKK327727 FUG327693:FUG327727 GEC327693:GEC327727 GNY327693:GNY327727 GXU327693:GXU327727 HHQ327693:HHQ327727 HRM327693:HRM327727 IBI327693:IBI327727 ILE327693:ILE327727 IVA327693:IVA327727 JEW327693:JEW327727 JOS327693:JOS327727 JYO327693:JYO327727 KIK327693:KIK327727 KSG327693:KSG327727 LCC327693:LCC327727 LLY327693:LLY327727 LVU327693:LVU327727 MFQ327693:MFQ327727 MPM327693:MPM327727 MZI327693:MZI327727 NJE327693:NJE327727 NTA327693:NTA327727 OCW327693:OCW327727 OMS327693:OMS327727 OWO327693:OWO327727 PGK327693:PGK327727 PQG327693:PQG327727 QAC327693:QAC327727 QJY327693:QJY327727 QTU327693:QTU327727 RDQ327693:RDQ327727 RNM327693:RNM327727 RXI327693:RXI327727 SHE327693:SHE327727 SRA327693:SRA327727 TAW327693:TAW327727 TKS327693:TKS327727 TUO327693:TUO327727 UEK327693:UEK327727 UOG327693:UOG327727 UYC327693:UYC327727 VHY327693:VHY327727 VRU327693:VRU327727 WBQ327693:WBQ327727 WLM327693:WLM327727 WVI327693:WVI327727 C393229:C393263 IW393229:IW393263 SS393229:SS393263 ACO393229:ACO393263 AMK393229:AMK393263 AWG393229:AWG393263 BGC393229:BGC393263 BPY393229:BPY393263 BZU393229:BZU393263 CJQ393229:CJQ393263 CTM393229:CTM393263 DDI393229:DDI393263 DNE393229:DNE393263 DXA393229:DXA393263 EGW393229:EGW393263 EQS393229:EQS393263 FAO393229:FAO393263 FKK393229:FKK393263 FUG393229:FUG393263 GEC393229:GEC393263 GNY393229:GNY393263 GXU393229:GXU393263 HHQ393229:HHQ393263 HRM393229:HRM393263 IBI393229:IBI393263 ILE393229:ILE393263 IVA393229:IVA393263 JEW393229:JEW393263 JOS393229:JOS393263 JYO393229:JYO393263 KIK393229:KIK393263 KSG393229:KSG393263 LCC393229:LCC393263 LLY393229:LLY393263 LVU393229:LVU393263 MFQ393229:MFQ393263 MPM393229:MPM393263 MZI393229:MZI393263 NJE393229:NJE393263 NTA393229:NTA393263 OCW393229:OCW393263 OMS393229:OMS393263 OWO393229:OWO393263 PGK393229:PGK393263 PQG393229:PQG393263 QAC393229:QAC393263 QJY393229:QJY393263 QTU393229:QTU393263 RDQ393229:RDQ393263 RNM393229:RNM393263 RXI393229:RXI393263 SHE393229:SHE393263 SRA393229:SRA393263 TAW393229:TAW393263 TKS393229:TKS393263 TUO393229:TUO393263 UEK393229:UEK393263 UOG393229:UOG393263 UYC393229:UYC393263 VHY393229:VHY393263 VRU393229:VRU393263 WBQ393229:WBQ393263 WLM393229:WLM393263 WVI393229:WVI393263 C458765:C458799 IW458765:IW458799 SS458765:SS458799 ACO458765:ACO458799 AMK458765:AMK458799 AWG458765:AWG458799 BGC458765:BGC458799 BPY458765:BPY458799 BZU458765:BZU458799 CJQ458765:CJQ458799 CTM458765:CTM458799 DDI458765:DDI458799 DNE458765:DNE458799 DXA458765:DXA458799 EGW458765:EGW458799 EQS458765:EQS458799 FAO458765:FAO458799 FKK458765:FKK458799 FUG458765:FUG458799 GEC458765:GEC458799 GNY458765:GNY458799 GXU458765:GXU458799 HHQ458765:HHQ458799 HRM458765:HRM458799 IBI458765:IBI458799 ILE458765:ILE458799 IVA458765:IVA458799 JEW458765:JEW458799 JOS458765:JOS458799 JYO458765:JYO458799 KIK458765:KIK458799 KSG458765:KSG458799 LCC458765:LCC458799 LLY458765:LLY458799 LVU458765:LVU458799 MFQ458765:MFQ458799 MPM458765:MPM458799 MZI458765:MZI458799 NJE458765:NJE458799 NTA458765:NTA458799 OCW458765:OCW458799 OMS458765:OMS458799 OWO458765:OWO458799 PGK458765:PGK458799 PQG458765:PQG458799 QAC458765:QAC458799 QJY458765:QJY458799 QTU458765:QTU458799 RDQ458765:RDQ458799 RNM458765:RNM458799 RXI458765:RXI458799 SHE458765:SHE458799 SRA458765:SRA458799 TAW458765:TAW458799 TKS458765:TKS458799 TUO458765:TUO458799 UEK458765:UEK458799 UOG458765:UOG458799 UYC458765:UYC458799 VHY458765:VHY458799 VRU458765:VRU458799 WBQ458765:WBQ458799 WLM458765:WLM458799 WVI458765:WVI458799 C524301:C524335 IW524301:IW524335 SS524301:SS524335 ACO524301:ACO524335 AMK524301:AMK524335 AWG524301:AWG524335 BGC524301:BGC524335 BPY524301:BPY524335 BZU524301:BZU524335 CJQ524301:CJQ524335 CTM524301:CTM524335 DDI524301:DDI524335 DNE524301:DNE524335 DXA524301:DXA524335 EGW524301:EGW524335 EQS524301:EQS524335 FAO524301:FAO524335 FKK524301:FKK524335 FUG524301:FUG524335 GEC524301:GEC524335 GNY524301:GNY524335 GXU524301:GXU524335 HHQ524301:HHQ524335 HRM524301:HRM524335 IBI524301:IBI524335 ILE524301:ILE524335 IVA524301:IVA524335 JEW524301:JEW524335 JOS524301:JOS524335 JYO524301:JYO524335 KIK524301:KIK524335 KSG524301:KSG524335 LCC524301:LCC524335 LLY524301:LLY524335 LVU524301:LVU524335 MFQ524301:MFQ524335 MPM524301:MPM524335 MZI524301:MZI524335 NJE524301:NJE524335 NTA524301:NTA524335 OCW524301:OCW524335 OMS524301:OMS524335 OWO524301:OWO524335 PGK524301:PGK524335 PQG524301:PQG524335 QAC524301:QAC524335 QJY524301:QJY524335 QTU524301:QTU524335 RDQ524301:RDQ524335 RNM524301:RNM524335 RXI524301:RXI524335 SHE524301:SHE524335 SRA524301:SRA524335 TAW524301:TAW524335 TKS524301:TKS524335 TUO524301:TUO524335 UEK524301:UEK524335 UOG524301:UOG524335 UYC524301:UYC524335 VHY524301:VHY524335 VRU524301:VRU524335 WBQ524301:WBQ524335 WLM524301:WLM524335 WVI524301:WVI524335 C589837:C589871 IW589837:IW589871 SS589837:SS589871 ACO589837:ACO589871 AMK589837:AMK589871 AWG589837:AWG589871 BGC589837:BGC589871 BPY589837:BPY589871 BZU589837:BZU589871 CJQ589837:CJQ589871 CTM589837:CTM589871 DDI589837:DDI589871 DNE589837:DNE589871 DXA589837:DXA589871 EGW589837:EGW589871 EQS589837:EQS589871 FAO589837:FAO589871 FKK589837:FKK589871 FUG589837:FUG589871 GEC589837:GEC589871 GNY589837:GNY589871 GXU589837:GXU589871 HHQ589837:HHQ589871 HRM589837:HRM589871 IBI589837:IBI589871 ILE589837:ILE589871 IVA589837:IVA589871 JEW589837:JEW589871 JOS589837:JOS589871 JYO589837:JYO589871 KIK589837:KIK589871 KSG589837:KSG589871 LCC589837:LCC589871 LLY589837:LLY589871 LVU589837:LVU589871 MFQ589837:MFQ589871 MPM589837:MPM589871 MZI589837:MZI589871 NJE589837:NJE589871 NTA589837:NTA589871 OCW589837:OCW589871 OMS589837:OMS589871 OWO589837:OWO589871 PGK589837:PGK589871 PQG589837:PQG589871 QAC589837:QAC589871 QJY589837:QJY589871 QTU589837:QTU589871 RDQ589837:RDQ589871 RNM589837:RNM589871 RXI589837:RXI589871 SHE589837:SHE589871 SRA589837:SRA589871 TAW589837:TAW589871 TKS589837:TKS589871 TUO589837:TUO589871 UEK589837:UEK589871 UOG589837:UOG589871 UYC589837:UYC589871 VHY589837:VHY589871 VRU589837:VRU589871 WBQ589837:WBQ589871 WLM589837:WLM589871 WVI589837:WVI589871 C655373:C655407 IW655373:IW655407 SS655373:SS655407 ACO655373:ACO655407 AMK655373:AMK655407 AWG655373:AWG655407 BGC655373:BGC655407 BPY655373:BPY655407 BZU655373:BZU655407 CJQ655373:CJQ655407 CTM655373:CTM655407 DDI655373:DDI655407 DNE655373:DNE655407 DXA655373:DXA655407 EGW655373:EGW655407 EQS655373:EQS655407 FAO655373:FAO655407 FKK655373:FKK655407 FUG655373:FUG655407 GEC655373:GEC655407 GNY655373:GNY655407 GXU655373:GXU655407 HHQ655373:HHQ655407 HRM655373:HRM655407 IBI655373:IBI655407 ILE655373:ILE655407 IVA655373:IVA655407 JEW655373:JEW655407 JOS655373:JOS655407 JYO655373:JYO655407 KIK655373:KIK655407 KSG655373:KSG655407 LCC655373:LCC655407 LLY655373:LLY655407 LVU655373:LVU655407 MFQ655373:MFQ655407 MPM655373:MPM655407 MZI655373:MZI655407 NJE655373:NJE655407 NTA655373:NTA655407 OCW655373:OCW655407 OMS655373:OMS655407 OWO655373:OWO655407 PGK655373:PGK655407 PQG655373:PQG655407 QAC655373:QAC655407 QJY655373:QJY655407 QTU655373:QTU655407 RDQ655373:RDQ655407 RNM655373:RNM655407 RXI655373:RXI655407 SHE655373:SHE655407 SRA655373:SRA655407 TAW655373:TAW655407 TKS655373:TKS655407 TUO655373:TUO655407 UEK655373:UEK655407 UOG655373:UOG655407 UYC655373:UYC655407 VHY655373:VHY655407 VRU655373:VRU655407 WBQ655373:WBQ655407 WLM655373:WLM655407 WVI655373:WVI655407 C720909:C720943 IW720909:IW720943 SS720909:SS720943 ACO720909:ACO720943 AMK720909:AMK720943 AWG720909:AWG720943 BGC720909:BGC720943 BPY720909:BPY720943 BZU720909:BZU720943 CJQ720909:CJQ720943 CTM720909:CTM720943 DDI720909:DDI720943 DNE720909:DNE720943 DXA720909:DXA720943 EGW720909:EGW720943 EQS720909:EQS720943 FAO720909:FAO720943 FKK720909:FKK720943 FUG720909:FUG720943 GEC720909:GEC720943 GNY720909:GNY720943 GXU720909:GXU720943 HHQ720909:HHQ720943 HRM720909:HRM720943 IBI720909:IBI720943 ILE720909:ILE720943 IVA720909:IVA720943 JEW720909:JEW720943 JOS720909:JOS720943 JYO720909:JYO720943 KIK720909:KIK720943 KSG720909:KSG720943 LCC720909:LCC720943 LLY720909:LLY720943 LVU720909:LVU720943 MFQ720909:MFQ720943 MPM720909:MPM720943 MZI720909:MZI720943 NJE720909:NJE720943 NTA720909:NTA720943 OCW720909:OCW720943 OMS720909:OMS720943 OWO720909:OWO720943 PGK720909:PGK720943 PQG720909:PQG720943 QAC720909:QAC720943 QJY720909:QJY720943 QTU720909:QTU720943 RDQ720909:RDQ720943 RNM720909:RNM720943 RXI720909:RXI720943 SHE720909:SHE720943 SRA720909:SRA720943 TAW720909:TAW720943 TKS720909:TKS720943 TUO720909:TUO720943 UEK720909:UEK720943 UOG720909:UOG720943 UYC720909:UYC720943 VHY720909:VHY720943 VRU720909:VRU720943 WBQ720909:WBQ720943 WLM720909:WLM720943 WVI720909:WVI720943 C786445:C786479 IW786445:IW786479 SS786445:SS786479 ACO786445:ACO786479 AMK786445:AMK786479 AWG786445:AWG786479 BGC786445:BGC786479 BPY786445:BPY786479 BZU786445:BZU786479 CJQ786445:CJQ786479 CTM786445:CTM786479 DDI786445:DDI786479 DNE786445:DNE786479 DXA786445:DXA786479 EGW786445:EGW786479 EQS786445:EQS786479 FAO786445:FAO786479 FKK786445:FKK786479 FUG786445:FUG786479 GEC786445:GEC786479 GNY786445:GNY786479 GXU786445:GXU786479 HHQ786445:HHQ786479 HRM786445:HRM786479 IBI786445:IBI786479 ILE786445:ILE786479 IVA786445:IVA786479 JEW786445:JEW786479 JOS786445:JOS786479 JYO786445:JYO786479 KIK786445:KIK786479 KSG786445:KSG786479 LCC786445:LCC786479 LLY786445:LLY786479 LVU786445:LVU786479 MFQ786445:MFQ786479 MPM786445:MPM786479 MZI786445:MZI786479 NJE786445:NJE786479 NTA786445:NTA786479 OCW786445:OCW786479 OMS786445:OMS786479 OWO786445:OWO786479 PGK786445:PGK786479 PQG786445:PQG786479 QAC786445:QAC786479 QJY786445:QJY786479 QTU786445:QTU786479 RDQ786445:RDQ786479 RNM786445:RNM786479 RXI786445:RXI786479 SHE786445:SHE786479 SRA786445:SRA786479 TAW786445:TAW786479 TKS786445:TKS786479 TUO786445:TUO786479 UEK786445:UEK786479 UOG786445:UOG786479 UYC786445:UYC786479 VHY786445:VHY786479 VRU786445:VRU786479 WBQ786445:WBQ786479 WLM786445:WLM786479 WVI786445:WVI786479 C851981:C852015 IW851981:IW852015 SS851981:SS852015 ACO851981:ACO852015 AMK851981:AMK852015 AWG851981:AWG852015 BGC851981:BGC852015 BPY851981:BPY852015 BZU851981:BZU852015 CJQ851981:CJQ852015 CTM851981:CTM852015 DDI851981:DDI852015 DNE851981:DNE852015 DXA851981:DXA852015 EGW851981:EGW852015 EQS851981:EQS852015 FAO851981:FAO852015 FKK851981:FKK852015 FUG851981:FUG852015 GEC851981:GEC852015 GNY851981:GNY852015 GXU851981:GXU852015 HHQ851981:HHQ852015 HRM851981:HRM852015 IBI851981:IBI852015 ILE851981:ILE852015 IVA851981:IVA852015 JEW851981:JEW852015 JOS851981:JOS852015 JYO851981:JYO852015 KIK851981:KIK852015 KSG851981:KSG852015 LCC851981:LCC852015 LLY851981:LLY852015 LVU851981:LVU852015 MFQ851981:MFQ852015 MPM851981:MPM852015 MZI851981:MZI852015 NJE851981:NJE852015 NTA851981:NTA852015 OCW851981:OCW852015 OMS851981:OMS852015 OWO851981:OWO852015 PGK851981:PGK852015 PQG851981:PQG852015 QAC851981:QAC852015 QJY851981:QJY852015 QTU851981:QTU852015 RDQ851981:RDQ852015 RNM851981:RNM852015 RXI851981:RXI852015 SHE851981:SHE852015 SRA851981:SRA852015 TAW851981:TAW852015 TKS851981:TKS852015 TUO851981:TUO852015 UEK851981:UEK852015 UOG851981:UOG852015 UYC851981:UYC852015 VHY851981:VHY852015 VRU851981:VRU852015 WBQ851981:WBQ852015 WLM851981:WLM852015 WVI851981:WVI852015 C917517:C917551 IW917517:IW917551 SS917517:SS917551 ACO917517:ACO917551 AMK917517:AMK917551 AWG917517:AWG917551 BGC917517:BGC917551 BPY917517:BPY917551 BZU917517:BZU917551 CJQ917517:CJQ917551 CTM917517:CTM917551 DDI917517:DDI917551 DNE917517:DNE917551 DXA917517:DXA917551 EGW917517:EGW917551 EQS917517:EQS917551 FAO917517:FAO917551 FKK917517:FKK917551 FUG917517:FUG917551 GEC917517:GEC917551 GNY917517:GNY917551 GXU917517:GXU917551 HHQ917517:HHQ917551 HRM917517:HRM917551 IBI917517:IBI917551 ILE917517:ILE917551 IVA917517:IVA917551 JEW917517:JEW917551 JOS917517:JOS917551 JYO917517:JYO917551 KIK917517:KIK917551 KSG917517:KSG917551 LCC917517:LCC917551 LLY917517:LLY917551 LVU917517:LVU917551 MFQ917517:MFQ917551 MPM917517:MPM917551 MZI917517:MZI917551 NJE917517:NJE917551 NTA917517:NTA917551 OCW917517:OCW917551 OMS917517:OMS917551 OWO917517:OWO917551 PGK917517:PGK917551 PQG917517:PQG917551 QAC917517:QAC917551 QJY917517:QJY917551 QTU917517:QTU917551 RDQ917517:RDQ917551 RNM917517:RNM917551 RXI917517:RXI917551 SHE917517:SHE917551 SRA917517:SRA917551 TAW917517:TAW917551 TKS917517:TKS917551 TUO917517:TUO917551 UEK917517:UEK917551 UOG917517:UOG917551 UYC917517:UYC917551 VHY917517:VHY917551 VRU917517:VRU917551 WBQ917517:WBQ917551 WLM917517:WLM917551 WVI917517:WVI917551 C983053:C983087 IW983053:IW983087 SS983053:SS983087 ACO983053:ACO983087 AMK983053:AMK983087 AWG983053:AWG983087 BGC983053:BGC983087 BPY983053:BPY983087 BZU983053:BZU983087 CJQ983053:CJQ983087 CTM983053:CTM983087 DDI983053:DDI983087 DNE983053:DNE983087 DXA983053:DXA983087 EGW983053:EGW983087 EQS983053:EQS983087 FAO983053:FAO983087 FKK983053:FKK983087 FUG983053:FUG983087 GEC983053:GEC983087 GNY983053:GNY983087 GXU983053:GXU983087 HHQ983053:HHQ983087 HRM983053:HRM983087 IBI983053:IBI983087 ILE983053:ILE983087 IVA983053:IVA983087 JEW983053:JEW983087 JOS983053:JOS983087 JYO983053:JYO983087 KIK983053:KIK983087 KSG983053:KSG983087 LCC983053:LCC983087 LLY983053:LLY983087 LVU983053:LVU983087 MFQ983053:MFQ983087 MPM983053:MPM983087 MZI983053:MZI983087 NJE983053:NJE983087 NTA983053:NTA983087 OCW983053:OCW983087 OMS983053:OMS983087 OWO983053:OWO983087 PGK983053:PGK983087 PQG983053:PQG983087 QAC983053:QAC983087 QJY983053:QJY983087 QTU983053:QTU983087 RDQ983053:RDQ983087 RNM983053:RNM983087 RXI983053:RXI983087 SHE983053:SHE983087 SRA983053:SRA983087 TAW983053:TAW983087 TKS983053:TKS983087 TUO983053:TUO983087 UEK983053:UEK983087 UOG983053:UOG983087 UYC983053:UYC983087 VHY983053:VHY983087 VRU983053:VRU983087 WBQ983053:WBQ983087 WLM983053:WLM983087 WVI983053:WVI983087 C106:C153 IW106:IW153 SS106:SS153 ACO106:ACO153 AMK106:AMK153 AWG106:AWG153 BGC106:BGC153 BPY106:BPY153 BZU106:BZU153 CJQ106:CJQ153 CTM106:CTM153 DDI106:DDI153 DNE106:DNE153 DXA106:DXA153 EGW106:EGW153 EQS106:EQS153 FAO106:FAO153 FKK106:FKK153 FUG106:FUG153 GEC106:GEC153 GNY106:GNY153 GXU106:GXU153 HHQ106:HHQ153 HRM106:HRM153 IBI106:IBI153 ILE106:ILE153 IVA106:IVA153 JEW106:JEW153 JOS106:JOS153 JYO106:JYO153 KIK106:KIK153 KSG106:KSG153 LCC106:LCC153 LLY106:LLY153 LVU106:LVU153 MFQ106:MFQ153 MPM106:MPM153 MZI106:MZI153 NJE106:NJE153 NTA106:NTA153 OCW106:OCW153 OMS106:OMS153 OWO106:OWO153 PGK106:PGK153 PQG106:PQG153 QAC106:QAC153 QJY106:QJY153 QTU106:QTU153 RDQ106:RDQ153 RNM106:RNM153 RXI106:RXI153 SHE106:SHE153 SRA106:SRA153 TAW106:TAW153 TKS106:TKS153 TUO106:TUO153 UEK106:UEK153 UOG106:UOG153 UYC106:UYC153 VHY106:VHY153 VRU106:VRU153 WBQ106:WBQ153 WLM106:WLM153 WVI106:WVI153 C65642:C65689 IW65642:IW65689 SS65642:SS65689 ACO65642:ACO65689 AMK65642:AMK65689 AWG65642:AWG65689 BGC65642:BGC65689 BPY65642:BPY65689 BZU65642:BZU65689 CJQ65642:CJQ65689 CTM65642:CTM65689 DDI65642:DDI65689 DNE65642:DNE65689 DXA65642:DXA65689 EGW65642:EGW65689 EQS65642:EQS65689 FAO65642:FAO65689 FKK65642:FKK65689 FUG65642:FUG65689 GEC65642:GEC65689 GNY65642:GNY65689 GXU65642:GXU65689 HHQ65642:HHQ65689 HRM65642:HRM65689 IBI65642:IBI65689 ILE65642:ILE65689 IVA65642:IVA65689 JEW65642:JEW65689 JOS65642:JOS65689 JYO65642:JYO65689 KIK65642:KIK65689 KSG65642:KSG65689 LCC65642:LCC65689 LLY65642:LLY65689 LVU65642:LVU65689 MFQ65642:MFQ65689 MPM65642:MPM65689 MZI65642:MZI65689 NJE65642:NJE65689 NTA65642:NTA65689 OCW65642:OCW65689 OMS65642:OMS65689 OWO65642:OWO65689 PGK65642:PGK65689 PQG65642:PQG65689 QAC65642:QAC65689 QJY65642:QJY65689 QTU65642:QTU65689 RDQ65642:RDQ65689 RNM65642:RNM65689 RXI65642:RXI65689 SHE65642:SHE65689 SRA65642:SRA65689 TAW65642:TAW65689 TKS65642:TKS65689 TUO65642:TUO65689 UEK65642:UEK65689 UOG65642:UOG65689 UYC65642:UYC65689 VHY65642:VHY65689 VRU65642:VRU65689 WBQ65642:WBQ65689 WLM65642:WLM65689 WVI65642:WVI65689 C131178:C131225 IW131178:IW131225 SS131178:SS131225 ACO131178:ACO131225 AMK131178:AMK131225 AWG131178:AWG131225 BGC131178:BGC131225 BPY131178:BPY131225 BZU131178:BZU131225 CJQ131178:CJQ131225 CTM131178:CTM131225 DDI131178:DDI131225 DNE131178:DNE131225 DXA131178:DXA131225 EGW131178:EGW131225 EQS131178:EQS131225 FAO131178:FAO131225 FKK131178:FKK131225 FUG131178:FUG131225 GEC131178:GEC131225 GNY131178:GNY131225 GXU131178:GXU131225 HHQ131178:HHQ131225 HRM131178:HRM131225 IBI131178:IBI131225 ILE131178:ILE131225 IVA131178:IVA131225 JEW131178:JEW131225 JOS131178:JOS131225 JYO131178:JYO131225 KIK131178:KIK131225 KSG131178:KSG131225 LCC131178:LCC131225 LLY131178:LLY131225 LVU131178:LVU131225 MFQ131178:MFQ131225 MPM131178:MPM131225 MZI131178:MZI131225 NJE131178:NJE131225 NTA131178:NTA131225 OCW131178:OCW131225 OMS131178:OMS131225 OWO131178:OWO131225 PGK131178:PGK131225 PQG131178:PQG131225 QAC131178:QAC131225 QJY131178:QJY131225 QTU131178:QTU131225 RDQ131178:RDQ131225 RNM131178:RNM131225 RXI131178:RXI131225 SHE131178:SHE131225 SRA131178:SRA131225 TAW131178:TAW131225 TKS131178:TKS131225 TUO131178:TUO131225 UEK131178:UEK131225 UOG131178:UOG131225 UYC131178:UYC131225 VHY131178:VHY131225 VRU131178:VRU131225 WBQ131178:WBQ131225 WLM131178:WLM131225 WVI131178:WVI131225 C196714:C196761 IW196714:IW196761 SS196714:SS196761 ACO196714:ACO196761 AMK196714:AMK196761 AWG196714:AWG196761 BGC196714:BGC196761 BPY196714:BPY196761 BZU196714:BZU196761 CJQ196714:CJQ196761 CTM196714:CTM196761 DDI196714:DDI196761 DNE196714:DNE196761 DXA196714:DXA196761 EGW196714:EGW196761 EQS196714:EQS196761 FAO196714:FAO196761 FKK196714:FKK196761 FUG196714:FUG196761 GEC196714:GEC196761 GNY196714:GNY196761 GXU196714:GXU196761 HHQ196714:HHQ196761 HRM196714:HRM196761 IBI196714:IBI196761 ILE196714:ILE196761 IVA196714:IVA196761 JEW196714:JEW196761 JOS196714:JOS196761 JYO196714:JYO196761 KIK196714:KIK196761 KSG196714:KSG196761 LCC196714:LCC196761 LLY196714:LLY196761 LVU196714:LVU196761 MFQ196714:MFQ196761 MPM196714:MPM196761 MZI196714:MZI196761 NJE196714:NJE196761 NTA196714:NTA196761 OCW196714:OCW196761 OMS196714:OMS196761 OWO196714:OWO196761 PGK196714:PGK196761 PQG196714:PQG196761 QAC196714:QAC196761 QJY196714:QJY196761 QTU196714:QTU196761 RDQ196714:RDQ196761 RNM196714:RNM196761 RXI196714:RXI196761 SHE196714:SHE196761 SRA196714:SRA196761 TAW196714:TAW196761 TKS196714:TKS196761 TUO196714:TUO196761 UEK196714:UEK196761 UOG196714:UOG196761 UYC196714:UYC196761 VHY196714:VHY196761 VRU196714:VRU196761 WBQ196714:WBQ196761 WLM196714:WLM196761 WVI196714:WVI196761 C262250:C262297 IW262250:IW262297 SS262250:SS262297 ACO262250:ACO262297 AMK262250:AMK262297 AWG262250:AWG262297 BGC262250:BGC262297 BPY262250:BPY262297 BZU262250:BZU262297 CJQ262250:CJQ262297 CTM262250:CTM262297 DDI262250:DDI262297 DNE262250:DNE262297 DXA262250:DXA262297 EGW262250:EGW262297 EQS262250:EQS262297 FAO262250:FAO262297 FKK262250:FKK262297 FUG262250:FUG262297 GEC262250:GEC262297 GNY262250:GNY262297 GXU262250:GXU262297 HHQ262250:HHQ262297 HRM262250:HRM262297 IBI262250:IBI262297 ILE262250:ILE262297 IVA262250:IVA262297 JEW262250:JEW262297 JOS262250:JOS262297 JYO262250:JYO262297 KIK262250:KIK262297 KSG262250:KSG262297 LCC262250:LCC262297 LLY262250:LLY262297 LVU262250:LVU262297 MFQ262250:MFQ262297 MPM262250:MPM262297 MZI262250:MZI262297 NJE262250:NJE262297 NTA262250:NTA262297 OCW262250:OCW262297 OMS262250:OMS262297 OWO262250:OWO262297 PGK262250:PGK262297 PQG262250:PQG262297 QAC262250:QAC262297 QJY262250:QJY262297 QTU262250:QTU262297 RDQ262250:RDQ262297 RNM262250:RNM262297 RXI262250:RXI262297 SHE262250:SHE262297 SRA262250:SRA262297 TAW262250:TAW262297 TKS262250:TKS262297 TUO262250:TUO262297 UEK262250:UEK262297 UOG262250:UOG262297 UYC262250:UYC262297 VHY262250:VHY262297 VRU262250:VRU262297 WBQ262250:WBQ262297 WLM262250:WLM262297 WVI262250:WVI262297 C327786:C327833 IW327786:IW327833 SS327786:SS327833 ACO327786:ACO327833 AMK327786:AMK327833 AWG327786:AWG327833 BGC327786:BGC327833 BPY327786:BPY327833 BZU327786:BZU327833 CJQ327786:CJQ327833 CTM327786:CTM327833 DDI327786:DDI327833 DNE327786:DNE327833 DXA327786:DXA327833 EGW327786:EGW327833 EQS327786:EQS327833 FAO327786:FAO327833 FKK327786:FKK327833 FUG327786:FUG327833 GEC327786:GEC327833 GNY327786:GNY327833 GXU327786:GXU327833 HHQ327786:HHQ327833 HRM327786:HRM327833 IBI327786:IBI327833 ILE327786:ILE327833 IVA327786:IVA327833 JEW327786:JEW327833 JOS327786:JOS327833 JYO327786:JYO327833 KIK327786:KIK327833 KSG327786:KSG327833 LCC327786:LCC327833 LLY327786:LLY327833 LVU327786:LVU327833 MFQ327786:MFQ327833 MPM327786:MPM327833 MZI327786:MZI327833 NJE327786:NJE327833 NTA327786:NTA327833 OCW327786:OCW327833 OMS327786:OMS327833 OWO327786:OWO327833 PGK327786:PGK327833 PQG327786:PQG327833 QAC327786:QAC327833 QJY327786:QJY327833 QTU327786:QTU327833 RDQ327786:RDQ327833 RNM327786:RNM327833 RXI327786:RXI327833 SHE327786:SHE327833 SRA327786:SRA327833 TAW327786:TAW327833 TKS327786:TKS327833 TUO327786:TUO327833 UEK327786:UEK327833 UOG327786:UOG327833 UYC327786:UYC327833 VHY327786:VHY327833 VRU327786:VRU327833 WBQ327786:WBQ327833 WLM327786:WLM327833 WVI327786:WVI327833 C393322:C393369 IW393322:IW393369 SS393322:SS393369 ACO393322:ACO393369 AMK393322:AMK393369 AWG393322:AWG393369 BGC393322:BGC393369 BPY393322:BPY393369 BZU393322:BZU393369 CJQ393322:CJQ393369 CTM393322:CTM393369 DDI393322:DDI393369 DNE393322:DNE393369 DXA393322:DXA393369 EGW393322:EGW393369 EQS393322:EQS393369 FAO393322:FAO393369 FKK393322:FKK393369 FUG393322:FUG393369 GEC393322:GEC393369 GNY393322:GNY393369 GXU393322:GXU393369 HHQ393322:HHQ393369 HRM393322:HRM393369 IBI393322:IBI393369 ILE393322:ILE393369 IVA393322:IVA393369 JEW393322:JEW393369 JOS393322:JOS393369 JYO393322:JYO393369 KIK393322:KIK393369 KSG393322:KSG393369 LCC393322:LCC393369 LLY393322:LLY393369 LVU393322:LVU393369 MFQ393322:MFQ393369 MPM393322:MPM393369 MZI393322:MZI393369 NJE393322:NJE393369 NTA393322:NTA393369 OCW393322:OCW393369 OMS393322:OMS393369 OWO393322:OWO393369 PGK393322:PGK393369 PQG393322:PQG393369 QAC393322:QAC393369 QJY393322:QJY393369 QTU393322:QTU393369 RDQ393322:RDQ393369 RNM393322:RNM393369 RXI393322:RXI393369 SHE393322:SHE393369 SRA393322:SRA393369 TAW393322:TAW393369 TKS393322:TKS393369 TUO393322:TUO393369 UEK393322:UEK393369 UOG393322:UOG393369 UYC393322:UYC393369 VHY393322:VHY393369 VRU393322:VRU393369 WBQ393322:WBQ393369 WLM393322:WLM393369 WVI393322:WVI393369 C458858:C458905 IW458858:IW458905 SS458858:SS458905 ACO458858:ACO458905 AMK458858:AMK458905 AWG458858:AWG458905 BGC458858:BGC458905 BPY458858:BPY458905 BZU458858:BZU458905 CJQ458858:CJQ458905 CTM458858:CTM458905 DDI458858:DDI458905 DNE458858:DNE458905 DXA458858:DXA458905 EGW458858:EGW458905 EQS458858:EQS458905 FAO458858:FAO458905 FKK458858:FKK458905 FUG458858:FUG458905 GEC458858:GEC458905 GNY458858:GNY458905 GXU458858:GXU458905 HHQ458858:HHQ458905 HRM458858:HRM458905 IBI458858:IBI458905 ILE458858:ILE458905 IVA458858:IVA458905 JEW458858:JEW458905 JOS458858:JOS458905 JYO458858:JYO458905 KIK458858:KIK458905 KSG458858:KSG458905 LCC458858:LCC458905 LLY458858:LLY458905 LVU458858:LVU458905 MFQ458858:MFQ458905 MPM458858:MPM458905 MZI458858:MZI458905 NJE458858:NJE458905 NTA458858:NTA458905 OCW458858:OCW458905 OMS458858:OMS458905 OWO458858:OWO458905 PGK458858:PGK458905 PQG458858:PQG458905 QAC458858:QAC458905 QJY458858:QJY458905 QTU458858:QTU458905 RDQ458858:RDQ458905 RNM458858:RNM458905 RXI458858:RXI458905 SHE458858:SHE458905 SRA458858:SRA458905 TAW458858:TAW458905 TKS458858:TKS458905 TUO458858:TUO458905 UEK458858:UEK458905 UOG458858:UOG458905 UYC458858:UYC458905 VHY458858:VHY458905 VRU458858:VRU458905 WBQ458858:WBQ458905 WLM458858:WLM458905 WVI458858:WVI458905 C524394:C524441 IW524394:IW524441 SS524394:SS524441 ACO524394:ACO524441 AMK524394:AMK524441 AWG524394:AWG524441 BGC524394:BGC524441 BPY524394:BPY524441 BZU524394:BZU524441 CJQ524394:CJQ524441 CTM524394:CTM524441 DDI524394:DDI524441 DNE524394:DNE524441 DXA524394:DXA524441 EGW524394:EGW524441 EQS524394:EQS524441 FAO524394:FAO524441 FKK524394:FKK524441 FUG524394:FUG524441 GEC524394:GEC524441 GNY524394:GNY524441 GXU524394:GXU524441 HHQ524394:HHQ524441 HRM524394:HRM524441 IBI524394:IBI524441 ILE524394:ILE524441 IVA524394:IVA524441 JEW524394:JEW524441 JOS524394:JOS524441 JYO524394:JYO524441 KIK524394:KIK524441 KSG524394:KSG524441 LCC524394:LCC524441 LLY524394:LLY524441 LVU524394:LVU524441 MFQ524394:MFQ524441 MPM524394:MPM524441 MZI524394:MZI524441 NJE524394:NJE524441 NTA524394:NTA524441 OCW524394:OCW524441 OMS524394:OMS524441 OWO524394:OWO524441 PGK524394:PGK524441 PQG524394:PQG524441 QAC524394:QAC524441 QJY524394:QJY524441 QTU524394:QTU524441 RDQ524394:RDQ524441 RNM524394:RNM524441 RXI524394:RXI524441 SHE524394:SHE524441 SRA524394:SRA524441 TAW524394:TAW524441 TKS524394:TKS524441 TUO524394:TUO524441 UEK524394:UEK524441 UOG524394:UOG524441 UYC524394:UYC524441 VHY524394:VHY524441 VRU524394:VRU524441 WBQ524394:WBQ524441 WLM524394:WLM524441 WVI524394:WVI524441 C589930:C589977 IW589930:IW589977 SS589930:SS589977 ACO589930:ACO589977 AMK589930:AMK589977 AWG589930:AWG589977 BGC589930:BGC589977 BPY589930:BPY589977 BZU589930:BZU589977 CJQ589930:CJQ589977 CTM589930:CTM589977 DDI589930:DDI589977 DNE589930:DNE589977 DXA589930:DXA589977 EGW589930:EGW589977 EQS589930:EQS589977 FAO589930:FAO589977 FKK589930:FKK589977 FUG589930:FUG589977 GEC589930:GEC589977 GNY589930:GNY589977 GXU589930:GXU589977 HHQ589930:HHQ589977 HRM589930:HRM589977 IBI589930:IBI589977 ILE589930:ILE589977 IVA589930:IVA589977 JEW589930:JEW589977 JOS589930:JOS589977 JYO589930:JYO589977 KIK589930:KIK589977 KSG589930:KSG589977 LCC589930:LCC589977 LLY589930:LLY589977 LVU589930:LVU589977 MFQ589930:MFQ589977 MPM589930:MPM589977 MZI589930:MZI589977 NJE589930:NJE589977 NTA589930:NTA589977 OCW589930:OCW589977 OMS589930:OMS589977 OWO589930:OWO589977 PGK589930:PGK589977 PQG589930:PQG589977 QAC589930:QAC589977 QJY589930:QJY589977 QTU589930:QTU589977 RDQ589930:RDQ589977 RNM589930:RNM589977 RXI589930:RXI589977 SHE589930:SHE589977 SRA589930:SRA589977 TAW589930:TAW589977 TKS589930:TKS589977 TUO589930:TUO589977 UEK589930:UEK589977 UOG589930:UOG589977 UYC589930:UYC589977 VHY589930:VHY589977 VRU589930:VRU589977 WBQ589930:WBQ589977 WLM589930:WLM589977 WVI589930:WVI589977 C655466:C655513 IW655466:IW655513 SS655466:SS655513 ACO655466:ACO655513 AMK655466:AMK655513 AWG655466:AWG655513 BGC655466:BGC655513 BPY655466:BPY655513 BZU655466:BZU655513 CJQ655466:CJQ655513 CTM655466:CTM655513 DDI655466:DDI655513 DNE655466:DNE655513 DXA655466:DXA655513 EGW655466:EGW655513 EQS655466:EQS655513 FAO655466:FAO655513 FKK655466:FKK655513 FUG655466:FUG655513 GEC655466:GEC655513 GNY655466:GNY655513 GXU655466:GXU655513 HHQ655466:HHQ655513 HRM655466:HRM655513 IBI655466:IBI655513 ILE655466:ILE655513 IVA655466:IVA655513 JEW655466:JEW655513 JOS655466:JOS655513 JYO655466:JYO655513 KIK655466:KIK655513 KSG655466:KSG655513 LCC655466:LCC655513 LLY655466:LLY655513 LVU655466:LVU655513 MFQ655466:MFQ655513 MPM655466:MPM655513 MZI655466:MZI655513 NJE655466:NJE655513 NTA655466:NTA655513 OCW655466:OCW655513 OMS655466:OMS655513 OWO655466:OWO655513 PGK655466:PGK655513 PQG655466:PQG655513 QAC655466:QAC655513 QJY655466:QJY655513 QTU655466:QTU655513 RDQ655466:RDQ655513 RNM655466:RNM655513 RXI655466:RXI655513 SHE655466:SHE655513 SRA655466:SRA655513 TAW655466:TAW655513 TKS655466:TKS655513 TUO655466:TUO655513 UEK655466:UEK655513 UOG655466:UOG655513 UYC655466:UYC655513 VHY655466:VHY655513 VRU655466:VRU655513 WBQ655466:WBQ655513 WLM655466:WLM655513 WVI655466:WVI655513 C721002:C721049 IW721002:IW721049 SS721002:SS721049 ACO721002:ACO721049 AMK721002:AMK721049 AWG721002:AWG721049 BGC721002:BGC721049 BPY721002:BPY721049 BZU721002:BZU721049 CJQ721002:CJQ721049 CTM721002:CTM721049 DDI721002:DDI721049 DNE721002:DNE721049 DXA721002:DXA721049 EGW721002:EGW721049 EQS721002:EQS721049 FAO721002:FAO721049 FKK721002:FKK721049 FUG721002:FUG721049 GEC721002:GEC721049 GNY721002:GNY721049 GXU721002:GXU721049 HHQ721002:HHQ721049 HRM721002:HRM721049 IBI721002:IBI721049 ILE721002:ILE721049 IVA721002:IVA721049 JEW721002:JEW721049 JOS721002:JOS721049 JYO721002:JYO721049 KIK721002:KIK721049 KSG721002:KSG721049 LCC721002:LCC721049 LLY721002:LLY721049 LVU721002:LVU721049 MFQ721002:MFQ721049 MPM721002:MPM721049 MZI721002:MZI721049 NJE721002:NJE721049 NTA721002:NTA721049 OCW721002:OCW721049 OMS721002:OMS721049 OWO721002:OWO721049 PGK721002:PGK721049 PQG721002:PQG721049 QAC721002:QAC721049 QJY721002:QJY721049 QTU721002:QTU721049 RDQ721002:RDQ721049 RNM721002:RNM721049 RXI721002:RXI721049 SHE721002:SHE721049 SRA721002:SRA721049 TAW721002:TAW721049 TKS721002:TKS721049 TUO721002:TUO721049 UEK721002:UEK721049 UOG721002:UOG721049 UYC721002:UYC721049 VHY721002:VHY721049 VRU721002:VRU721049 WBQ721002:WBQ721049 WLM721002:WLM721049 WVI721002:WVI721049 C786538:C786585 IW786538:IW786585 SS786538:SS786585 ACO786538:ACO786585 AMK786538:AMK786585 AWG786538:AWG786585 BGC786538:BGC786585 BPY786538:BPY786585 BZU786538:BZU786585 CJQ786538:CJQ786585 CTM786538:CTM786585 DDI786538:DDI786585 DNE786538:DNE786585 DXA786538:DXA786585 EGW786538:EGW786585 EQS786538:EQS786585 FAO786538:FAO786585 FKK786538:FKK786585 FUG786538:FUG786585 GEC786538:GEC786585 GNY786538:GNY786585 GXU786538:GXU786585 HHQ786538:HHQ786585 HRM786538:HRM786585 IBI786538:IBI786585 ILE786538:ILE786585 IVA786538:IVA786585 JEW786538:JEW786585 JOS786538:JOS786585 JYO786538:JYO786585 KIK786538:KIK786585 KSG786538:KSG786585 LCC786538:LCC786585 LLY786538:LLY786585 LVU786538:LVU786585 MFQ786538:MFQ786585 MPM786538:MPM786585 MZI786538:MZI786585 NJE786538:NJE786585 NTA786538:NTA786585 OCW786538:OCW786585 OMS786538:OMS786585 OWO786538:OWO786585 PGK786538:PGK786585 PQG786538:PQG786585 QAC786538:QAC786585 QJY786538:QJY786585 QTU786538:QTU786585 RDQ786538:RDQ786585 RNM786538:RNM786585 RXI786538:RXI786585 SHE786538:SHE786585 SRA786538:SRA786585 TAW786538:TAW786585 TKS786538:TKS786585 TUO786538:TUO786585 UEK786538:UEK786585 UOG786538:UOG786585 UYC786538:UYC786585 VHY786538:VHY786585 VRU786538:VRU786585 WBQ786538:WBQ786585 WLM786538:WLM786585 WVI786538:WVI786585 C852074:C852121 IW852074:IW852121 SS852074:SS852121 ACO852074:ACO852121 AMK852074:AMK852121 AWG852074:AWG852121 BGC852074:BGC852121 BPY852074:BPY852121 BZU852074:BZU852121 CJQ852074:CJQ852121 CTM852074:CTM852121 DDI852074:DDI852121 DNE852074:DNE852121 DXA852074:DXA852121 EGW852074:EGW852121 EQS852074:EQS852121 FAO852074:FAO852121 FKK852074:FKK852121 FUG852074:FUG852121 GEC852074:GEC852121 GNY852074:GNY852121 GXU852074:GXU852121 HHQ852074:HHQ852121 HRM852074:HRM852121 IBI852074:IBI852121 ILE852074:ILE852121 IVA852074:IVA852121 JEW852074:JEW852121 JOS852074:JOS852121 JYO852074:JYO852121 KIK852074:KIK852121 KSG852074:KSG852121 LCC852074:LCC852121 LLY852074:LLY852121 LVU852074:LVU852121 MFQ852074:MFQ852121 MPM852074:MPM852121 MZI852074:MZI852121 NJE852074:NJE852121 NTA852074:NTA852121 OCW852074:OCW852121 OMS852074:OMS852121 OWO852074:OWO852121 PGK852074:PGK852121 PQG852074:PQG852121 QAC852074:QAC852121 QJY852074:QJY852121 QTU852074:QTU852121 RDQ852074:RDQ852121 RNM852074:RNM852121 RXI852074:RXI852121 SHE852074:SHE852121 SRA852074:SRA852121 TAW852074:TAW852121 TKS852074:TKS852121 TUO852074:TUO852121 UEK852074:UEK852121 UOG852074:UOG852121 UYC852074:UYC852121 VHY852074:VHY852121 VRU852074:VRU852121 WBQ852074:WBQ852121 WLM852074:WLM852121 WVI852074:WVI852121 C917610:C917657 IW917610:IW917657 SS917610:SS917657 ACO917610:ACO917657 AMK917610:AMK917657 AWG917610:AWG917657 BGC917610:BGC917657 BPY917610:BPY917657 BZU917610:BZU917657 CJQ917610:CJQ917657 CTM917610:CTM917657 DDI917610:DDI917657 DNE917610:DNE917657 DXA917610:DXA917657 EGW917610:EGW917657 EQS917610:EQS917657 FAO917610:FAO917657 FKK917610:FKK917657 FUG917610:FUG917657 GEC917610:GEC917657 GNY917610:GNY917657 GXU917610:GXU917657 HHQ917610:HHQ917657 HRM917610:HRM917657 IBI917610:IBI917657 ILE917610:ILE917657 IVA917610:IVA917657 JEW917610:JEW917657 JOS917610:JOS917657 JYO917610:JYO917657 KIK917610:KIK917657 KSG917610:KSG917657 LCC917610:LCC917657 LLY917610:LLY917657 LVU917610:LVU917657 MFQ917610:MFQ917657 MPM917610:MPM917657 MZI917610:MZI917657 NJE917610:NJE917657 NTA917610:NTA917657 OCW917610:OCW917657 OMS917610:OMS917657 OWO917610:OWO917657 PGK917610:PGK917657 PQG917610:PQG917657 QAC917610:QAC917657 QJY917610:QJY917657 QTU917610:QTU917657 RDQ917610:RDQ917657 RNM917610:RNM917657 RXI917610:RXI917657 SHE917610:SHE917657 SRA917610:SRA917657 TAW917610:TAW917657 TKS917610:TKS917657 TUO917610:TUO917657 UEK917610:UEK917657 UOG917610:UOG917657 UYC917610:UYC917657 VHY917610:VHY917657 VRU917610:VRU917657 WBQ917610:WBQ917657 WLM917610:WLM917657 WVI917610:WVI917657 C983146:C983193 IW983146:IW983193 SS983146:SS983193 ACO983146:ACO983193 AMK983146:AMK983193 AWG983146:AWG983193 BGC983146:BGC983193 BPY983146:BPY983193 BZU983146:BZU983193 CJQ983146:CJQ983193 CTM983146:CTM983193 DDI983146:DDI983193 DNE983146:DNE983193 DXA983146:DXA983193 EGW983146:EGW983193 EQS983146:EQS983193 FAO983146:FAO983193 FKK983146:FKK983193 FUG983146:FUG983193 GEC983146:GEC983193 GNY983146:GNY983193 GXU983146:GXU983193 HHQ983146:HHQ983193 HRM983146:HRM983193 IBI983146:IBI983193 ILE983146:ILE983193 IVA983146:IVA983193 JEW983146:JEW983193 JOS983146:JOS983193 JYO983146:JYO983193 KIK983146:KIK983193 KSG983146:KSG983193 LCC983146:LCC983193 LLY983146:LLY983193 LVU983146:LVU983193 MFQ983146:MFQ983193 MPM983146:MPM983193 MZI983146:MZI983193 NJE983146:NJE983193 NTA983146:NTA983193 OCW983146:OCW983193 OMS983146:OMS983193 OWO983146:OWO983193 PGK983146:PGK983193 PQG983146:PQG983193 QAC983146:QAC983193 QJY983146:QJY983193 QTU983146:QTU983193 RDQ983146:RDQ983193 RNM983146:RNM983193 RXI983146:RXI983193 SHE983146:SHE983193 SRA983146:SRA983193 TAW983146:TAW983193 TKS983146:TKS983193 TUO983146:TUO983193 UEK983146:UEK983193 UOG983146:UOG983193 UYC983146:UYC983193 VHY983146:VHY983193 VRU983146:VRU983193 WBQ983146:WBQ983193 WLM983146:WLM983193 WVI983146:WVI983193 F171 JA171 SW171 ACS171 AMO171 AWK171 BGG171 BQC171 BZY171 CJU171 CTQ171 DDM171 DNI171 DXE171 EHA171 EQW171 FAS171 FKO171 FUK171 GEG171 GOC171 GXY171 HHU171 HRQ171 IBM171 ILI171 IVE171 JFA171 JOW171 JYS171 KIO171 KSK171 LCG171 LMC171 LVY171 MFU171 MPQ171 MZM171 NJI171 NTE171 ODA171 OMW171 OWS171 PGO171 PQK171 QAG171 QKC171 QTY171 RDU171 RNQ171 RXM171 SHI171 SRE171 TBA171 TKW171 TUS171 UEO171 UOK171 UYG171 VIC171 VRY171 WBU171 WLQ171 WVM171 F65707 JA65707 SW65707 ACS65707 AMO65707 AWK65707 BGG65707 BQC65707 BZY65707 CJU65707 CTQ65707 DDM65707 DNI65707 DXE65707 EHA65707 EQW65707 FAS65707 FKO65707 FUK65707 GEG65707 GOC65707 GXY65707 HHU65707 HRQ65707 IBM65707 ILI65707 IVE65707 JFA65707 JOW65707 JYS65707 KIO65707 KSK65707 LCG65707 LMC65707 LVY65707 MFU65707 MPQ65707 MZM65707 NJI65707 NTE65707 ODA65707 OMW65707 OWS65707 PGO65707 PQK65707 QAG65707 QKC65707 QTY65707 RDU65707 RNQ65707 RXM65707 SHI65707 SRE65707 TBA65707 TKW65707 TUS65707 UEO65707 UOK65707 UYG65707 VIC65707 VRY65707 WBU65707 WLQ65707 WVM65707 F131243 JA131243 SW131243 ACS131243 AMO131243 AWK131243 BGG131243 BQC131243 BZY131243 CJU131243 CTQ131243 DDM131243 DNI131243 DXE131243 EHA131243 EQW131243 FAS131243 FKO131243 FUK131243 GEG131243 GOC131243 GXY131243 HHU131243 HRQ131243 IBM131243 ILI131243 IVE131243 JFA131243 JOW131243 JYS131243 KIO131243 KSK131243 LCG131243 LMC131243 LVY131243 MFU131243 MPQ131243 MZM131243 NJI131243 NTE131243 ODA131243 OMW131243 OWS131243 PGO131243 PQK131243 QAG131243 QKC131243 QTY131243 RDU131243 RNQ131243 RXM131243 SHI131243 SRE131243 TBA131243 TKW131243 TUS131243 UEO131243 UOK131243 UYG131243 VIC131243 VRY131243 WBU131243 WLQ131243 WVM131243 F196779 JA196779 SW196779 ACS196779 AMO196779 AWK196779 BGG196779 BQC196779 BZY196779 CJU196779 CTQ196779 DDM196779 DNI196779 DXE196779 EHA196779 EQW196779 FAS196779 FKO196779 FUK196779 GEG196779 GOC196779 GXY196779 HHU196779 HRQ196779 IBM196779 ILI196779 IVE196779 JFA196779 JOW196779 JYS196779 KIO196779 KSK196779 LCG196779 LMC196779 LVY196779 MFU196779 MPQ196779 MZM196779 NJI196779 NTE196779 ODA196779 OMW196779 OWS196779 PGO196779 PQK196779 QAG196779 QKC196779 QTY196779 RDU196779 RNQ196779 RXM196779 SHI196779 SRE196779 TBA196779 TKW196779 TUS196779 UEO196779 UOK196779 UYG196779 VIC196779 VRY196779 WBU196779 WLQ196779 WVM196779 F262315 JA262315 SW262315 ACS262315 AMO262315 AWK262315 BGG262315 BQC262315 BZY262315 CJU262315 CTQ262315 DDM262315 DNI262315 DXE262315 EHA262315 EQW262315 FAS262315 FKO262315 FUK262315 GEG262315 GOC262315 GXY262315 HHU262315 HRQ262315 IBM262315 ILI262315 IVE262315 JFA262315 JOW262315 JYS262315 KIO262315 KSK262315 LCG262315 LMC262315 LVY262315 MFU262315 MPQ262315 MZM262315 NJI262315 NTE262315 ODA262315 OMW262315 OWS262315 PGO262315 PQK262315 QAG262315 QKC262315 QTY262315 RDU262315 RNQ262315 RXM262315 SHI262315 SRE262315 TBA262315 TKW262315 TUS262315 UEO262315 UOK262315 UYG262315 VIC262315 VRY262315 WBU262315 WLQ262315 WVM262315 F327851 JA327851 SW327851 ACS327851 AMO327851 AWK327851 BGG327851 BQC327851 BZY327851 CJU327851 CTQ327851 DDM327851 DNI327851 DXE327851 EHA327851 EQW327851 FAS327851 FKO327851 FUK327851 GEG327851 GOC327851 GXY327851 HHU327851 HRQ327851 IBM327851 ILI327851 IVE327851 JFA327851 JOW327851 JYS327851 KIO327851 KSK327851 LCG327851 LMC327851 LVY327851 MFU327851 MPQ327851 MZM327851 NJI327851 NTE327851 ODA327851 OMW327851 OWS327851 PGO327851 PQK327851 QAG327851 QKC327851 QTY327851 RDU327851 RNQ327851 RXM327851 SHI327851 SRE327851 TBA327851 TKW327851 TUS327851 UEO327851 UOK327851 UYG327851 VIC327851 VRY327851 WBU327851 WLQ327851 WVM327851 F393387 JA393387 SW393387 ACS393387 AMO393387 AWK393387 BGG393387 BQC393387 BZY393387 CJU393387 CTQ393387 DDM393387 DNI393387 DXE393387 EHA393387 EQW393387 FAS393387 FKO393387 FUK393387 GEG393387 GOC393387 GXY393387 HHU393387 HRQ393387 IBM393387 ILI393387 IVE393387 JFA393387 JOW393387 JYS393387 KIO393387 KSK393387 LCG393387 LMC393387 LVY393387 MFU393387 MPQ393387 MZM393387 NJI393387 NTE393387 ODA393387 OMW393387 OWS393387 PGO393387 PQK393387 QAG393387 QKC393387 QTY393387 RDU393387 RNQ393387 RXM393387 SHI393387 SRE393387 TBA393387 TKW393387 TUS393387 UEO393387 UOK393387 UYG393387 VIC393387 VRY393387 WBU393387 WLQ393387 WVM393387 F458923 JA458923 SW458923 ACS458923 AMO458923 AWK458923 BGG458923 BQC458923 BZY458923 CJU458923 CTQ458923 DDM458923 DNI458923 DXE458923 EHA458923 EQW458923 FAS458923 FKO458923 FUK458923 GEG458923 GOC458923 GXY458923 HHU458923 HRQ458923 IBM458923 ILI458923 IVE458923 JFA458923 JOW458923 JYS458923 KIO458923 KSK458923 LCG458923 LMC458923 LVY458923 MFU458923 MPQ458923 MZM458923 NJI458923 NTE458923 ODA458923 OMW458923 OWS458923 PGO458923 PQK458923 QAG458923 QKC458923 QTY458923 RDU458923 RNQ458923 RXM458923 SHI458923 SRE458923 TBA458923 TKW458923 TUS458923 UEO458923 UOK458923 UYG458923 VIC458923 VRY458923 WBU458923 WLQ458923 WVM458923 F524459 JA524459 SW524459 ACS524459 AMO524459 AWK524459 BGG524459 BQC524459 BZY524459 CJU524459 CTQ524459 DDM524459 DNI524459 DXE524459 EHA524459 EQW524459 FAS524459 FKO524459 FUK524459 GEG524459 GOC524459 GXY524459 HHU524459 HRQ524459 IBM524459 ILI524459 IVE524459 JFA524459 JOW524459 JYS524459 KIO524459 KSK524459 LCG524459 LMC524459 LVY524459 MFU524459 MPQ524459 MZM524459 NJI524459 NTE524459 ODA524459 OMW524459 OWS524459 PGO524459 PQK524459 QAG524459 QKC524459 QTY524459 RDU524459 RNQ524459 RXM524459 SHI524459 SRE524459 TBA524459 TKW524459 TUS524459 UEO524459 UOK524459 UYG524459 VIC524459 VRY524459 WBU524459 WLQ524459 WVM524459 F589995 JA589995 SW589995 ACS589995 AMO589995 AWK589995 BGG589995 BQC589995 BZY589995 CJU589995 CTQ589995 DDM589995 DNI589995 DXE589995 EHA589995 EQW589995 FAS589995 FKO589995 FUK589995 GEG589995 GOC589995 GXY589995 HHU589995 HRQ589995 IBM589995 ILI589995 IVE589995 JFA589995 JOW589995 JYS589995 KIO589995 KSK589995 LCG589995 LMC589995 LVY589995 MFU589995 MPQ589995 MZM589995 NJI589995 NTE589995 ODA589995 OMW589995 OWS589995 PGO589995 PQK589995 QAG589995 QKC589995 QTY589995 RDU589995 RNQ589995 RXM589995 SHI589995 SRE589995 TBA589995 TKW589995 TUS589995 UEO589995 UOK589995 UYG589995 VIC589995 VRY589995 WBU589995 WLQ589995 WVM589995 F655531 JA655531 SW655531 ACS655531 AMO655531 AWK655531 BGG655531 BQC655531 BZY655531 CJU655531 CTQ655531 DDM655531 DNI655531 DXE655531 EHA655531 EQW655531 FAS655531 FKO655531 FUK655531 GEG655531 GOC655531 GXY655531 HHU655531 HRQ655531 IBM655531 ILI655531 IVE655531 JFA655531 JOW655531 JYS655531 KIO655531 KSK655531 LCG655531 LMC655531 LVY655531 MFU655531 MPQ655531 MZM655531 NJI655531 NTE655531 ODA655531 OMW655531 OWS655531 PGO655531 PQK655531 QAG655531 QKC655531 QTY655531 RDU655531 RNQ655531 RXM655531 SHI655531 SRE655531 TBA655531 TKW655531 TUS655531 UEO655531 UOK655531 UYG655531 VIC655531 VRY655531 WBU655531 WLQ655531 WVM655531 F721067 JA721067 SW721067 ACS721067 AMO721067 AWK721067 BGG721067 BQC721067 BZY721067 CJU721067 CTQ721067 DDM721067 DNI721067 DXE721067 EHA721067 EQW721067 FAS721067 FKO721067 FUK721067 GEG721067 GOC721067 GXY721067 HHU721067 HRQ721067 IBM721067 ILI721067 IVE721067 JFA721067 JOW721067 JYS721067 KIO721067 KSK721067 LCG721067 LMC721067 LVY721067 MFU721067 MPQ721067 MZM721067 NJI721067 NTE721067 ODA721067 OMW721067 OWS721067 PGO721067 PQK721067 QAG721067 QKC721067 QTY721067 RDU721067 RNQ721067 RXM721067 SHI721067 SRE721067 TBA721067 TKW721067 TUS721067 UEO721067 UOK721067 UYG721067 VIC721067 VRY721067 WBU721067 WLQ721067 WVM721067 F786603 JA786603 SW786603 ACS786603 AMO786603 AWK786603 BGG786603 BQC786603 BZY786603 CJU786603 CTQ786603 DDM786603 DNI786603 DXE786603 EHA786603 EQW786603 FAS786603 FKO786603 FUK786603 GEG786603 GOC786603 GXY786603 HHU786603 HRQ786603 IBM786603 ILI786603 IVE786603 JFA786603 JOW786603 JYS786603 KIO786603 KSK786603 LCG786603 LMC786603 LVY786603 MFU786603 MPQ786603 MZM786603 NJI786603 NTE786603 ODA786603 OMW786603 OWS786603 PGO786603 PQK786603 QAG786603 QKC786603 QTY786603 RDU786603 RNQ786603 RXM786603 SHI786603 SRE786603 TBA786603 TKW786603 TUS786603 UEO786603 UOK786603 UYG786603 VIC786603 VRY786603 WBU786603 WLQ786603 WVM786603 F852139 JA852139 SW852139 ACS852139 AMO852139 AWK852139 BGG852139 BQC852139 BZY852139 CJU852139 CTQ852139 DDM852139 DNI852139 DXE852139 EHA852139 EQW852139 FAS852139 FKO852139 FUK852139 GEG852139 GOC852139 GXY852139 HHU852139 HRQ852139 IBM852139 ILI852139 IVE852139 JFA852139 JOW852139 JYS852139 KIO852139 KSK852139 LCG852139 LMC852139 LVY852139 MFU852139 MPQ852139 MZM852139 NJI852139 NTE852139 ODA852139 OMW852139 OWS852139 PGO852139 PQK852139 QAG852139 QKC852139 QTY852139 RDU852139 RNQ852139 RXM852139 SHI852139 SRE852139 TBA852139 TKW852139 TUS852139 UEO852139 UOK852139 UYG852139 VIC852139 VRY852139 WBU852139 WLQ852139 WVM852139 F917675 JA917675 SW917675 ACS917675 AMO917675 AWK917675 BGG917675 BQC917675 BZY917675 CJU917675 CTQ917675 DDM917675 DNI917675 DXE917675 EHA917675 EQW917675 FAS917675 FKO917675 FUK917675 GEG917675 GOC917675 GXY917675 HHU917675 HRQ917675 IBM917675 ILI917675 IVE917675 JFA917675 JOW917675 JYS917675 KIO917675 KSK917675 LCG917675 LMC917675 LVY917675 MFU917675 MPQ917675 MZM917675 NJI917675 NTE917675 ODA917675 OMW917675 OWS917675 PGO917675 PQK917675 QAG917675 QKC917675 QTY917675 RDU917675 RNQ917675 RXM917675 SHI917675 SRE917675 TBA917675 TKW917675 TUS917675 UEO917675 UOK917675 UYG917675 VIC917675 VRY917675 WBU917675 WLQ917675 WVM917675 F983211 JA983211 SW983211 ACS983211 AMO983211 AWK983211 BGG983211 BQC983211 BZY983211 CJU983211 CTQ983211 DDM983211 DNI983211 DXE983211 EHA983211 EQW983211 FAS983211 FKO983211 FUK983211 GEG983211 GOC983211 GXY983211 HHU983211 HRQ983211 IBM983211 ILI983211 IVE983211 JFA983211 JOW983211 JYS983211 KIO983211 KSK983211 LCG983211 LMC983211 LVY983211 MFU983211 MPQ983211 MZM983211 NJI983211 NTE983211 ODA983211 OMW983211 OWS983211 PGO983211 PQK983211 QAG983211 QKC983211 QTY983211 RDU983211 RNQ983211 RXM983211 SHI983211 SRE983211 TBA983211 TKW983211 TUS983211 UEO983211 UOK983211 UYG983211 VIC983211 VRY983211 WBU983211 WLQ983211 WVM983211 F174:F178 JA174:JA178 SW174:SW178 ACS174:ACS178 AMO174:AMO178 AWK174:AWK178 BGG174:BGG178 BQC174:BQC178 BZY174:BZY178 CJU174:CJU178 CTQ174:CTQ178 DDM174:DDM178 DNI174:DNI178 DXE174:DXE178 EHA174:EHA178 EQW174:EQW178 FAS174:FAS178 FKO174:FKO178 FUK174:FUK178 GEG174:GEG178 GOC174:GOC178 GXY174:GXY178 HHU174:HHU178 HRQ174:HRQ178 IBM174:IBM178 ILI174:ILI178 IVE174:IVE178 JFA174:JFA178 JOW174:JOW178 JYS174:JYS178 KIO174:KIO178 KSK174:KSK178 LCG174:LCG178 LMC174:LMC178 LVY174:LVY178 MFU174:MFU178 MPQ174:MPQ178 MZM174:MZM178 NJI174:NJI178 NTE174:NTE178 ODA174:ODA178 OMW174:OMW178 OWS174:OWS178 PGO174:PGO178 PQK174:PQK178 QAG174:QAG178 QKC174:QKC178 QTY174:QTY178 RDU174:RDU178 RNQ174:RNQ178 RXM174:RXM178 SHI174:SHI178 SRE174:SRE178 TBA174:TBA178 TKW174:TKW178 TUS174:TUS178 UEO174:UEO178 UOK174:UOK178 UYG174:UYG178 VIC174:VIC178 VRY174:VRY178 WBU174:WBU178 WLQ174:WLQ178 WVM174:WVM178 F65710:F65714 JA65710:JA65714 SW65710:SW65714 ACS65710:ACS65714 AMO65710:AMO65714 AWK65710:AWK65714 BGG65710:BGG65714 BQC65710:BQC65714 BZY65710:BZY65714 CJU65710:CJU65714 CTQ65710:CTQ65714 DDM65710:DDM65714 DNI65710:DNI65714 DXE65710:DXE65714 EHA65710:EHA65714 EQW65710:EQW65714 FAS65710:FAS65714 FKO65710:FKO65714 FUK65710:FUK65714 GEG65710:GEG65714 GOC65710:GOC65714 GXY65710:GXY65714 HHU65710:HHU65714 HRQ65710:HRQ65714 IBM65710:IBM65714 ILI65710:ILI65714 IVE65710:IVE65714 JFA65710:JFA65714 JOW65710:JOW65714 JYS65710:JYS65714 KIO65710:KIO65714 KSK65710:KSK65714 LCG65710:LCG65714 LMC65710:LMC65714 LVY65710:LVY65714 MFU65710:MFU65714 MPQ65710:MPQ65714 MZM65710:MZM65714 NJI65710:NJI65714 NTE65710:NTE65714 ODA65710:ODA65714 OMW65710:OMW65714 OWS65710:OWS65714 PGO65710:PGO65714 PQK65710:PQK65714 QAG65710:QAG65714 QKC65710:QKC65714 QTY65710:QTY65714 RDU65710:RDU65714 RNQ65710:RNQ65714 RXM65710:RXM65714 SHI65710:SHI65714 SRE65710:SRE65714 TBA65710:TBA65714 TKW65710:TKW65714 TUS65710:TUS65714 UEO65710:UEO65714 UOK65710:UOK65714 UYG65710:UYG65714 VIC65710:VIC65714 VRY65710:VRY65714 WBU65710:WBU65714 WLQ65710:WLQ65714 WVM65710:WVM65714 F131246:F131250 JA131246:JA131250 SW131246:SW131250 ACS131246:ACS131250 AMO131246:AMO131250 AWK131246:AWK131250 BGG131246:BGG131250 BQC131246:BQC131250 BZY131246:BZY131250 CJU131246:CJU131250 CTQ131246:CTQ131250 DDM131246:DDM131250 DNI131246:DNI131250 DXE131246:DXE131250 EHA131246:EHA131250 EQW131246:EQW131250 FAS131246:FAS131250 FKO131246:FKO131250 FUK131246:FUK131250 GEG131246:GEG131250 GOC131246:GOC131250 GXY131246:GXY131250 HHU131246:HHU131250 HRQ131246:HRQ131250 IBM131246:IBM131250 ILI131246:ILI131250 IVE131246:IVE131250 JFA131246:JFA131250 JOW131246:JOW131250 JYS131246:JYS131250 KIO131246:KIO131250 KSK131246:KSK131250 LCG131246:LCG131250 LMC131246:LMC131250 LVY131246:LVY131250 MFU131246:MFU131250 MPQ131246:MPQ131250 MZM131246:MZM131250 NJI131246:NJI131250 NTE131246:NTE131250 ODA131246:ODA131250 OMW131246:OMW131250 OWS131246:OWS131250 PGO131246:PGO131250 PQK131246:PQK131250 QAG131246:QAG131250 QKC131246:QKC131250 QTY131246:QTY131250 RDU131246:RDU131250 RNQ131246:RNQ131250 RXM131246:RXM131250 SHI131246:SHI131250 SRE131246:SRE131250 TBA131246:TBA131250 TKW131246:TKW131250 TUS131246:TUS131250 UEO131246:UEO131250 UOK131246:UOK131250 UYG131246:UYG131250 VIC131246:VIC131250 VRY131246:VRY131250 WBU131246:WBU131250 WLQ131246:WLQ131250 WVM131246:WVM131250 F196782:F196786 JA196782:JA196786 SW196782:SW196786 ACS196782:ACS196786 AMO196782:AMO196786 AWK196782:AWK196786 BGG196782:BGG196786 BQC196782:BQC196786 BZY196782:BZY196786 CJU196782:CJU196786 CTQ196782:CTQ196786 DDM196782:DDM196786 DNI196782:DNI196786 DXE196782:DXE196786 EHA196782:EHA196786 EQW196782:EQW196786 FAS196782:FAS196786 FKO196782:FKO196786 FUK196782:FUK196786 GEG196782:GEG196786 GOC196782:GOC196786 GXY196782:GXY196786 HHU196782:HHU196786 HRQ196782:HRQ196786 IBM196782:IBM196786 ILI196782:ILI196786 IVE196782:IVE196786 JFA196782:JFA196786 JOW196782:JOW196786 JYS196782:JYS196786 KIO196782:KIO196786 KSK196782:KSK196786 LCG196782:LCG196786 LMC196782:LMC196786 LVY196782:LVY196786 MFU196782:MFU196786 MPQ196782:MPQ196786 MZM196782:MZM196786 NJI196782:NJI196786 NTE196782:NTE196786 ODA196782:ODA196786 OMW196782:OMW196786 OWS196782:OWS196786 PGO196782:PGO196786 PQK196782:PQK196786 QAG196782:QAG196786 QKC196782:QKC196786 QTY196782:QTY196786 RDU196782:RDU196786 RNQ196782:RNQ196786 RXM196782:RXM196786 SHI196782:SHI196786 SRE196782:SRE196786 TBA196782:TBA196786 TKW196782:TKW196786 TUS196782:TUS196786 UEO196782:UEO196786 UOK196782:UOK196786 UYG196782:UYG196786 VIC196782:VIC196786 VRY196782:VRY196786 WBU196782:WBU196786 WLQ196782:WLQ196786 WVM196782:WVM196786 F262318:F262322 JA262318:JA262322 SW262318:SW262322 ACS262318:ACS262322 AMO262318:AMO262322 AWK262318:AWK262322 BGG262318:BGG262322 BQC262318:BQC262322 BZY262318:BZY262322 CJU262318:CJU262322 CTQ262318:CTQ262322 DDM262318:DDM262322 DNI262318:DNI262322 DXE262318:DXE262322 EHA262318:EHA262322 EQW262318:EQW262322 FAS262318:FAS262322 FKO262318:FKO262322 FUK262318:FUK262322 GEG262318:GEG262322 GOC262318:GOC262322 GXY262318:GXY262322 HHU262318:HHU262322 HRQ262318:HRQ262322 IBM262318:IBM262322 ILI262318:ILI262322 IVE262318:IVE262322 JFA262318:JFA262322 JOW262318:JOW262322 JYS262318:JYS262322 KIO262318:KIO262322 KSK262318:KSK262322 LCG262318:LCG262322 LMC262318:LMC262322 LVY262318:LVY262322 MFU262318:MFU262322 MPQ262318:MPQ262322 MZM262318:MZM262322 NJI262318:NJI262322 NTE262318:NTE262322 ODA262318:ODA262322 OMW262318:OMW262322 OWS262318:OWS262322 PGO262318:PGO262322 PQK262318:PQK262322 QAG262318:QAG262322 QKC262318:QKC262322 QTY262318:QTY262322 RDU262318:RDU262322 RNQ262318:RNQ262322 RXM262318:RXM262322 SHI262318:SHI262322 SRE262318:SRE262322 TBA262318:TBA262322 TKW262318:TKW262322 TUS262318:TUS262322 UEO262318:UEO262322 UOK262318:UOK262322 UYG262318:UYG262322 VIC262318:VIC262322 VRY262318:VRY262322 WBU262318:WBU262322 WLQ262318:WLQ262322 WVM262318:WVM262322 F327854:F327858 JA327854:JA327858 SW327854:SW327858 ACS327854:ACS327858 AMO327854:AMO327858 AWK327854:AWK327858 BGG327854:BGG327858 BQC327854:BQC327858 BZY327854:BZY327858 CJU327854:CJU327858 CTQ327854:CTQ327858 DDM327854:DDM327858 DNI327854:DNI327858 DXE327854:DXE327858 EHA327854:EHA327858 EQW327854:EQW327858 FAS327854:FAS327858 FKO327854:FKO327858 FUK327854:FUK327858 GEG327854:GEG327858 GOC327854:GOC327858 GXY327854:GXY327858 HHU327854:HHU327858 HRQ327854:HRQ327858 IBM327854:IBM327858 ILI327854:ILI327858 IVE327854:IVE327858 JFA327854:JFA327858 JOW327854:JOW327858 JYS327854:JYS327858 KIO327854:KIO327858 KSK327854:KSK327858 LCG327854:LCG327858 LMC327854:LMC327858 LVY327854:LVY327858 MFU327854:MFU327858 MPQ327854:MPQ327858 MZM327854:MZM327858 NJI327854:NJI327858 NTE327854:NTE327858 ODA327854:ODA327858 OMW327854:OMW327858 OWS327854:OWS327858 PGO327854:PGO327858 PQK327854:PQK327858 QAG327854:QAG327858 QKC327854:QKC327858 QTY327854:QTY327858 RDU327854:RDU327858 RNQ327854:RNQ327858 RXM327854:RXM327858 SHI327854:SHI327858 SRE327854:SRE327858 TBA327854:TBA327858 TKW327854:TKW327858 TUS327854:TUS327858 UEO327854:UEO327858 UOK327854:UOK327858 UYG327854:UYG327858 VIC327854:VIC327858 VRY327854:VRY327858 WBU327854:WBU327858 WLQ327854:WLQ327858 WVM327854:WVM327858 F393390:F393394 JA393390:JA393394 SW393390:SW393394 ACS393390:ACS393394 AMO393390:AMO393394 AWK393390:AWK393394 BGG393390:BGG393394 BQC393390:BQC393394 BZY393390:BZY393394 CJU393390:CJU393394 CTQ393390:CTQ393394 DDM393390:DDM393394 DNI393390:DNI393394 DXE393390:DXE393394 EHA393390:EHA393394 EQW393390:EQW393394 FAS393390:FAS393394 FKO393390:FKO393394 FUK393390:FUK393394 GEG393390:GEG393394 GOC393390:GOC393394 GXY393390:GXY393394 HHU393390:HHU393394 HRQ393390:HRQ393394 IBM393390:IBM393394 ILI393390:ILI393394 IVE393390:IVE393394 JFA393390:JFA393394 JOW393390:JOW393394 JYS393390:JYS393394 KIO393390:KIO393394 KSK393390:KSK393394 LCG393390:LCG393394 LMC393390:LMC393394 LVY393390:LVY393394 MFU393390:MFU393394 MPQ393390:MPQ393394 MZM393390:MZM393394 NJI393390:NJI393394 NTE393390:NTE393394 ODA393390:ODA393394 OMW393390:OMW393394 OWS393390:OWS393394 PGO393390:PGO393394 PQK393390:PQK393394 QAG393390:QAG393394 QKC393390:QKC393394 QTY393390:QTY393394 RDU393390:RDU393394 RNQ393390:RNQ393394 RXM393390:RXM393394 SHI393390:SHI393394 SRE393390:SRE393394 TBA393390:TBA393394 TKW393390:TKW393394 TUS393390:TUS393394 UEO393390:UEO393394 UOK393390:UOK393394 UYG393390:UYG393394 VIC393390:VIC393394 VRY393390:VRY393394 WBU393390:WBU393394 WLQ393390:WLQ393394 WVM393390:WVM393394 F458926:F458930 JA458926:JA458930 SW458926:SW458930 ACS458926:ACS458930 AMO458926:AMO458930 AWK458926:AWK458930 BGG458926:BGG458930 BQC458926:BQC458930 BZY458926:BZY458930 CJU458926:CJU458930 CTQ458926:CTQ458930 DDM458926:DDM458930 DNI458926:DNI458930 DXE458926:DXE458930 EHA458926:EHA458930 EQW458926:EQW458930 FAS458926:FAS458930 FKO458926:FKO458930 FUK458926:FUK458930 GEG458926:GEG458930 GOC458926:GOC458930 GXY458926:GXY458930 HHU458926:HHU458930 HRQ458926:HRQ458930 IBM458926:IBM458930 ILI458926:ILI458930 IVE458926:IVE458930 JFA458926:JFA458930 JOW458926:JOW458930 JYS458926:JYS458930 KIO458926:KIO458930 KSK458926:KSK458930 LCG458926:LCG458930 LMC458926:LMC458930 LVY458926:LVY458930 MFU458926:MFU458930 MPQ458926:MPQ458930 MZM458926:MZM458930 NJI458926:NJI458930 NTE458926:NTE458930 ODA458926:ODA458930 OMW458926:OMW458930 OWS458926:OWS458930 PGO458926:PGO458930 PQK458926:PQK458930 QAG458926:QAG458930 QKC458926:QKC458930 QTY458926:QTY458930 RDU458926:RDU458930 RNQ458926:RNQ458930 RXM458926:RXM458930 SHI458926:SHI458930 SRE458926:SRE458930 TBA458926:TBA458930 TKW458926:TKW458930 TUS458926:TUS458930 UEO458926:UEO458930 UOK458926:UOK458930 UYG458926:UYG458930 VIC458926:VIC458930 VRY458926:VRY458930 WBU458926:WBU458930 WLQ458926:WLQ458930 WVM458926:WVM458930 F524462:F524466 JA524462:JA524466 SW524462:SW524466 ACS524462:ACS524466 AMO524462:AMO524466 AWK524462:AWK524466 BGG524462:BGG524466 BQC524462:BQC524466 BZY524462:BZY524466 CJU524462:CJU524466 CTQ524462:CTQ524466 DDM524462:DDM524466 DNI524462:DNI524466 DXE524462:DXE524466 EHA524462:EHA524466 EQW524462:EQW524466 FAS524462:FAS524466 FKO524462:FKO524466 FUK524462:FUK524466 GEG524462:GEG524466 GOC524462:GOC524466 GXY524462:GXY524466 HHU524462:HHU524466 HRQ524462:HRQ524466 IBM524462:IBM524466 ILI524462:ILI524466 IVE524462:IVE524466 JFA524462:JFA524466 JOW524462:JOW524466 JYS524462:JYS524466 KIO524462:KIO524466 KSK524462:KSK524466 LCG524462:LCG524466 LMC524462:LMC524466 LVY524462:LVY524466 MFU524462:MFU524466 MPQ524462:MPQ524466 MZM524462:MZM524466 NJI524462:NJI524466 NTE524462:NTE524466 ODA524462:ODA524466 OMW524462:OMW524466 OWS524462:OWS524466 PGO524462:PGO524466 PQK524462:PQK524466 QAG524462:QAG524466 QKC524462:QKC524466 QTY524462:QTY524466 RDU524462:RDU524466 RNQ524462:RNQ524466 RXM524462:RXM524466 SHI524462:SHI524466 SRE524462:SRE524466 TBA524462:TBA524466 TKW524462:TKW524466 TUS524462:TUS524466 UEO524462:UEO524466 UOK524462:UOK524466 UYG524462:UYG524466 VIC524462:VIC524466 VRY524462:VRY524466 WBU524462:WBU524466 WLQ524462:WLQ524466 WVM524462:WVM524466 F589998:F590002 JA589998:JA590002 SW589998:SW590002 ACS589998:ACS590002 AMO589998:AMO590002 AWK589998:AWK590002 BGG589998:BGG590002 BQC589998:BQC590002 BZY589998:BZY590002 CJU589998:CJU590002 CTQ589998:CTQ590002 DDM589998:DDM590002 DNI589998:DNI590002 DXE589998:DXE590002 EHA589998:EHA590002 EQW589998:EQW590002 FAS589998:FAS590002 FKO589998:FKO590002 FUK589998:FUK590002 GEG589998:GEG590002 GOC589998:GOC590002 GXY589998:GXY590002 HHU589998:HHU590002 HRQ589998:HRQ590002 IBM589998:IBM590002 ILI589998:ILI590002 IVE589998:IVE590002 JFA589998:JFA590002 JOW589998:JOW590002 JYS589998:JYS590002 KIO589998:KIO590002 KSK589998:KSK590002 LCG589998:LCG590002 LMC589998:LMC590002 LVY589998:LVY590002 MFU589998:MFU590002 MPQ589998:MPQ590002 MZM589998:MZM590002 NJI589998:NJI590002 NTE589998:NTE590002 ODA589998:ODA590002 OMW589998:OMW590002 OWS589998:OWS590002 PGO589998:PGO590002 PQK589998:PQK590002 QAG589998:QAG590002 QKC589998:QKC590002 QTY589998:QTY590002 RDU589998:RDU590002 RNQ589998:RNQ590002 RXM589998:RXM590002 SHI589998:SHI590002 SRE589998:SRE590002 TBA589998:TBA590002 TKW589998:TKW590002 TUS589998:TUS590002 UEO589998:UEO590002 UOK589998:UOK590002 UYG589998:UYG590002 VIC589998:VIC590002 VRY589998:VRY590002 WBU589998:WBU590002 WLQ589998:WLQ590002 WVM589998:WVM590002 F655534:F655538 JA655534:JA655538 SW655534:SW655538 ACS655534:ACS655538 AMO655534:AMO655538 AWK655534:AWK655538 BGG655534:BGG655538 BQC655534:BQC655538 BZY655534:BZY655538 CJU655534:CJU655538 CTQ655534:CTQ655538 DDM655534:DDM655538 DNI655534:DNI655538 DXE655534:DXE655538 EHA655534:EHA655538 EQW655534:EQW655538 FAS655534:FAS655538 FKO655534:FKO655538 FUK655534:FUK655538 GEG655534:GEG655538 GOC655534:GOC655538 GXY655534:GXY655538 HHU655534:HHU655538 HRQ655534:HRQ655538 IBM655534:IBM655538 ILI655534:ILI655538 IVE655534:IVE655538 JFA655534:JFA655538 JOW655534:JOW655538 JYS655534:JYS655538 KIO655534:KIO655538 KSK655534:KSK655538 LCG655534:LCG655538 LMC655534:LMC655538 LVY655534:LVY655538 MFU655534:MFU655538 MPQ655534:MPQ655538 MZM655534:MZM655538 NJI655534:NJI655538 NTE655534:NTE655538 ODA655534:ODA655538 OMW655534:OMW655538 OWS655534:OWS655538 PGO655534:PGO655538 PQK655534:PQK655538 QAG655534:QAG655538 QKC655534:QKC655538 QTY655534:QTY655538 RDU655534:RDU655538 RNQ655534:RNQ655538 RXM655534:RXM655538 SHI655534:SHI655538 SRE655534:SRE655538 TBA655534:TBA655538 TKW655534:TKW655538 TUS655534:TUS655538 UEO655534:UEO655538 UOK655534:UOK655538 UYG655534:UYG655538 VIC655534:VIC655538 VRY655534:VRY655538 WBU655534:WBU655538 WLQ655534:WLQ655538 WVM655534:WVM655538 F721070:F721074 JA721070:JA721074 SW721070:SW721074 ACS721070:ACS721074 AMO721070:AMO721074 AWK721070:AWK721074 BGG721070:BGG721074 BQC721070:BQC721074 BZY721070:BZY721074 CJU721070:CJU721074 CTQ721070:CTQ721074 DDM721070:DDM721074 DNI721070:DNI721074 DXE721070:DXE721074 EHA721070:EHA721074 EQW721070:EQW721074 FAS721070:FAS721074 FKO721070:FKO721074 FUK721070:FUK721074 GEG721070:GEG721074 GOC721070:GOC721074 GXY721070:GXY721074 HHU721070:HHU721074 HRQ721070:HRQ721074 IBM721070:IBM721074 ILI721070:ILI721074 IVE721070:IVE721074 JFA721070:JFA721074 JOW721070:JOW721074 JYS721070:JYS721074 KIO721070:KIO721074 KSK721070:KSK721074 LCG721070:LCG721074 LMC721070:LMC721074 LVY721070:LVY721074 MFU721070:MFU721074 MPQ721070:MPQ721074 MZM721070:MZM721074 NJI721070:NJI721074 NTE721070:NTE721074 ODA721070:ODA721074 OMW721070:OMW721074 OWS721070:OWS721074 PGO721070:PGO721074 PQK721070:PQK721074 QAG721070:QAG721074 QKC721070:QKC721074 QTY721070:QTY721074 RDU721070:RDU721074 RNQ721070:RNQ721074 RXM721070:RXM721074 SHI721070:SHI721074 SRE721070:SRE721074 TBA721070:TBA721074 TKW721070:TKW721074 TUS721070:TUS721074 UEO721070:UEO721074 UOK721070:UOK721074 UYG721070:UYG721074 VIC721070:VIC721074 VRY721070:VRY721074 WBU721070:WBU721074 WLQ721070:WLQ721074 WVM721070:WVM721074 F786606:F786610 JA786606:JA786610 SW786606:SW786610 ACS786606:ACS786610 AMO786606:AMO786610 AWK786606:AWK786610 BGG786606:BGG786610 BQC786606:BQC786610 BZY786606:BZY786610 CJU786606:CJU786610 CTQ786606:CTQ786610 DDM786606:DDM786610 DNI786606:DNI786610 DXE786606:DXE786610 EHA786606:EHA786610 EQW786606:EQW786610 FAS786606:FAS786610 FKO786606:FKO786610 FUK786606:FUK786610 GEG786606:GEG786610 GOC786606:GOC786610 GXY786606:GXY786610 HHU786606:HHU786610 HRQ786606:HRQ786610 IBM786606:IBM786610 ILI786606:ILI786610 IVE786606:IVE786610 JFA786606:JFA786610 JOW786606:JOW786610 JYS786606:JYS786610 KIO786606:KIO786610 KSK786606:KSK786610 LCG786606:LCG786610 LMC786606:LMC786610 LVY786606:LVY786610 MFU786606:MFU786610 MPQ786606:MPQ786610 MZM786606:MZM786610 NJI786606:NJI786610 NTE786606:NTE786610 ODA786606:ODA786610 OMW786606:OMW786610 OWS786606:OWS786610 PGO786606:PGO786610 PQK786606:PQK786610 QAG786606:QAG786610 QKC786606:QKC786610 QTY786606:QTY786610 RDU786606:RDU786610 RNQ786606:RNQ786610 RXM786606:RXM786610 SHI786606:SHI786610 SRE786606:SRE786610 TBA786606:TBA786610 TKW786606:TKW786610 TUS786606:TUS786610 UEO786606:UEO786610 UOK786606:UOK786610 UYG786606:UYG786610 VIC786606:VIC786610 VRY786606:VRY786610 WBU786606:WBU786610 WLQ786606:WLQ786610 WVM786606:WVM786610 F852142:F852146 JA852142:JA852146 SW852142:SW852146 ACS852142:ACS852146 AMO852142:AMO852146 AWK852142:AWK852146 BGG852142:BGG852146 BQC852142:BQC852146 BZY852142:BZY852146 CJU852142:CJU852146 CTQ852142:CTQ852146 DDM852142:DDM852146 DNI852142:DNI852146 DXE852142:DXE852146 EHA852142:EHA852146 EQW852142:EQW852146 FAS852142:FAS852146 FKO852142:FKO852146 FUK852142:FUK852146 GEG852142:GEG852146 GOC852142:GOC852146 GXY852142:GXY852146 HHU852142:HHU852146 HRQ852142:HRQ852146 IBM852142:IBM852146 ILI852142:ILI852146 IVE852142:IVE852146 JFA852142:JFA852146 JOW852142:JOW852146 JYS852142:JYS852146 KIO852142:KIO852146 KSK852142:KSK852146 LCG852142:LCG852146 LMC852142:LMC852146 LVY852142:LVY852146 MFU852142:MFU852146 MPQ852142:MPQ852146 MZM852142:MZM852146 NJI852142:NJI852146 NTE852142:NTE852146 ODA852142:ODA852146 OMW852142:OMW852146 OWS852142:OWS852146 PGO852142:PGO852146 PQK852142:PQK852146 QAG852142:QAG852146 QKC852142:QKC852146 QTY852142:QTY852146 RDU852142:RDU852146 RNQ852142:RNQ852146 RXM852142:RXM852146 SHI852142:SHI852146 SRE852142:SRE852146 TBA852142:TBA852146 TKW852142:TKW852146 TUS852142:TUS852146 UEO852142:UEO852146 UOK852142:UOK852146 UYG852142:UYG852146 VIC852142:VIC852146 VRY852142:VRY852146 WBU852142:WBU852146 WLQ852142:WLQ852146 WVM852142:WVM852146 F917678:F917682 JA917678:JA917682 SW917678:SW917682 ACS917678:ACS917682 AMO917678:AMO917682 AWK917678:AWK917682 BGG917678:BGG917682 BQC917678:BQC917682 BZY917678:BZY917682 CJU917678:CJU917682 CTQ917678:CTQ917682 DDM917678:DDM917682 DNI917678:DNI917682 DXE917678:DXE917682 EHA917678:EHA917682 EQW917678:EQW917682 FAS917678:FAS917682 FKO917678:FKO917682 FUK917678:FUK917682 GEG917678:GEG917682 GOC917678:GOC917682 GXY917678:GXY917682 HHU917678:HHU917682 HRQ917678:HRQ917682 IBM917678:IBM917682 ILI917678:ILI917682 IVE917678:IVE917682 JFA917678:JFA917682 JOW917678:JOW917682 JYS917678:JYS917682 KIO917678:KIO917682 KSK917678:KSK917682 LCG917678:LCG917682 LMC917678:LMC917682 LVY917678:LVY917682 MFU917678:MFU917682 MPQ917678:MPQ917682 MZM917678:MZM917682 NJI917678:NJI917682 NTE917678:NTE917682 ODA917678:ODA917682 OMW917678:OMW917682 OWS917678:OWS917682 PGO917678:PGO917682 PQK917678:PQK917682 QAG917678:QAG917682 QKC917678:QKC917682 QTY917678:QTY917682 RDU917678:RDU917682 RNQ917678:RNQ917682 RXM917678:RXM917682 SHI917678:SHI917682 SRE917678:SRE917682 TBA917678:TBA917682 TKW917678:TKW917682 TUS917678:TUS917682 UEO917678:UEO917682 UOK917678:UOK917682 UYG917678:UYG917682 VIC917678:VIC917682 VRY917678:VRY917682 WBU917678:WBU917682 WLQ917678:WLQ917682 WVM917678:WVM917682 F983214:F983218 JA983214:JA983218 SW983214:SW983218 ACS983214:ACS983218 AMO983214:AMO983218 AWK983214:AWK983218 BGG983214:BGG983218 BQC983214:BQC983218 BZY983214:BZY983218 CJU983214:CJU983218 CTQ983214:CTQ983218 DDM983214:DDM983218 DNI983214:DNI983218 DXE983214:DXE983218 EHA983214:EHA983218 EQW983214:EQW983218 FAS983214:FAS983218 FKO983214:FKO983218 FUK983214:FUK983218 GEG983214:GEG983218 GOC983214:GOC983218 GXY983214:GXY983218 HHU983214:HHU983218 HRQ983214:HRQ983218 IBM983214:IBM983218 ILI983214:ILI983218 IVE983214:IVE983218 JFA983214:JFA983218 JOW983214:JOW983218 JYS983214:JYS983218 KIO983214:KIO983218 KSK983214:KSK983218 LCG983214:LCG983218 LMC983214:LMC983218 LVY983214:LVY983218 MFU983214:MFU983218 MPQ983214:MPQ983218 MZM983214:MZM983218 NJI983214:NJI983218 NTE983214:NTE983218 ODA983214:ODA983218 OMW983214:OMW983218 OWS983214:OWS983218 PGO983214:PGO983218 PQK983214:PQK983218 QAG983214:QAG983218 QKC983214:QKC983218 QTY983214:QTY983218 RDU983214:RDU983218 RNQ983214:RNQ983218 RXM983214:RXM983218 SHI983214:SHI983218 SRE983214:SRE983218 TBA983214:TBA983218 TKW983214:TKW983218 TUS983214:TUS983218 UEO983214:UEO983218 UOK983214:UOK983218 UYG983214:UYG983218 VIC983214:VIC983218 VRY983214:VRY983218 WBU983214:WBU983218 WLQ983214:WLQ983218 WVM983214:WVM983218 F180 JA180 SW180 ACS180 AMO180 AWK180 BGG180 BQC180 BZY180 CJU180 CTQ180 DDM180 DNI180 DXE180 EHA180 EQW180 FAS180 FKO180 FUK180 GEG180 GOC180 GXY180 HHU180 HRQ180 IBM180 ILI180 IVE180 JFA180 JOW180 JYS180 KIO180 KSK180 LCG180 LMC180 LVY180 MFU180 MPQ180 MZM180 NJI180 NTE180 ODA180 OMW180 OWS180 PGO180 PQK180 QAG180 QKC180 QTY180 RDU180 RNQ180 RXM180 SHI180 SRE180 TBA180 TKW180 TUS180 UEO180 UOK180 UYG180 VIC180 VRY180 WBU180 WLQ180 WVM180 F65716 JA65716 SW65716 ACS65716 AMO65716 AWK65716 BGG65716 BQC65716 BZY65716 CJU65716 CTQ65716 DDM65716 DNI65716 DXE65716 EHA65716 EQW65716 FAS65716 FKO65716 FUK65716 GEG65716 GOC65716 GXY65716 HHU65716 HRQ65716 IBM65716 ILI65716 IVE65716 JFA65716 JOW65716 JYS65716 KIO65716 KSK65716 LCG65716 LMC65716 LVY65716 MFU65716 MPQ65716 MZM65716 NJI65716 NTE65716 ODA65716 OMW65716 OWS65716 PGO65716 PQK65716 QAG65716 QKC65716 QTY65716 RDU65716 RNQ65716 RXM65716 SHI65716 SRE65716 TBA65716 TKW65716 TUS65716 UEO65716 UOK65716 UYG65716 VIC65716 VRY65716 WBU65716 WLQ65716 WVM65716 F131252 JA131252 SW131252 ACS131252 AMO131252 AWK131252 BGG131252 BQC131252 BZY131252 CJU131252 CTQ131252 DDM131252 DNI131252 DXE131252 EHA131252 EQW131252 FAS131252 FKO131252 FUK131252 GEG131252 GOC131252 GXY131252 HHU131252 HRQ131252 IBM131252 ILI131252 IVE131252 JFA131252 JOW131252 JYS131252 KIO131252 KSK131252 LCG131252 LMC131252 LVY131252 MFU131252 MPQ131252 MZM131252 NJI131252 NTE131252 ODA131252 OMW131252 OWS131252 PGO131252 PQK131252 QAG131252 QKC131252 QTY131252 RDU131252 RNQ131252 RXM131252 SHI131252 SRE131252 TBA131252 TKW131252 TUS131252 UEO131252 UOK131252 UYG131252 VIC131252 VRY131252 WBU131252 WLQ131252 WVM131252 F196788 JA196788 SW196788 ACS196788 AMO196788 AWK196788 BGG196788 BQC196788 BZY196788 CJU196788 CTQ196788 DDM196788 DNI196788 DXE196788 EHA196788 EQW196788 FAS196788 FKO196788 FUK196788 GEG196788 GOC196788 GXY196788 HHU196788 HRQ196788 IBM196788 ILI196788 IVE196788 JFA196788 JOW196788 JYS196788 KIO196788 KSK196788 LCG196788 LMC196788 LVY196788 MFU196788 MPQ196788 MZM196788 NJI196788 NTE196788 ODA196788 OMW196788 OWS196788 PGO196788 PQK196788 QAG196788 QKC196788 QTY196788 RDU196788 RNQ196788 RXM196788 SHI196788 SRE196788 TBA196788 TKW196788 TUS196788 UEO196788 UOK196788 UYG196788 VIC196788 VRY196788 WBU196788 WLQ196788 WVM196788 F262324 JA262324 SW262324 ACS262324 AMO262324 AWK262324 BGG262324 BQC262324 BZY262324 CJU262324 CTQ262324 DDM262324 DNI262324 DXE262324 EHA262324 EQW262324 FAS262324 FKO262324 FUK262324 GEG262324 GOC262324 GXY262324 HHU262324 HRQ262324 IBM262324 ILI262324 IVE262324 JFA262324 JOW262324 JYS262324 KIO262324 KSK262324 LCG262324 LMC262324 LVY262324 MFU262324 MPQ262324 MZM262324 NJI262324 NTE262324 ODA262324 OMW262324 OWS262324 PGO262324 PQK262324 QAG262324 QKC262324 QTY262324 RDU262324 RNQ262324 RXM262324 SHI262324 SRE262324 TBA262324 TKW262324 TUS262324 UEO262324 UOK262324 UYG262324 VIC262324 VRY262324 WBU262324 WLQ262324 WVM262324 F327860 JA327860 SW327860 ACS327860 AMO327860 AWK327860 BGG327860 BQC327860 BZY327860 CJU327860 CTQ327860 DDM327860 DNI327860 DXE327860 EHA327860 EQW327860 FAS327860 FKO327860 FUK327860 GEG327860 GOC327860 GXY327860 HHU327860 HRQ327860 IBM327860 ILI327860 IVE327860 JFA327860 JOW327860 JYS327860 KIO327860 KSK327860 LCG327860 LMC327860 LVY327860 MFU327860 MPQ327860 MZM327860 NJI327860 NTE327860 ODA327860 OMW327860 OWS327860 PGO327860 PQK327860 QAG327860 QKC327860 QTY327860 RDU327860 RNQ327860 RXM327860 SHI327860 SRE327860 TBA327860 TKW327860 TUS327860 UEO327860 UOK327860 UYG327860 VIC327860 VRY327860 WBU327860 WLQ327860 WVM327860 F393396 JA393396 SW393396 ACS393396 AMO393396 AWK393396 BGG393396 BQC393396 BZY393396 CJU393396 CTQ393396 DDM393396 DNI393396 DXE393396 EHA393396 EQW393396 FAS393396 FKO393396 FUK393396 GEG393396 GOC393396 GXY393396 HHU393396 HRQ393396 IBM393396 ILI393396 IVE393396 JFA393396 JOW393396 JYS393396 KIO393396 KSK393396 LCG393396 LMC393396 LVY393396 MFU393396 MPQ393396 MZM393396 NJI393396 NTE393396 ODA393396 OMW393396 OWS393396 PGO393396 PQK393396 QAG393396 QKC393396 QTY393396 RDU393396 RNQ393396 RXM393396 SHI393396 SRE393396 TBA393396 TKW393396 TUS393396 UEO393396 UOK393396 UYG393396 VIC393396 VRY393396 WBU393396 WLQ393396 WVM393396 F458932 JA458932 SW458932 ACS458932 AMO458932 AWK458932 BGG458932 BQC458932 BZY458932 CJU458932 CTQ458932 DDM458932 DNI458932 DXE458932 EHA458932 EQW458932 FAS458932 FKO458932 FUK458932 GEG458932 GOC458932 GXY458932 HHU458932 HRQ458932 IBM458932 ILI458932 IVE458932 JFA458932 JOW458932 JYS458932 KIO458932 KSK458932 LCG458932 LMC458932 LVY458932 MFU458932 MPQ458932 MZM458932 NJI458932 NTE458932 ODA458932 OMW458932 OWS458932 PGO458932 PQK458932 QAG458932 QKC458932 QTY458932 RDU458932 RNQ458932 RXM458932 SHI458932 SRE458932 TBA458932 TKW458932 TUS458932 UEO458932 UOK458932 UYG458932 VIC458932 VRY458932 WBU458932 WLQ458932 WVM458932 F524468 JA524468 SW524468 ACS524468 AMO524468 AWK524468 BGG524468 BQC524468 BZY524468 CJU524468 CTQ524468 DDM524468 DNI524468 DXE524468 EHA524468 EQW524468 FAS524468 FKO524468 FUK524468 GEG524468 GOC524468 GXY524468 HHU524468 HRQ524468 IBM524468 ILI524468 IVE524468 JFA524468 JOW524468 JYS524468 KIO524468 KSK524468 LCG524468 LMC524468 LVY524468 MFU524468 MPQ524468 MZM524468 NJI524468 NTE524468 ODA524468 OMW524468 OWS524468 PGO524468 PQK524468 QAG524468 QKC524468 QTY524468 RDU524468 RNQ524468 RXM524468 SHI524468 SRE524468 TBA524468 TKW524468 TUS524468 UEO524468 UOK524468 UYG524468 VIC524468 VRY524468 WBU524468 WLQ524468 WVM524468 F590004 JA590004 SW590004 ACS590004 AMO590004 AWK590004 BGG590004 BQC590004 BZY590004 CJU590004 CTQ590004 DDM590004 DNI590004 DXE590004 EHA590004 EQW590004 FAS590004 FKO590004 FUK590004 GEG590004 GOC590004 GXY590004 HHU590004 HRQ590004 IBM590004 ILI590004 IVE590004 JFA590004 JOW590004 JYS590004 KIO590004 KSK590004 LCG590004 LMC590004 LVY590004 MFU590004 MPQ590004 MZM590004 NJI590004 NTE590004 ODA590004 OMW590004 OWS590004 PGO590004 PQK590004 QAG590004 QKC590004 QTY590004 RDU590004 RNQ590004 RXM590004 SHI590004 SRE590004 TBA590004 TKW590004 TUS590004 UEO590004 UOK590004 UYG590004 VIC590004 VRY590004 WBU590004 WLQ590004 WVM590004 F655540 JA655540 SW655540 ACS655540 AMO655540 AWK655540 BGG655540 BQC655540 BZY655540 CJU655540 CTQ655540 DDM655540 DNI655540 DXE655540 EHA655540 EQW655540 FAS655540 FKO655540 FUK655540 GEG655540 GOC655540 GXY655540 HHU655540 HRQ655540 IBM655540 ILI655540 IVE655540 JFA655540 JOW655540 JYS655540 KIO655540 KSK655540 LCG655540 LMC655540 LVY655540 MFU655540 MPQ655540 MZM655540 NJI655540 NTE655540 ODA655540 OMW655540 OWS655540 PGO655540 PQK655540 QAG655540 QKC655540 QTY655540 RDU655540 RNQ655540 RXM655540 SHI655540 SRE655540 TBA655540 TKW655540 TUS655540 UEO655540 UOK655540 UYG655540 VIC655540 VRY655540 WBU655540 WLQ655540 WVM655540 F721076 JA721076 SW721076 ACS721076 AMO721076 AWK721076 BGG721076 BQC721076 BZY721076 CJU721076 CTQ721076 DDM721076 DNI721076 DXE721076 EHA721076 EQW721076 FAS721076 FKO721076 FUK721076 GEG721076 GOC721076 GXY721076 HHU721076 HRQ721076 IBM721076 ILI721076 IVE721076 JFA721076 JOW721076 JYS721076 KIO721076 KSK721076 LCG721076 LMC721076 LVY721076 MFU721076 MPQ721076 MZM721076 NJI721076 NTE721076 ODA721076 OMW721076 OWS721076 PGO721076 PQK721076 QAG721076 QKC721076 QTY721076 RDU721076 RNQ721076 RXM721076 SHI721076 SRE721076 TBA721076 TKW721076 TUS721076 UEO721076 UOK721076 UYG721076 VIC721076 VRY721076 WBU721076 WLQ721076 WVM721076 F786612 JA786612 SW786612 ACS786612 AMO786612 AWK786612 BGG786612 BQC786612 BZY786612 CJU786612 CTQ786612 DDM786612 DNI786612 DXE786612 EHA786612 EQW786612 FAS786612 FKO786612 FUK786612 GEG786612 GOC786612 GXY786612 HHU786612 HRQ786612 IBM786612 ILI786612 IVE786612 JFA786612 JOW786612 JYS786612 KIO786612 KSK786612 LCG786612 LMC786612 LVY786612 MFU786612 MPQ786612 MZM786612 NJI786612 NTE786612 ODA786612 OMW786612 OWS786612 PGO786612 PQK786612 QAG786612 QKC786612 QTY786612 RDU786612 RNQ786612 RXM786612 SHI786612 SRE786612 TBA786612 TKW786612 TUS786612 UEO786612 UOK786612 UYG786612 VIC786612 VRY786612 WBU786612 WLQ786612 WVM786612 F852148 JA852148 SW852148 ACS852148 AMO852148 AWK852148 BGG852148 BQC852148 BZY852148 CJU852148 CTQ852148 DDM852148 DNI852148 DXE852148 EHA852148 EQW852148 FAS852148 FKO852148 FUK852148 GEG852148 GOC852148 GXY852148 HHU852148 HRQ852148 IBM852148 ILI852148 IVE852148 JFA852148 JOW852148 JYS852148 KIO852148 KSK852148 LCG852148 LMC852148 LVY852148 MFU852148 MPQ852148 MZM852148 NJI852148 NTE852148 ODA852148 OMW852148 OWS852148 PGO852148 PQK852148 QAG852148 QKC852148 QTY852148 RDU852148 RNQ852148 RXM852148 SHI852148 SRE852148 TBA852148 TKW852148 TUS852148 UEO852148 UOK852148 UYG852148 VIC852148 VRY852148 WBU852148 WLQ852148 WVM852148 F917684 JA917684 SW917684 ACS917684 AMO917684 AWK917684 BGG917684 BQC917684 BZY917684 CJU917684 CTQ917684 DDM917684 DNI917684 DXE917684 EHA917684 EQW917684 FAS917684 FKO917684 FUK917684 GEG917684 GOC917684 GXY917684 HHU917684 HRQ917684 IBM917684 ILI917684 IVE917684 JFA917684 JOW917684 JYS917684 KIO917684 KSK917684 LCG917684 LMC917684 LVY917684 MFU917684 MPQ917684 MZM917684 NJI917684 NTE917684 ODA917684 OMW917684 OWS917684 PGO917684 PQK917684 QAG917684 QKC917684 QTY917684 RDU917684 RNQ917684 RXM917684 SHI917684 SRE917684 TBA917684 TKW917684 TUS917684 UEO917684 UOK917684 UYG917684 VIC917684 VRY917684 WBU917684 WLQ917684 WVM917684 F983220 JA983220 SW983220 ACS983220 AMO983220 AWK983220 BGG983220 BQC983220 BZY983220 CJU983220 CTQ983220 DDM983220 DNI983220 DXE983220 EHA983220 EQW983220 FAS983220 FKO983220 FUK983220 GEG983220 GOC983220 GXY983220 HHU983220 HRQ983220 IBM983220 ILI983220 IVE983220 JFA983220 JOW983220 JYS983220 KIO983220 KSK983220 LCG983220 LMC983220 LVY983220 MFU983220 MPQ983220 MZM983220 NJI983220 NTE983220 ODA983220 OMW983220 OWS983220 PGO983220 PQK983220 QAG983220 QKC983220 QTY983220 RDU983220 RNQ983220 RXM983220 SHI983220 SRE983220 TBA983220 TKW983220 TUS983220 UEO983220 UOK983220 UYG983220 VIC983220 VRY983220 WBU983220 WLQ983220 WVM983220 F111:F119 JA111:JA119 SW111:SW119 ACS111:ACS119 AMO111:AMO119 AWK111:AWK119 BGG111:BGG119 BQC111:BQC119 BZY111:BZY119 CJU111:CJU119 CTQ111:CTQ119 DDM111:DDM119 DNI111:DNI119 DXE111:DXE119 EHA111:EHA119 EQW111:EQW119 FAS111:FAS119 FKO111:FKO119 FUK111:FUK119 GEG111:GEG119 GOC111:GOC119 GXY111:GXY119 HHU111:HHU119 HRQ111:HRQ119 IBM111:IBM119 ILI111:ILI119 IVE111:IVE119 JFA111:JFA119 JOW111:JOW119 JYS111:JYS119 KIO111:KIO119 KSK111:KSK119 LCG111:LCG119 LMC111:LMC119 LVY111:LVY119 MFU111:MFU119 MPQ111:MPQ119 MZM111:MZM119 NJI111:NJI119 NTE111:NTE119 ODA111:ODA119 OMW111:OMW119 OWS111:OWS119 PGO111:PGO119 PQK111:PQK119 QAG111:QAG119 QKC111:QKC119 QTY111:QTY119 RDU111:RDU119 RNQ111:RNQ119 RXM111:RXM119 SHI111:SHI119 SRE111:SRE119 TBA111:TBA119 TKW111:TKW119 TUS111:TUS119 UEO111:UEO119 UOK111:UOK119 UYG111:UYG119 VIC111:VIC119 VRY111:VRY119 WBU111:WBU119 WLQ111:WLQ119 WVM111:WVM119 F65647:F65655 JA65647:JA65655 SW65647:SW65655 ACS65647:ACS65655 AMO65647:AMO65655 AWK65647:AWK65655 BGG65647:BGG65655 BQC65647:BQC65655 BZY65647:BZY65655 CJU65647:CJU65655 CTQ65647:CTQ65655 DDM65647:DDM65655 DNI65647:DNI65655 DXE65647:DXE65655 EHA65647:EHA65655 EQW65647:EQW65655 FAS65647:FAS65655 FKO65647:FKO65655 FUK65647:FUK65655 GEG65647:GEG65655 GOC65647:GOC65655 GXY65647:GXY65655 HHU65647:HHU65655 HRQ65647:HRQ65655 IBM65647:IBM65655 ILI65647:ILI65655 IVE65647:IVE65655 JFA65647:JFA65655 JOW65647:JOW65655 JYS65647:JYS65655 KIO65647:KIO65655 KSK65647:KSK65655 LCG65647:LCG65655 LMC65647:LMC65655 LVY65647:LVY65655 MFU65647:MFU65655 MPQ65647:MPQ65655 MZM65647:MZM65655 NJI65647:NJI65655 NTE65647:NTE65655 ODA65647:ODA65655 OMW65647:OMW65655 OWS65647:OWS65655 PGO65647:PGO65655 PQK65647:PQK65655 QAG65647:QAG65655 QKC65647:QKC65655 QTY65647:QTY65655 RDU65647:RDU65655 RNQ65647:RNQ65655 RXM65647:RXM65655 SHI65647:SHI65655 SRE65647:SRE65655 TBA65647:TBA65655 TKW65647:TKW65655 TUS65647:TUS65655 UEO65647:UEO65655 UOK65647:UOK65655 UYG65647:UYG65655 VIC65647:VIC65655 VRY65647:VRY65655 WBU65647:WBU65655 WLQ65647:WLQ65655 WVM65647:WVM65655 F131183:F131191 JA131183:JA131191 SW131183:SW131191 ACS131183:ACS131191 AMO131183:AMO131191 AWK131183:AWK131191 BGG131183:BGG131191 BQC131183:BQC131191 BZY131183:BZY131191 CJU131183:CJU131191 CTQ131183:CTQ131191 DDM131183:DDM131191 DNI131183:DNI131191 DXE131183:DXE131191 EHA131183:EHA131191 EQW131183:EQW131191 FAS131183:FAS131191 FKO131183:FKO131191 FUK131183:FUK131191 GEG131183:GEG131191 GOC131183:GOC131191 GXY131183:GXY131191 HHU131183:HHU131191 HRQ131183:HRQ131191 IBM131183:IBM131191 ILI131183:ILI131191 IVE131183:IVE131191 JFA131183:JFA131191 JOW131183:JOW131191 JYS131183:JYS131191 KIO131183:KIO131191 KSK131183:KSK131191 LCG131183:LCG131191 LMC131183:LMC131191 LVY131183:LVY131191 MFU131183:MFU131191 MPQ131183:MPQ131191 MZM131183:MZM131191 NJI131183:NJI131191 NTE131183:NTE131191 ODA131183:ODA131191 OMW131183:OMW131191 OWS131183:OWS131191 PGO131183:PGO131191 PQK131183:PQK131191 QAG131183:QAG131191 QKC131183:QKC131191 QTY131183:QTY131191 RDU131183:RDU131191 RNQ131183:RNQ131191 RXM131183:RXM131191 SHI131183:SHI131191 SRE131183:SRE131191 TBA131183:TBA131191 TKW131183:TKW131191 TUS131183:TUS131191 UEO131183:UEO131191 UOK131183:UOK131191 UYG131183:UYG131191 VIC131183:VIC131191 VRY131183:VRY131191 WBU131183:WBU131191 WLQ131183:WLQ131191 WVM131183:WVM131191 F196719:F196727 JA196719:JA196727 SW196719:SW196727 ACS196719:ACS196727 AMO196719:AMO196727 AWK196719:AWK196727 BGG196719:BGG196727 BQC196719:BQC196727 BZY196719:BZY196727 CJU196719:CJU196727 CTQ196719:CTQ196727 DDM196719:DDM196727 DNI196719:DNI196727 DXE196719:DXE196727 EHA196719:EHA196727 EQW196719:EQW196727 FAS196719:FAS196727 FKO196719:FKO196727 FUK196719:FUK196727 GEG196719:GEG196727 GOC196719:GOC196727 GXY196719:GXY196727 HHU196719:HHU196727 HRQ196719:HRQ196727 IBM196719:IBM196727 ILI196719:ILI196727 IVE196719:IVE196727 JFA196719:JFA196727 JOW196719:JOW196727 JYS196719:JYS196727 KIO196719:KIO196727 KSK196719:KSK196727 LCG196719:LCG196727 LMC196719:LMC196727 LVY196719:LVY196727 MFU196719:MFU196727 MPQ196719:MPQ196727 MZM196719:MZM196727 NJI196719:NJI196727 NTE196719:NTE196727 ODA196719:ODA196727 OMW196719:OMW196727 OWS196719:OWS196727 PGO196719:PGO196727 PQK196719:PQK196727 QAG196719:QAG196727 QKC196719:QKC196727 QTY196719:QTY196727 RDU196719:RDU196727 RNQ196719:RNQ196727 RXM196719:RXM196727 SHI196719:SHI196727 SRE196719:SRE196727 TBA196719:TBA196727 TKW196719:TKW196727 TUS196719:TUS196727 UEO196719:UEO196727 UOK196719:UOK196727 UYG196719:UYG196727 VIC196719:VIC196727 VRY196719:VRY196727 WBU196719:WBU196727 WLQ196719:WLQ196727 WVM196719:WVM196727 F262255:F262263 JA262255:JA262263 SW262255:SW262263 ACS262255:ACS262263 AMO262255:AMO262263 AWK262255:AWK262263 BGG262255:BGG262263 BQC262255:BQC262263 BZY262255:BZY262263 CJU262255:CJU262263 CTQ262255:CTQ262263 DDM262255:DDM262263 DNI262255:DNI262263 DXE262255:DXE262263 EHA262255:EHA262263 EQW262255:EQW262263 FAS262255:FAS262263 FKO262255:FKO262263 FUK262255:FUK262263 GEG262255:GEG262263 GOC262255:GOC262263 GXY262255:GXY262263 HHU262255:HHU262263 HRQ262255:HRQ262263 IBM262255:IBM262263 ILI262255:ILI262263 IVE262255:IVE262263 JFA262255:JFA262263 JOW262255:JOW262263 JYS262255:JYS262263 KIO262255:KIO262263 KSK262255:KSK262263 LCG262255:LCG262263 LMC262255:LMC262263 LVY262255:LVY262263 MFU262255:MFU262263 MPQ262255:MPQ262263 MZM262255:MZM262263 NJI262255:NJI262263 NTE262255:NTE262263 ODA262255:ODA262263 OMW262255:OMW262263 OWS262255:OWS262263 PGO262255:PGO262263 PQK262255:PQK262263 QAG262255:QAG262263 QKC262255:QKC262263 QTY262255:QTY262263 RDU262255:RDU262263 RNQ262255:RNQ262263 RXM262255:RXM262263 SHI262255:SHI262263 SRE262255:SRE262263 TBA262255:TBA262263 TKW262255:TKW262263 TUS262255:TUS262263 UEO262255:UEO262263 UOK262255:UOK262263 UYG262255:UYG262263 VIC262255:VIC262263 VRY262255:VRY262263 WBU262255:WBU262263 WLQ262255:WLQ262263 WVM262255:WVM262263 F327791:F327799 JA327791:JA327799 SW327791:SW327799 ACS327791:ACS327799 AMO327791:AMO327799 AWK327791:AWK327799 BGG327791:BGG327799 BQC327791:BQC327799 BZY327791:BZY327799 CJU327791:CJU327799 CTQ327791:CTQ327799 DDM327791:DDM327799 DNI327791:DNI327799 DXE327791:DXE327799 EHA327791:EHA327799 EQW327791:EQW327799 FAS327791:FAS327799 FKO327791:FKO327799 FUK327791:FUK327799 GEG327791:GEG327799 GOC327791:GOC327799 GXY327791:GXY327799 HHU327791:HHU327799 HRQ327791:HRQ327799 IBM327791:IBM327799 ILI327791:ILI327799 IVE327791:IVE327799 JFA327791:JFA327799 JOW327791:JOW327799 JYS327791:JYS327799 KIO327791:KIO327799 KSK327791:KSK327799 LCG327791:LCG327799 LMC327791:LMC327799 LVY327791:LVY327799 MFU327791:MFU327799 MPQ327791:MPQ327799 MZM327791:MZM327799 NJI327791:NJI327799 NTE327791:NTE327799 ODA327791:ODA327799 OMW327791:OMW327799 OWS327791:OWS327799 PGO327791:PGO327799 PQK327791:PQK327799 QAG327791:QAG327799 QKC327791:QKC327799 QTY327791:QTY327799 RDU327791:RDU327799 RNQ327791:RNQ327799 RXM327791:RXM327799 SHI327791:SHI327799 SRE327791:SRE327799 TBA327791:TBA327799 TKW327791:TKW327799 TUS327791:TUS327799 UEO327791:UEO327799 UOK327791:UOK327799 UYG327791:UYG327799 VIC327791:VIC327799 VRY327791:VRY327799 WBU327791:WBU327799 WLQ327791:WLQ327799 WVM327791:WVM327799 F393327:F393335 JA393327:JA393335 SW393327:SW393335 ACS393327:ACS393335 AMO393327:AMO393335 AWK393327:AWK393335 BGG393327:BGG393335 BQC393327:BQC393335 BZY393327:BZY393335 CJU393327:CJU393335 CTQ393327:CTQ393335 DDM393327:DDM393335 DNI393327:DNI393335 DXE393327:DXE393335 EHA393327:EHA393335 EQW393327:EQW393335 FAS393327:FAS393335 FKO393327:FKO393335 FUK393327:FUK393335 GEG393327:GEG393335 GOC393327:GOC393335 GXY393327:GXY393335 HHU393327:HHU393335 HRQ393327:HRQ393335 IBM393327:IBM393335 ILI393327:ILI393335 IVE393327:IVE393335 JFA393327:JFA393335 JOW393327:JOW393335 JYS393327:JYS393335 KIO393327:KIO393335 KSK393327:KSK393335 LCG393327:LCG393335 LMC393327:LMC393335 LVY393327:LVY393335 MFU393327:MFU393335 MPQ393327:MPQ393335 MZM393327:MZM393335 NJI393327:NJI393335 NTE393327:NTE393335 ODA393327:ODA393335 OMW393327:OMW393335 OWS393327:OWS393335 PGO393327:PGO393335 PQK393327:PQK393335 QAG393327:QAG393335 QKC393327:QKC393335 QTY393327:QTY393335 RDU393327:RDU393335 RNQ393327:RNQ393335 RXM393327:RXM393335 SHI393327:SHI393335 SRE393327:SRE393335 TBA393327:TBA393335 TKW393327:TKW393335 TUS393327:TUS393335 UEO393327:UEO393335 UOK393327:UOK393335 UYG393327:UYG393335 VIC393327:VIC393335 VRY393327:VRY393335 WBU393327:WBU393335 WLQ393327:WLQ393335 WVM393327:WVM393335 F458863:F458871 JA458863:JA458871 SW458863:SW458871 ACS458863:ACS458871 AMO458863:AMO458871 AWK458863:AWK458871 BGG458863:BGG458871 BQC458863:BQC458871 BZY458863:BZY458871 CJU458863:CJU458871 CTQ458863:CTQ458871 DDM458863:DDM458871 DNI458863:DNI458871 DXE458863:DXE458871 EHA458863:EHA458871 EQW458863:EQW458871 FAS458863:FAS458871 FKO458863:FKO458871 FUK458863:FUK458871 GEG458863:GEG458871 GOC458863:GOC458871 GXY458863:GXY458871 HHU458863:HHU458871 HRQ458863:HRQ458871 IBM458863:IBM458871 ILI458863:ILI458871 IVE458863:IVE458871 JFA458863:JFA458871 JOW458863:JOW458871 JYS458863:JYS458871 KIO458863:KIO458871 KSK458863:KSK458871 LCG458863:LCG458871 LMC458863:LMC458871 LVY458863:LVY458871 MFU458863:MFU458871 MPQ458863:MPQ458871 MZM458863:MZM458871 NJI458863:NJI458871 NTE458863:NTE458871 ODA458863:ODA458871 OMW458863:OMW458871 OWS458863:OWS458871 PGO458863:PGO458871 PQK458863:PQK458871 QAG458863:QAG458871 QKC458863:QKC458871 QTY458863:QTY458871 RDU458863:RDU458871 RNQ458863:RNQ458871 RXM458863:RXM458871 SHI458863:SHI458871 SRE458863:SRE458871 TBA458863:TBA458871 TKW458863:TKW458871 TUS458863:TUS458871 UEO458863:UEO458871 UOK458863:UOK458871 UYG458863:UYG458871 VIC458863:VIC458871 VRY458863:VRY458871 WBU458863:WBU458871 WLQ458863:WLQ458871 WVM458863:WVM458871 F524399:F524407 JA524399:JA524407 SW524399:SW524407 ACS524399:ACS524407 AMO524399:AMO524407 AWK524399:AWK524407 BGG524399:BGG524407 BQC524399:BQC524407 BZY524399:BZY524407 CJU524399:CJU524407 CTQ524399:CTQ524407 DDM524399:DDM524407 DNI524399:DNI524407 DXE524399:DXE524407 EHA524399:EHA524407 EQW524399:EQW524407 FAS524399:FAS524407 FKO524399:FKO524407 FUK524399:FUK524407 GEG524399:GEG524407 GOC524399:GOC524407 GXY524399:GXY524407 HHU524399:HHU524407 HRQ524399:HRQ524407 IBM524399:IBM524407 ILI524399:ILI524407 IVE524399:IVE524407 JFA524399:JFA524407 JOW524399:JOW524407 JYS524399:JYS524407 KIO524399:KIO524407 KSK524399:KSK524407 LCG524399:LCG524407 LMC524399:LMC524407 LVY524399:LVY524407 MFU524399:MFU524407 MPQ524399:MPQ524407 MZM524399:MZM524407 NJI524399:NJI524407 NTE524399:NTE524407 ODA524399:ODA524407 OMW524399:OMW524407 OWS524399:OWS524407 PGO524399:PGO524407 PQK524399:PQK524407 QAG524399:QAG524407 QKC524399:QKC524407 QTY524399:QTY524407 RDU524399:RDU524407 RNQ524399:RNQ524407 RXM524399:RXM524407 SHI524399:SHI524407 SRE524399:SRE524407 TBA524399:TBA524407 TKW524399:TKW524407 TUS524399:TUS524407 UEO524399:UEO524407 UOK524399:UOK524407 UYG524399:UYG524407 VIC524399:VIC524407 VRY524399:VRY524407 WBU524399:WBU524407 WLQ524399:WLQ524407 WVM524399:WVM524407 F589935:F589943 JA589935:JA589943 SW589935:SW589943 ACS589935:ACS589943 AMO589935:AMO589943 AWK589935:AWK589943 BGG589935:BGG589943 BQC589935:BQC589943 BZY589935:BZY589943 CJU589935:CJU589943 CTQ589935:CTQ589943 DDM589935:DDM589943 DNI589935:DNI589943 DXE589935:DXE589943 EHA589935:EHA589943 EQW589935:EQW589943 FAS589935:FAS589943 FKO589935:FKO589943 FUK589935:FUK589943 GEG589935:GEG589943 GOC589935:GOC589943 GXY589935:GXY589943 HHU589935:HHU589943 HRQ589935:HRQ589943 IBM589935:IBM589943 ILI589935:ILI589943 IVE589935:IVE589943 JFA589935:JFA589943 JOW589935:JOW589943 JYS589935:JYS589943 KIO589935:KIO589943 KSK589935:KSK589943 LCG589935:LCG589943 LMC589935:LMC589943 LVY589935:LVY589943 MFU589935:MFU589943 MPQ589935:MPQ589943 MZM589935:MZM589943 NJI589935:NJI589943 NTE589935:NTE589943 ODA589935:ODA589943 OMW589935:OMW589943 OWS589935:OWS589943 PGO589935:PGO589943 PQK589935:PQK589943 QAG589935:QAG589943 QKC589935:QKC589943 QTY589935:QTY589943 RDU589935:RDU589943 RNQ589935:RNQ589943 RXM589935:RXM589943 SHI589935:SHI589943 SRE589935:SRE589943 TBA589935:TBA589943 TKW589935:TKW589943 TUS589935:TUS589943 UEO589935:UEO589943 UOK589935:UOK589943 UYG589935:UYG589943 VIC589935:VIC589943 VRY589935:VRY589943 WBU589935:WBU589943 WLQ589935:WLQ589943 WVM589935:WVM589943 F655471:F655479 JA655471:JA655479 SW655471:SW655479 ACS655471:ACS655479 AMO655471:AMO655479 AWK655471:AWK655479 BGG655471:BGG655479 BQC655471:BQC655479 BZY655471:BZY655479 CJU655471:CJU655479 CTQ655471:CTQ655479 DDM655471:DDM655479 DNI655471:DNI655479 DXE655471:DXE655479 EHA655471:EHA655479 EQW655471:EQW655479 FAS655471:FAS655479 FKO655471:FKO655479 FUK655471:FUK655479 GEG655471:GEG655479 GOC655471:GOC655479 GXY655471:GXY655479 HHU655471:HHU655479 HRQ655471:HRQ655479 IBM655471:IBM655479 ILI655471:ILI655479 IVE655471:IVE655479 JFA655471:JFA655479 JOW655471:JOW655479 JYS655471:JYS655479 KIO655471:KIO655479 KSK655471:KSK655479 LCG655471:LCG655479 LMC655471:LMC655479 LVY655471:LVY655479 MFU655471:MFU655479 MPQ655471:MPQ655479 MZM655471:MZM655479 NJI655471:NJI655479 NTE655471:NTE655479 ODA655471:ODA655479 OMW655471:OMW655479 OWS655471:OWS655479 PGO655471:PGO655479 PQK655471:PQK655479 QAG655471:QAG655479 QKC655471:QKC655479 QTY655471:QTY655479 RDU655471:RDU655479 RNQ655471:RNQ655479 RXM655471:RXM655479 SHI655471:SHI655479 SRE655471:SRE655479 TBA655471:TBA655479 TKW655471:TKW655479 TUS655471:TUS655479 UEO655471:UEO655479 UOK655471:UOK655479 UYG655471:UYG655479 VIC655471:VIC655479 VRY655471:VRY655479 WBU655471:WBU655479 WLQ655471:WLQ655479 WVM655471:WVM655479 F721007:F721015 JA721007:JA721015 SW721007:SW721015 ACS721007:ACS721015 AMO721007:AMO721015 AWK721007:AWK721015 BGG721007:BGG721015 BQC721007:BQC721015 BZY721007:BZY721015 CJU721007:CJU721015 CTQ721007:CTQ721015 DDM721007:DDM721015 DNI721007:DNI721015 DXE721007:DXE721015 EHA721007:EHA721015 EQW721007:EQW721015 FAS721007:FAS721015 FKO721007:FKO721015 FUK721007:FUK721015 GEG721007:GEG721015 GOC721007:GOC721015 GXY721007:GXY721015 HHU721007:HHU721015 HRQ721007:HRQ721015 IBM721007:IBM721015 ILI721007:ILI721015 IVE721007:IVE721015 JFA721007:JFA721015 JOW721007:JOW721015 JYS721007:JYS721015 KIO721007:KIO721015 KSK721007:KSK721015 LCG721007:LCG721015 LMC721007:LMC721015 LVY721007:LVY721015 MFU721007:MFU721015 MPQ721007:MPQ721015 MZM721007:MZM721015 NJI721007:NJI721015 NTE721007:NTE721015 ODA721007:ODA721015 OMW721007:OMW721015 OWS721007:OWS721015 PGO721007:PGO721015 PQK721007:PQK721015 QAG721007:QAG721015 QKC721007:QKC721015 QTY721007:QTY721015 RDU721007:RDU721015 RNQ721007:RNQ721015 RXM721007:RXM721015 SHI721007:SHI721015 SRE721007:SRE721015 TBA721007:TBA721015 TKW721007:TKW721015 TUS721007:TUS721015 UEO721007:UEO721015 UOK721007:UOK721015 UYG721007:UYG721015 VIC721007:VIC721015 VRY721007:VRY721015 WBU721007:WBU721015 WLQ721007:WLQ721015 WVM721007:WVM721015 F786543:F786551 JA786543:JA786551 SW786543:SW786551 ACS786543:ACS786551 AMO786543:AMO786551 AWK786543:AWK786551 BGG786543:BGG786551 BQC786543:BQC786551 BZY786543:BZY786551 CJU786543:CJU786551 CTQ786543:CTQ786551 DDM786543:DDM786551 DNI786543:DNI786551 DXE786543:DXE786551 EHA786543:EHA786551 EQW786543:EQW786551 FAS786543:FAS786551 FKO786543:FKO786551 FUK786543:FUK786551 GEG786543:GEG786551 GOC786543:GOC786551 GXY786543:GXY786551 HHU786543:HHU786551 HRQ786543:HRQ786551 IBM786543:IBM786551 ILI786543:ILI786551 IVE786543:IVE786551 JFA786543:JFA786551 JOW786543:JOW786551 JYS786543:JYS786551 KIO786543:KIO786551 KSK786543:KSK786551 LCG786543:LCG786551 LMC786543:LMC786551 LVY786543:LVY786551 MFU786543:MFU786551 MPQ786543:MPQ786551 MZM786543:MZM786551 NJI786543:NJI786551 NTE786543:NTE786551 ODA786543:ODA786551 OMW786543:OMW786551 OWS786543:OWS786551 PGO786543:PGO786551 PQK786543:PQK786551 QAG786543:QAG786551 QKC786543:QKC786551 QTY786543:QTY786551 RDU786543:RDU786551 RNQ786543:RNQ786551 RXM786543:RXM786551 SHI786543:SHI786551 SRE786543:SRE786551 TBA786543:TBA786551 TKW786543:TKW786551 TUS786543:TUS786551 UEO786543:UEO786551 UOK786543:UOK786551 UYG786543:UYG786551 VIC786543:VIC786551 VRY786543:VRY786551 WBU786543:WBU786551 WLQ786543:WLQ786551 WVM786543:WVM786551 F852079:F852087 JA852079:JA852087 SW852079:SW852087 ACS852079:ACS852087 AMO852079:AMO852087 AWK852079:AWK852087 BGG852079:BGG852087 BQC852079:BQC852087 BZY852079:BZY852087 CJU852079:CJU852087 CTQ852079:CTQ852087 DDM852079:DDM852087 DNI852079:DNI852087 DXE852079:DXE852087 EHA852079:EHA852087 EQW852079:EQW852087 FAS852079:FAS852087 FKO852079:FKO852087 FUK852079:FUK852087 GEG852079:GEG852087 GOC852079:GOC852087 GXY852079:GXY852087 HHU852079:HHU852087 HRQ852079:HRQ852087 IBM852079:IBM852087 ILI852079:ILI852087 IVE852079:IVE852087 JFA852079:JFA852087 JOW852079:JOW852087 JYS852079:JYS852087 KIO852079:KIO852087 KSK852079:KSK852087 LCG852079:LCG852087 LMC852079:LMC852087 LVY852079:LVY852087 MFU852079:MFU852087 MPQ852079:MPQ852087 MZM852079:MZM852087 NJI852079:NJI852087 NTE852079:NTE852087 ODA852079:ODA852087 OMW852079:OMW852087 OWS852079:OWS852087 PGO852079:PGO852087 PQK852079:PQK852087 QAG852079:QAG852087 QKC852079:QKC852087 QTY852079:QTY852087 RDU852079:RDU852087 RNQ852079:RNQ852087 RXM852079:RXM852087 SHI852079:SHI852087 SRE852079:SRE852087 TBA852079:TBA852087 TKW852079:TKW852087 TUS852079:TUS852087 UEO852079:UEO852087 UOK852079:UOK852087 UYG852079:UYG852087 VIC852079:VIC852087 VRY852079:VRY852087 WBU852079:WBU852087 WLQ852079:WLQ852087 WVM852079:WVM852087 F917615:F917623 JA917615:JA917623 SW917615:SW917623 ACS917615:ACS917623 AMO917615:AMO917623 AWK917615:AWK917623 BGG917615:BGG917623 BQC917615:BQC917623 BZY917615:BZY917623 CJU917615:CJU917623 CTQ917615:CTQ917623 DDM917615:DDM917623 DNI917615:DNI917623 DXE917615:DXE917623 EHA917615:EHA917623 EQW917615:EQW917623 FAS917615:FAS917623 FKO917615:FKO917623 FUK917615:FUK917623 GEG917615:GEG917623 GOC917615:GOC917623 GXY917615:GXY917623 HHU917615:HHU917623 HRQ917615:HRQ917623 IBM917615:IBM917623 ILI917615:ILI917623 IVE917615:IVE917623 JFA917615:JFA917623 JOW917615:JOW917623 JYS917615:JYS917623 KIO917615:KIO917623 KSK917615:KSK917623 LCG917615:LCG917623 LMC917615:LMC917623 LVY917615:LVY917623 MFU917615:MFU917623 MPQ917615:MPQ917623 MZM917615:MZM917623 NJI917615:NJI917623 NTE917615:NTE917623 ODA917615:ODA917623 OMW917615:OMW917623 OWS917615:OWS917623 PGO917615:PGO917623 PQK917615:PQK917623 QAG917615:QAG917623 QKC917615:QKC917623 QTY917615:QTY917623 RDU917615:RDU917623 RNQ917615:RNQ917623 RXM917615:RXM917623 SHI917615:SHI917623 SRE917615:SRE917623 TBA917615:TBA917623 TKW917615:TKW917623 TUS917615:TUS917623 UEO917615:UEO917623 UOK917615:UOK917623 UYG917615:UYG917623 VIC917615:VIC917623 VRY917615:VRY917623 WBU917615:WBU917623 WLQ917615:WLQ917623 WVM917615:WVM917623 F983151:F983159 JA983151:JA983159 SW983151:SW983159 ACS983151:ACS983159 AMO983151:AMO983159 AWK983151:AWK983159 BGG983151:BGG983159 BQC983151:BQC983159 BZY983151:BZY983159 CJU983151:CJU983159 CTQ983151:CTQ983159 DDM983151:DDM983159 DNI983151:DNI983159 DXE983151:DXE983159 EHA983151:EHA983159 EQW983151:EQW983159 FAS983151:FAS983159 FKO983151:FKO983159 FUK983151:FUK983159 GEG983151:GEG983159 GOC983151:GOC983159 GXY983151:GXY983159 HHU983151:HHU983159 HRQ983151:HRQ983159 IBM983151:IBM983159 ILI983151:ILI983159 IVE983151:IVE983159 JFA983151:JFA983159 JOW983151:JOW983159 JYS983151:JYS983159 KIO983151:KIO983159 KSK983151:KSK983159 LCG983151:LCG983159 LMC983151:LMC983159 LVY983151:LVY983159 MFU983151:MFU983159 MPQ983151:MPQ983159 MZM983151:MZM983159 NJI983151:NJI983159 NTE983151:NTE983159 ODA983151:ODA983159 OMW983151:OMW983159 OWS983151:OWS983159 PGO983151:PGO983159 PQK983151:PQK983159 QAG983151:QAG983159 QKC983151:QKC983159 QTY983151:QTY983159 RDU983151:RDU983159 RNQ983151:RNQ983159 RXM983151:RXM983159 SHI983151:SHI983159 SRE983151:SRE983159 TBA983151:TBA983159 TKW983151:TKW983159 TUS983151:TUS983159 UEO983151:UEO983159 UOK983151:UOK983159 UYG983151:UYG983159 VIC983151:VIC983159 VRY983151:VRY983159 WBU983151:WBU983159 WLQ983151:WLQ983159 WVM983151:WVM983159 C7:C10 IW7:IW10 SS7:SS10 ACO7:ACO10 AMK7:AMK10 AWG7:AWG10 BGC7:BGC10 BPY7:BPY10 BZU7:BZU10 CJQ7:CJQ10 CTM7:CTM10 DDI7:DDI10 DNE7:DNE10 DXA7:DXA10 EGW7:EGW10 EQS7:EQS10 FAO7:FAO10 FKK7:FKK10 FUG7:FUG10 GEC7:GEC10 GNY7:GNY10 GXU7:GXU10 HHQ7:HHQ10 HRM7:HRM10 IBI7:IBI10 ILE7:ILE10 IVA7:IVA10 JEW7:JEW10 JOS7:JOS10 JYO7:JYO10 KIK7:KIK10 KSG7:KSG10 LCC7:LCC10 LLY7:LLY10 LVU7:LVU10 MFQ7:MFQ10 MPM7:MPM10 MZI7:MZI10 NJE7:NJE10 NTA7:NTA10 OCW7:OCW10 OMS7:OMS10 OWO7:OWO10 PGK7:PGK10 PQG7:PQG10 QAC7:QAC10 QJY7:QJY10 QTU7:QTU10 RDQ7:RDQ10 RNM7:RNM10 RXI7:RXI10 SHE7:SHE10 SRA7:SRA10 TAW7:TAW10 TKS7:TKS10 TUO7:TUO10 UEK7:UEK10 UOG7:UOG10 UYC7:UYC10 VHY7:VHY10 VRU7:VRU10 WBQ7:WBQ10 WLM7:WLM10 WVI7:WVI10 C65543:C65546 IW65543:IW65546 SS65543:SS65546 ACO65543:ACO65546 AMK65543:AMK65546 AWG65543:AWG65546 BGC65543:BGC65546 BPY65543:BPY65546 BZU65543:BZU65546 CJQ65543:CJQ65546 CTM65543:CTM65546 DDI65543:DDI65546 DNE65543:DNE65546 DXA65543:DXA65546 EGW65543:EGW65546 EQS65543:EQS65546 FAO65543:FAO65546 FKK65543:FKK65546 FUG65543:FUG65546 GEC65543:GEC65546 GNY65543:GNY65546 GXU65543:GXU65546 HHQ65543:HHQ65546 HRM65543:HRM65546 IBI65543:IBI65546 ILE65543:ILE65546 IVA65543:IVA65546 JEW65543:JEW65546 JOS65543:JOS65546 JYO65543:JYO65546 KIK65543:KIK65546 KSG65543:KSG65546 LCC65543:LCC65546 LLY65543:LLY65546 LVU65543:LVU65546 MFQ65543:MFQ65546 MPM65543:MPM65546 MZI65543:MZI65546 NJE65543:NJE65546 NTA65543:NTA65546 OCW65543:OCW65546 OMS65543:OMS65546 OWO65543:OWO65546 PGK65543:PGK65546 PQG65543:PQG65546 QAC65543:QAC65546 QJY65543:QJY65546 QTU65543:QTU65546 RDQ65543:RDQ65546 RNM65543:RNM65546 RXI65543:RXI65546 SHE65543:SHE65546 SRA65543:SRA65546 TAW65543:TAW65546 TKS65543:TKS65546 TUO65543:TUO65546 UEK65543:UEK65546 UOG65543:UOG65546 UYC65543:UYC65546 VHY65543:VHY65546 VRU65543:VRU65546 WBQ65543:WBQ65546 WLM65543:WLM65546 WVI65543:WVI65546 C131079:C131082 IW131079:IW131082 SS131079:SS131082 ACO131079:ACO131082 AMK131079:AMK131082 AWG131079:AWG131082 BGC131079:BGC131082 BPY131079:BPY131082 BZU131079:BZU131082 CJQ131079:CJQ131082 CTM131079:CTM131082 DDI131079:DDI131082 DNE131079:DNE131082 DXA131079:DXA131082 EGW131079:EGW131082 EQS131079:EQS131082 FAO131079:FAO131082 FKK131079:FKK131082 FUG131079:FUG131082 GEC131079:GEC131082 GNY131079:GNY131082 GXU131079:GXU131082 HHQ131079:HHQ131082 HRM131079:HRM131082 IBI131079:IBI131082 ILE131079:ILE131082 IVA131079:IVA131082 JEW131079:JEW131082 JOS131079:JOS131082 JYO131079:JYO131082 KIK131079:KIK131082 KSG131079:KSG131082 LCC131079:LCC131082 LLY131079:LLY131082 LVU131079:LVU131082 MFQ131079:MFQ131082 MPM131079:MPM131082 MZI131079:MZI131082 NJE131079:NJE131082 NTA131079:NTA131082 OCW131079:OCW131082 OMS131079:OMS131082 OWO131079:OWO131082 PGK131079:PGK131082 PQG131079:PQG131082 QAC131079:QAC131082 QJY131079:QJY131082 QTU131079:QTU131082 RDQ131079:RDQ131082 RNM131079:RNM131082 RXI131079:RXI131082 SHE131079:SHE131082 SRA131079:SRA131082 TAW131079:TAW131082 TKS131079:TKS131082 TUO131079:TUO131082 UEK131079:UEK131082 UOG131079:UOG131082 UYC131079:UYC131082 VHY131079:VHY131082 VRU131079:VRU131082 WBQ131079:WBQ131082 WLM131079:WLM131082 WVI131079:WVI131082 C196615:C196618 IW196615:IW196618 SS196615:SS196618 ACO196615:ACO196618 AMK196615:AMK196618 AWG196615:AWG196618 BGC196615:BGC196618 BPY196615:BPY196618 BZU196615:BZU196618 CJQ196615:CJQ196618 CTM196615:CTM196618 DDI196615:DDI196618 DNE196615:DNE196618 DXA196615:DXA196618 EGW196615:EGW196618 EQS196615:EQS196618 FAO196615:FAO196618 FKK196615:FKK196618 FUG196615:FUG196618 GEC196615:GEC196618 GNY196615:GNY196618 GXU196615:GXU196618 HHQ196615:HHQ196618 HRM196615:HRM196618 IBI196615:IBI196618 ILE196615:ILE196618 IVA196615:IVA196618 JEW196615:JEW196618 JOS196615:JOS196618 JYO196615:JYO196618 KIK196615:KIK196618 KSG196615:KSG196618 LCC196615:LCC196618 LLY196615:LLY196618 LVU196615:LVU196618 MFQ196615:MFQ196618 MPM196615:MPM196618 MZI196615:MZI196618 NJE196615:NJE196618 NTA196615:NTA196618 OCW196615:OCW196618 OMS196615:OMS196618 OWO196615:OWO196618 PGK196615:PGK196618 PQG196615:PQG196618 QAC196615:QAC196618 QJY196615:QJY196618 QTU196615:QTU196618 RDQ196615:RDQ196618 RNM196615:RNM196618 RXI196615:RXI196618 SHE196615:SHE196618 SRA196615:SRA196618 TAW196615:TAW196618 TKS196615:TKS196618 TUO196615:TUO196618 UEK196615:UEK196618 UOG196615:UOG196618 UYC196615:UYC196618 VHY196615:VHY196618 VRU196615:VRU196618 WBQ196615:WBQ196618 WLM196615:WLM196618 WVI196615:WVI196618 C262151:C262154 IW262151:IW262154 SS262151:SS262154 ACO262151:ACO262154 AMK262151:AMK262154 AWG262151:AWG262154 BGC262151:BGC262154 BPY262151:BPY262154 BZU262151:BZU262154 CJQ262151:CJQ262154 CTM262151:CTM262154 DDI262151:DDI262154 DNE262151:DNE262154 DXA262151:DXA262154 EGW262151:EGW262154 EQS262151:EQS262154 FAO262151:FAO262154 FKK262151:FKK262154 FUG262151:FUG262154 GEC262151:GEC262154 GNY262151:GNY262154 GXU262151:GXU262154 HHQ262151:HHQ262154 HRM262151:HRM262154 IBI262151:IBI262154 ILE262151:ILE262154 IVA262151:IVA262154 JEW262151:JEW262154 JOS262151:JOS262154 JYO262151:JYO262154 KIK262151:KIK262154 KSG262151:KSG262154 LCC262151:LCC262154 LLY262151:LLY262154 LVU262151:LVU262154 MFQ262151:MFQ262154 MPM262151:MPM262154 MZI262151:MZI262154 NJE262151:NJE262154 NTA262151:NTA262154 OCW262151:OCW262154 OMS262151:OMS262154 OWO262151:OWO262154 PGK262151:PGK262154 PQG262151:PQG262154 QAC262151:QAC262154 QJY262151:QJY262154 QTU262151:QTU262154 RDQ262151:RDQ262154 RNM262151:RNM262154 RXI262151:RXI262154 SHE262151:SHE262154 SRA262151:SRA262154 TAW262151:TAW262154 TKS262151:TKS262154 TUO262151:TUO262154 UEK262151:UEK262154 UOG262151:UOG262154 UYC262151:UYC262154 VHY262151:VHY262154 VRU262151:VRU262154 WBQ262151:WBQ262154 WLM262151:WLM262154 WVI262151:WVI262154 C327687:C327690 IW327687:IW327690 SS327687:SS327690 ACO327687:ACO327690 AMK327687:AMK327690 AWG327687:AWG327690 BGC327687:BGC327690 BPY327687:BPY327690 BZU327687:BZU327690 CJQ327687:CJQ327690 CTM327687:CTM327690 DDI327687:DDI327690 DNE327687:DNE327690 DXA327687:DXA327690 EGW327687:EGW327690 EQS327687:EQS327690 FAO327687:FAO327690 FKK327687:FKK327690 FUG327687:FUG327690 GEC327687:GEC327690 GNY327687:GNY327690 GXU327687:GXU327690 HHQ327687:HHQ327690 HRM327687:HRM327690 IBI327687:IBI327690 ILE327687:ILE327690 IVA327687:IVA327690 JEW327687:JEW327690 JOS327687:JOS327690 JYO327687:JYO327690 KIK327687:KIK327690 KSG327687:KSG327690 LCC327687:LCC327690 LLY327687:LLY327690 LVU327687:LVU327690 MFQ327687:MFQ327690 MPM327687:MPM327690 MZI327687:MZI327690 NJE327687:NJE327690 NTA327687:NTA327690 OCW327687:OCW327690 OMS327687:OMS327690 OWO327687:OWO327690 PGK327687:PGK327690 PQG327687:PQG327690 QAC327687:QAC327690 QJY327687:QJY327690 QTU327687:QTU327690 RDQ327687:RDQ327690 RNM327687:RNM327690 RXI327687:RXI327690 SHE327687:SHE327690 SRA327687:SRA327690 TAW327687:TAW327690 TKS327687:TKS327690 TUO327687:TUO327690 UEK327687:UEK327690 UOG327687:UOG327690 UYC327687:UYC327690 VHY327687:VHY327690 VRU327687:VRU327690 WBQ327687:WBQ327690 WLM327687:WLM327690 WVI327687:WVI327690 C393223:C393226 IW393223:IW393226 SS393223:SS393226 ACO393223:ACO393226 AMK393223:AMK393226 AWG393223:AWG393226 BGC393223:BGC393226 BPY393223:BPY393226 BZU393223:BZU393226 CJQ393223:CJQ393226 CTM393223:CTM393226 DDI393223:DDI393226 DNE393223:DNE393226 DXA393223:DXA393226 EGW393223:EGW393226 EQS393223:EQS393226 FAO393223:FAO393226 FKK393223:FKK393226 FUG393223:FUG393226 GEC393223:GEC393226 GNY393223:GNY393226 GXU393223:GXU393226 HHQ393223:HHQ393226 HRM393223:HRM393226 IBI393223:IBI393226 ILE393223:ILE393226 IVA393223:IVA393226 JEW393223:JEW393226 JOS393223:JOS393226 JYO393223:JYO393226 KIK393223:KIK393226 KSG393223:KSG393226 LCC393223:LCC393226 LLY393223:LLY393226 LVU393223:LVU393226 MFQ393223:MFQ393226 MPM393223:MPM393226 MZI393223:MZI393226 NJE393223:NJE393226 NTA393223:NTA393226 OCW393223:OCW393226 OMS393223:OMS393226 OWO393223:OWO393226 PGK393223:PGK393226 PQG393223:PQG393226 QAC393223:QAC393226 QJY393223:QJY393226 QTU393223:QTU393226 RDQ393223:RDQ393226 RNM393223:RNM393226 RXI393223:RXI393226 SHE393223:SHE393226 SRA393223:SRA393226 TAW393223:TAW393226 TKS393223:TKS393226 TUO393223:TUO393226 UEK393223:UEK393226 UOG393223:UOG393226 UYC393223:UYC393226 VHY393223:VHY393226 VRU393223:VRU393226 WBQ393223:WBQ393226 WLM393223:WLM393226 WVI393223:WVI393226 C458759:C458762 IW458759:IW458762 SS458759:SS458762 ACO458759:ACO458762 AMK458759:AMK458762 AWG458759:AWG458762 BGC458759:BGC458762 BPY458759:BPY458762 BZU458759:BZU458762 CJQ458759:CJQ458762 CTM458759:CTM458762 DDI458759:DDI458762 DNE458759:DNE458762 DXA458759:DXA458762 EGW458759:EGW458762 EQS458759:EQS458762 FAO458759:FAO458762 FKK458759:FKK458762 FUG458759:FUG458762 GEC458759:GEC458762 GNY458759:GNY458762 GXU458759:GXU458762 HHQ458759:HHQ458762 HRM458759:HRM458762 IBI458759:IBI458762 ILE458759:ILE458762 IVA458759:IVA458762 JEW458759:JEW458762 JOS458759:JOS458762 JYO458759:JYO458762 KIK458759:KIK458762 KSG458759:KSG458762 LCC458759:LCC458762 LLY458759:LLY458762 LVU458759:LVU458762 MFQ458759:MFQ458762 MPM458759:MPM458762 MZI458759:MZI458762 NJE458759:NJE458762 NTA458759:NTA458762 OCW458759:OCW458762 OMS458759:OMS458762 OWO458759:OWO458762 PGK458759:PGK458762 PQG458759:PQG458762 QAC458759:QAC458762 QJY458759:QJY458762 QTU458759:QTU458762 RDQ458759:RDQ458762 RNM458759:RNM458762 RXI458759:RXI458762 SHE458759:SHE458762 SRA458759:SRA458762 TAW458759:TAW458762 TKS458759:TKS458762 TUO458759:TUO458762 UEK458759:UEK458762 UOG458759:UOG458762 UYC458759:UYC458762 VHY458759:VHY458762 VRU458759:VRU458762 WBQ458759:WBQ458762 WLM458759:WLM458762 WVI458759:WVI458762 C524295:C524298 IW524295:IW524298 SS524295:SS524298 ACO524295:ACO524298 AMK524295:AMK524298 AWG524295:AWG524298 BGC524295:BGC524298 BPY524295:BPY524298 BZU524295:BZU524298 CJQ524295:CJQ524298 CTM524295:CTM524298 DDI524295:DDI524298 DNE524295:DNE524298 DXA524295:DXA524298 EGW524295:EGW524298 EQS524295:EQS524298 FAO524295:FAO524298 FKK524295:FKK524298 FUG524295:FUG524298 GEC524295:GEC524298 GNY524295:GNY524298 GXU524295:GXU524298 HHQ524295:HHQ524298 HRM524295:HRM524298 IBI524295:IBI524298 ILE524295:ILE524298 IVA524295:IVA524298 JEW524295:JEW524298 JOS524295:JOS524298 JYO524295:JYO524298 KIK524295:KIK524298 KSG524295:KSG524298 LCC524295:LCC524298 LLY524295:LLY524298 LVU524295:LVU524298 MFQ524295:MFQ524298 MPM524295:MPM524298 MZI524295:MZI524298 NJE524295:NJE524298 NTA524295:NTA524298 OCW524295:OCW524298 OMS524295:OMS524298 OWO524295:OWO524298 PGK524295:PGK524298 PQG524295:PQG524298 QAC524295:QAC524298 QJY524295:QJY524298 QTU524295:QTU524298 RDQ524295:RDQ524298 RNM524295:RNM524298 RXI524295:RXI524298 SHE524295:SHE524298 SRA524295:SRA524298 TAW524295:TAW524298 TKS524295:TKS524298 TUO524295:TUO524298 UEK524295:UEK524298 UOG524295:UOG524298 UYC524295:UYC524298 VHY524295:VHY524298 VRU524295:VRU524298 WBQ524295:WBQ524298 WLM524295:WLM524298 WVI524295:WVI524298 C589831:C589834 IW589831:IW589834 SS589831:SS589834 ACO589831:ACO589834 AMK589831:AMK589834 AWG589831:AWG589834 BGC589831:BGC589834 BPY589831:BPY589834 BZU589831:BZU589834 CJQ589831:CJQ589834 CTM589831:CTM589834 DDI589831:DDI589834 DNE589831:DNE589834 DXA589831:DXA589834 EGW589831:EGW589834 EQS589831:EQS589834 FAO589831:FAO589834 FKK589831:FKK589834 FUG589831:FUG589834 GEC589831:GEC589834 GNY589831:GNY589834 GXU589831:GXU589834 HHQ589831:HHQ589834 HRM589831:HRM589834 IBI589831:IBI589834 ILE589831:ILE589834 IVA589831:IVA589834 JEW589831:JEW589834 JOS589831:JOS589834 JYO589831:JYO589834 KIK589831:KIK589834 KSG589831:KSG589834 LCC589831:LCC589834 LLY589831:LLY589834 LVU589831:LVU589834 MFQ589831:MFQ589834 MPM589831:MPM589834 MZI589831:MZI589834 NJE589831:NJE589834 NTA589831:NTA589834 OCW589831:OCW589834 OMS589831:OMS589834 OWO589831:OWO589834 PGK589831:PGK589834 PQG589831:PQG589834 QAC589831:QAC589834 QJY589831:QJY589834 QTU589831:QTU589834 RDQ589831:RDQ589834 RNM589831:RNM589834 RXI589831:RXI589834 SHE589831:SHE589834 SRA589831:SRA589834 TAW589831:TAW589834 TKS589831:TKS589834 TUO589831:TUO589834 UEK589831:UEK589834 UOG589831:UOG589834 UYC589831:UYC589834 VHY589831:VHY589834 VRU589831:VRU589834 WBQ589831:WBQ589834 WLM589831:WLM589834 WVI589831:WVI589834 C655367:C655370 IW655367:IW655370 SS655367:SS655370 ACO655367:ACO655370 AMK655367:AMK655370 AWG655367:AWG655370 BGC655367:BGC655370 BPY655367:BPY655370 BZU655367:BZU655370 CJQ655367:CJQ655370 CTM655367:CTM655370 DDI655367:DDI655370 DNE655367:DNE655370 DXA655367:DXA655370 EGW655367:EGW655370 EQS655367:EQS655370 FAO655367:FAO655370 FKK655367:FKK655370 FUG655367:FUG655370 GEC655367:GEC655370 GNY655367:GNY655370 GXU655367:GXU655370 HHQ655367:HHQ655370 HRM655367:HRM655370 IBI655367:IBI655370 ILE655367:ILE655370 IVA655367:IVA655370 JEW655367:JEW655370 JOS655367:JOS655370 JYO655367:JYO655370 KIK655367:KIK655370 KSG655367:KSG655370 LCC655367:LCC655370 LLY655367:LLY655370 LVU655367:LVU655370 MFQ655367:MFQ655370 MPM655367:MPM655370 MZI655367:MZI655370 NJE655367:NJE655370 NTA655367:NTA655370 OCW655367:OCW655370 OMS655367:OMS655370 OWO655367:OWO655370 PGK655367:PGK655370 PQG655367:PQG655370 QAC655367:QAC655370 QJY655367:QJY655370 QTU655367:QTU655370 RDQ655367:RDQ655370 RNM655367:RNM655370 RXI655367:RXI655370 SHE655367:SHE655370 SRA655367:SRA655370 TAW655367:TAW655370 TKS655367:TKS655370 TUO655367:TUO655370 UEK655367:UEK655370 UOG655367:UOG655370 UYC655367:UYC655370 VHY655367:VHY655370 VRU655367:VRU655370 WBQ655367:WBQ655370 WLM655367:WLM655370 WVI655367:WVI655370 C720903:C720906 IW720903:IW720906 SS720903:SS720906 ACO720903:ACO720906 AMK720903:AMK720906 AWG720903:AWG720906 BGC720903:BGC720906 BPY720903:BPY720906 BZU720903:BZU720906 CJQ720903:CJQ720906 CTM720903:CTM720906 DDI720903:DDI720906 DNE720903:DNE720906 DXA720903:DXA720906 EGW720903:EGW720906 EQS720903:EQS720906 FAO720903:FAO720906 FKK720903:FKK720906 FUG720903:FUG720906 GEC720903:GEC720906 GNY720903:GNY720906 GXU720903:GXU720906 HHQ720903:HHQ720906 HRM720903:HRM720906 IBI720903:IBI720906 ILE720903:ILE720906 IVA720903:IVA720906 JEW720903:JEW720906 JOS720903:JOS720906 JYO720903:JYO720906 KIK720903:KIK720906 KSG720903:KSG720906 LCC720903:LCC720906 LLY720903:LLY720906 LVU720903:LVU720906 MFQ720903:MFQ720906 MPM720903:MPM720906 MZI720903:MZI720906 NJE720903:NJE720906 NTA720903:NTA720906 OCW720903:OCW720906 OMS720903:OMS720906 OWO720903:OWO720906 PGK720903:PGK720906 PQG720903:PQG720906 QAC720903:QAC720906 QJY720903:QJY720906 QTU720903:QTU720906 RDQ720903:RDQ720906 RNM720903:RNM720906 RXI720903:RXI720906 SHE720903:SHE720906 SRA720903:SRA720906 TAW720903:TAW720906 TKS720903:TKS720906 TUO720903:TUO720906 UEK720903:UEK720906 UOG720903:UOG720906 UYC720903:UYC720906 VHY720903:VHY720906 VRU720903:VRU720906 WBQ720903:WBQ720906 WLM720903:WLM720906 WVI720903:WVI720906 C786439:C786442 IW786439:IW786442 SS786439:SS786442 ACO786439:ACO786442 AMK786439:AMK786442 AWG786439:AWG786442 BGC786439:BGC786442 BPY786439:BPY786442 BZU786439:BZU786442 CJQ786439:CJQ786442 CTM786439:CTM786442 DDI786439:DDI786442 DNE786439:DNE786442 DXA786439:DXA786442 EGW786439:EGW786442 EQS786439:EQS786442 FAO786439:FAO786442 FKK786439:FKK786442 FUG786439:FUG786442 GEC786439:GEC786442 GNY786439:GNY786442 GXU786439:GXU786442 HHQ786439:HHQ786442 HRM786439:HRM786442 IBI786439:IBI786442 ILE786439:ILE786442 IVA786439:IVA786442 JEW786439:JEW786442 JOS786439:JOS786442 JYO786439:JYO786442 KIK786439:KIK786442 KSG786439:KSG786442 LCC786439:LCC786442 LLY786439:LLY786442 LVU786439:LVU786442 MFQ786439:MFQ786442 MPM786439:MPM786442 MZI786439:MZI786442 NJE786439:NJE786442 NTA786439:NTA786442 OCW786439:OCW786442 OMS786439:OMS786442 OWO786439:OWO786442 PGK786439:PGK786442 PQG786439:PQG786442 QAC786439:QAC786442 QJY786439:QJY786442 QTU786439:QTU786442 RDQ786439:RDQ786442 RNM786439:RNM786442 RXI786439:RXI786442 SHE786439:SHE786442 SRA786439:SRA786442 TAW786439:TAW786442 TKS786439:TKS786442 TUO786439:TUO786442 UEK786439:UEK786442 UOG786439:UOG786442 UYC786439:UYC786442 VHY786439:VHY786442 VRU786439:VRU786442 WBQ786439:WBQ786442 WLM786439:WLM786442 WVI786439:WVI786442 C851975:C851978 IW851975:IW851978 SS851975:SS851978 ACO851975:ACO851978 AMK851975:AMK851978 AWG851975:AWG851978 BGC851975:BGC851978 BPY851975:BPY851978 BZU851975:BZU851978 CJQ851975:CJQ851978 CTM851975:CTM851978 DDI851975:DDI851978 DNE851975:DNE851978 DXA851975:DXA851978 EGW851975:EGW851978 EQS851975:EQS851978 FAO851975:FAO851978 FKK851975:FKK851978 FUG851975:FUG851978 GEC851975:GEC851978 GNY851975:GNY851978 GXU851975:GXU851978 HHQ851975:HHQ851978 HRM851975:HRM851978 IBI851975:IBI851978 ILE851975:ILE851978 IVA851975:IVA851978 JEW851975:JEW851978 JOS851975:JOS851978 JYO851975:JYO851978 KIK851975:KIK851978 KSG851975:KSG851978 LCC851975:LCC851978 LLY851975:LLY851978 LVU851975:LVU851978 MFQ851975:MFQ851978 MPM851975:MPM851978 MZI851975:MZI851978 NJE851975:NJE851978 NTA851975:NTA851978 OCW851975:OCW851978 OMS851975:OMS851978 OWO851975:OWO851978 PGK851975:PGK851978 PQG851975:PQG851978 QAC851975:QAC851978 QJY851975:QJY851978 QTU851975:QTU851978 RDQ851975:RDQ851978 RNM851975:RNM851978 RXI851975:RXI851978 SHE851975:SHE851978 SRA851975:SRA851978 TAW851975:TAW851978 TKS851975:TKS851978 TUO851975:TUO851978 UEK851975:UEK851978 UOG851975:UOG851978 UYC851975:UYC851978 VHY851975:VHY851978 VRU851975:VRU851978 WBQ851975:WBQ851978 WLM851975:WLM851978 WVI851975:WVI851978 C917511:C917514 IW917511:IW917514 SS917511:SS917514 ACO917511:ACO917514 AMK917511:AMK917514 AWG917511:AWG917514 BGC917511:BGC917514 BPY917511:BPY917514 BZU917511:BZU917514 CJQ917511:CJQ917514 CTM917511:CTM917514 DDI917511:DDI917514 DNE917511:DNE917514 DXA917511:DXA917514 EGW917511:EGW917514 EQS917511:EQS917514 FAO917511:FAO917514 FKK917511:FKK917514 FUG917511:FUG917514 GEC917511:GEC917514 GNY917511:GNY917514 GXU917511:GXU917514 HHQ917511:HHQ917514 HRM917511:HRM917514 IBI917511:IBI917514 ILE917511:ILE917514 IVA917511:IVA917514 JEW917511:JEW917514 JOS917511:JOS917514 JYO917511:JYO917514 KIK917511:KIK917514 KSG917511:KSG917514 LCC917511:LCC917514 LLY917511:LLY917514 LVU917511:LVU917514 MFQ917511:MFQ917514 MPM917511:MPM917514 MZI917511:MZI917514 NJE917511:NJE917514 NTA917511:NTA917514 OCW917511:OCW917514 OMS917511:OMS917514 OWO917511:OWO917514 PGK917511:PGK917514 PQG917511:PQG917514 QAC917511:QAC917514 QJY917511:QJY917514 QTU917511:QTU917514 RDQ917511:RDQ917514 RNM917511:RNM917514 RXI917511:RXI917514 SHE917511:SHE917514 SRA917511:SRA917514 TAW917511:TAW917514 TKS917511:TKS917514 TUO917511:TUO917514 UEK917511:UEK917514 UOG917511:UOG917514 UYC917511:UYC917514 VHY917511:VHY917514 VRU917511:VRU917514 WBQ917511:WBQ917514 WLM917511:WLM917514 WVI917511:WVI917514 C983047:C983050 IW983047:IW983050 SS983047:SS983050 ACO983047:ACO983050 AMK983047:AMK983050 AWG983047:AWG983050 BGC983047:BGC983050 BPY983047:BPY983050 BZU983047:BZU983050 CJQ983047:CJQ983050 CTM983047:CTM983050 DDI983047:DDI983050 DNE983047:DNE983050 DXA983047:DXA983050 EGW983047:EGW983050 EQS983047:EQS983050 FAO983047:FAO983050 FKK983047:FKK983050 FUG983047:FUG983050 GEC983047:GEC983050 GNY983047:GNY983050 GXU983047:GXU983050 HHQ983047:HHQ983050 HRM983047:HRM983050 IBI983047:IBI983050 ILE983047:ILE983050 IVA983047:IVA983050 JEW983047:JEW983050 JOS983047:JOS983050 JYO983047:JYO983050 KIK983047:KIK983050 KSG983047:KSG983050 LCC983047:LCC983050 LLY983047:LLY983050 LVU983047:LVU983050 MFQ983047:MFQ983050 MPM983047:MPM983050 MZI983047:MZI983050 NJE983047:NJE983050 NTA983047:NTA983050 OCW983047:OCW983050 OMS983047:OMS983050 OWO983047:OWO983050 PGK983047:PGK983050 PQG983047:PQG983050 QAC983047:QAC983050 QJY983047:QJY983050 QTU983047:QTU983050 RDQ983047:RDQ983050 RNM983047:RNM983050 RXI983047:RXI983050 SHE983047:SHE983050 SRA983047:SRA983050 TAW983047:TAW983050 TKS983047:TKS983050 TUO983047:TUO983050 UEK983047:UEK983050 UOG983047:UOG983050 UYC983047:UYC983050 VHY983047:VHY983050 VRU983047:VRU983050 WBQ983047:WBQ983050 WLM983047:WLM983050 WVI983047:WVI983050 F121:F140 JA121:JA140 SW121:SW140 ACS121:ACS140 AMO121:AMO140 AWK121:AWK140 BGG121:BGG140 BQC121:BQC140 BZY121:BZY140 CJU121:CJU140 CTQ121:CTQ140 DDM121:DDM140 DNI121:DNI140 DXE121:DXE140 EHA121:EHA140 EQW121:EQW140 FAS121:FAS140 FKO121:FKO140 FUK121:FUK140 GEG121:GEG140 GOC121:GOC140 GXY121:GXY140 HHU121:HHU140 HRQ121:HRQ140 IBM121:IBM140 ILI121:ILI140 IVE121:IVE140 JFA121:JFA140 JOW121:JOW140 JYS121:JYS140 KIO121:KIO140 KSK121:KSK140 LCG121:LCG140 LMC121:LMC140 LVY121:LVY140 MFU121:MFU140 MPQ121:MPQ140 MZM121:MZM140 NJI121:NJI140 NTE121:NTE140 ODA121:ODA140 OMW121:OMW140 OWS121:OWS140 PGO121:PGO140 PQK121:PQK140 QAG121:QAG140 QKC121:QKC140 QTY121:QTY140 RDU121:RDU140 RNQ121:RNQ140 RXM121:RXM140 SHI121:SHI140 SRE121:SRE140 TBA121:TBA140 TKW121:TKW140 TUS121:TUS140 UEO121:UEO140 UOK121:UOK140 UYG121:UYG140 VIC121:VIC140 VRY121:VRY140 WBU121:WBU140 WLQ121:WLQ140 WVM121:WVM140 F65657:F65676 JA65657:JA65676 SW65657:SW65676 ACS65657:ACS65676 AMO65657:AMO65676 AWK65657:AWK65676 BGG65657:BGG65676 BQC65657:BQC65676 BZY65657:BZY65676 CJU65657:CJU65676 CTQ65657:CTQ65676 DDM65657:DDM65676 DNI65657:DNI65676 DXE65657:DXE65676 EHA65657:EHA65676 EQW65657:EQW65676 FAS65657:FAS65676 FKO65657:FKO65676 FUK65657:FUK65676 GEG65657:GEG65676 GOC65657:GOC65676 GXY65657:GXY65676 HHU65657:HHU65676 HRQ65657:HRQ65676 IBM65657:IBM65676 ILI65657:ILI65676 IVE65657:IVE65676 JFA65657:JFA65676 JOW65657:JOW65676 JYS65657:JYS65676 KIO65657:KIO65676 KSK65657:KSK65676 LCG65657:LCG65676 LMC65657:LMC65676 LVY65657:LVY65676 MFU65657:MFU65676 MPQ65657:MPQ65676 MZM65657:MZM65676 NJI65657:NJI65676 NTE65657:NTE65676 ODA65657:ODA65676 OMW65657:OMW65676 OWS65657:OWS65676 PGO65657:PGO65676 PQK65657:PQK65676 QAG65657:QAG65676 QKC65657:QKC65676 QTY65657:QTY65676 RDU65657:RDU65676 RNQ65657:RNQ65676 RXM65657:RXM65676 SHI65657:SHI65676 SRE65657:SRE65676 TBA65657:TBA65676 TKW65657:TKW65676 TUS65657:TUS65676 UEO65657:UEO65676 UOK65657:UOK65676 UYG65657:UYG65676 VIC65657:VIC65676 VRY65657:VRY65676 WBU65657:WBU65676 WLQ65657:WLQ65676 WVM65657:WVM65676 F131193:F131212 JA131193:JA131212 SW131193:SW131212 ACS131193:ACS131212 AMO131193:AMO131212 AWK131193:AWK131212 BGG131193:BGG131212 BQC131193:BQC131212 BZY131193:BZY131212 CJU131193:CJU131212 CTQ131193:CTQ131212 DDM131193:DDM131212 DNI131193:DNI131212 DXE131193:DXE131212 EHA131193:EHA131212 EQW131193:EQW131212 FAS131193:FAS131212 FKO131193:FKO131212 FUK131193:FUK131212 GEG131193:GEG131212 GOC131193:GOC131212 GXY131193:GXY131212 HHU131193:HHU131212 HRQ131193:HRQ131212 IBM131193:IBM131212 ILI131193:ILI131212 IVE131193:IVE131212 JFA131193:JFA131212 JOW131193:JOW131212 JYS131193:JYS131212 KIO131193:KIO131212 KSK131193:KSK131212 LCG131193:LCG131212 LMC131193:LMC131212 LVY131193:LVY131212 MFU131193:MFU131212 MPQ131193:MPQ131212 MZM131193:MZM131212 NJI131193:NJI131212 NTE131193:NTE131212 ODA131193:ODA131212 OMW131193:OMW131212 OWS131193:OWS131212 PGO131193:PGO131212 PQK131193:PQK131212 QAG131193:QAG131212 QKC131193:QKC131212 QTY131193:QTY131212 RDU131193:RDU131212 RNQ131193:RNQ131212 RXM131193:RXM131212 SHI131193:SHI131212 SRE131193:SRE131212 TBA131193:TBA131212 TKW131193:TKW131212 TUS131193:TUS131212 UEO131193:UEO131212 UOK131193:UOK131212 UYG131193:UYG131212 VIC131193:VIC131212 VRY131193:VRY131212 WBU131193:WBU131212 WLQ131193:WLQ131212 WVM131193:WVM131212 F196729:F196748 JA196729:JA196748 SW196729:SW196748 ACS196729:ACS196748 AMO196729:AMO196748 AWK196729:AWK196748 BGG196729:BGG196748 BQC196729:BQC196748 BZY196729:BZY196748 CJU196729:CJU196748 CTQ196729:CTQ196748 DDM196729:DDM196748 DNI196729:DNI196748 DXE196729:DXE196748 EHA196729:EHA196748 EQW196729:EQW196748 FAS196729:FAS196748 FKO196729:FKO196748 FUK196729:FUK196748 GEG196729:GEG196748 GOC196729:GOC196748 GXY196729:GXY196748 HHU196729:HHU196748 HRQ196729:HRQ196748 IBM196729:IBM196748 ILI196729:ILI196748 IVE196729:IVE196748 JFA196729:JFA196748 JOW196729:JOW196748 JYS196729:JYS196748 KIO196729:KIO196748 KSK196729:KSK196748 LCG196729:LCG196748 LMC196729:LMC196748 LVY196729:LVY196748 MFU196729:MFU196748 MPQ196729:MPQ196748 MZM196729:MZM196748 NJI196729:NJI196748 NTE196729:NTE196748 ODA196729:ODA196748 OMW196729:OMW196748 OWS196729:OWS196748 PGO196729:PGO196748 PQK196729:PQK196748 QAG196729:QAG196748 QKC196729:QKC196748 QTY196729:QTY196748 RDU196729:RDU196748 RNQ196729:RNQ196748 RXM196729:RXM196748 SHI196729:SHI196748 SRE196729:SRE196748 TBA196729:TBA196748 TKW196729:TKW196748 TUS196729:TUS196748 UEO196729:UEO196748 UOK196729:UOK196748 UYG196729:UYG196748 VIC196729:VIC196748 VRY196729:VRY196748 WBU196729:WBU196748 WLQ196729:WLQ196748 WVM196729:WVM196748 F262265:F262284 JA262265:JA262284 SW262265:SW262284 ACS262265:ACS262284 AMO262265:AMO262284 AWK262265:AWK262284 BGG262265:BGG262284 BQC262265:BQC262284 BZY262265:BZY262284 CJU262265:CJU262284 CTQ262265:CTQ262284 DDM262265:DDM262284 DNI262265:DNI262284 DXE262265:DXE262284 EHA262265:EHA262284 EQW262265:EQW262284 FAS262265:FAS262284 FKO262265:FKO262284 FUK262265:FUK262284 GEG262265:GEG262284 GOC262265:GOC262284 GXY262265:GXY262284 HHU262265:HHU262284 HRQ262265:HRQ262284 IBM262265:IBM262284 ILI262265:ILI262284 IVE262265:IVE262284 JFA262265:JFA262284 JOW262265:JOW262284 JYS262265:JYS262284 KIO262265:KIO262284 KSK262265:KSK262284 LCG262265:LCG262284 LMC262265:LMC262284 LVY262265:LVY262284 MFU262265:MFU262284 MPQ262265:MPQ262284 MZM262265:MZM262284 NJI262265:NJI262284 NTE262265:NTE262284 ODA262265:ODA262284 OMW262265:OMW262284 OWS262265:OWS262284 PGO262265:PGO262284 PQK262265:PQK262284 QAG262265:QAG262284 QKC262265:QKC262284 QTY262265:QTY262284 RDU262265:RDU262284 RNQ262265:RNQ262284 RXM262265:RXM262284 SHI262265:SHI262284 SRE262265:SRE262284 TBA262265:TBA262284 TKW262265:TKW262284 TUS262265:TUS262284 UEO262265:UEO262284 UOK262265:UOK262284 UYG262265:UYG262284 VIC262265:VIC262284 VRY262265:VRY262284 WBU262265:WBU262284 WLQ262265:WLQ262284 WVM262265:WVM262284 F327801:F327820 JA327801:JA327820 SW327801:SW327820 ACS327801:ACS327820 AMO327801:AMO327820 AWK327801:AWK327820 BGG327801:BGG327820 BQC327801:BQC327820 BZY327801:BZY327820 CJU327801:CJU327820 CTQ327801:CTQ327820 DDM327801:DDM327820 DNI327801:DNI327820 DXE327801:DXE327820 EHA327801:EHA327820 EQW327801:EQW327820 FAS327801:FAS327820 FKO327801:FKO327820 FUK327801:FUK327820 GEG327801:GEG327820 GOC327801:GOC327820 GXY327801:GXY327820 HHU327801:HHU327820 HRQ327801:HRQ327820 IBM327801:IBM327820 ILI327801:ILI327820 IVE327801:IVE327820 JFA327801:JFA327820 JOW327801:JOW327820 JYS327801:JYS327820 KIO327801:KIO327820 KSK327801:KSK327820 LCG327801:LCG327820 LMC327801:LMC327820 LVY327801:LVY327820 MFU327801:MFU327820 MPQ327801:MPQ327820 MZM327801:MZM327820 NJI327801:NJI327820 NTE327801:NTE327820 ODA327801:ODA327820 OMW327801:OMW327820 OWS327801:OWS327820 PGO327801:PGO327820 PQK327801:PQK327820 QAG327801:QAG327820 QKC327801:QKC327820 QTY327801:QTY327820 RDU327801:RDU327820 RNQ327801:RNQ327820 RXM327801:RXM327820 SHI327801:SHI327820 SRE327801:SRE327820 TBA327801:TBA327820 TKW327801:TKW327820 TUS327801:TUS327820 UEO327801:UEO327820 UOK327801:UOK327820 UYG327801:UYG327820 VIC327801:VIC327820 VRY327801:VRY327820 WBU327801:WBU327820 WLQ327801:WLQ327820 WVM327801:WVM327820 F393337:F393356 JA393337:JA393356 SW393337:SW393356 ACS393337:ACS393356 AMO393337:AMO393356 AWK393337:AWK393356 BGG393337:BGG393356 BQC393337:BQC393356 BZY393337:BZY393356 CJU393337:CJU393356 CTQ393337:CTQ393356 DDM393337:DDM393356 DNI393337:DNI393356 DXE393337:DXE393356 EHA393337:EHA393356 EQW393337:EQW393356 FAS393337:FAS393356 FKO393337:FKO393356 FUK393337:FUK393356 GEG393337:GEG393356 GOC393337:GOC393356 GXY393337:GXY393356 HHU393337:HHU393356 HRQ393337:HRQ393356 IBM393337:IBM393356 ILI393337:ILI393356 IVE393337:IVE393356 JFA393337:JFA393356 JOW393337:JOW393356 JYS393337:JYS393356 KIO393337:KIO393356 KSK393337:KSK393356 LCG393337:LCG393356 LMC393337:LMC393356 LVY393337:LVY393356 MFU393337:MFU393356 MPQ393337:MPQ393356 MZM393337:MZM393356 NJI393337:NJI393356 NTE393337:NTE393356 ODA393337:ODA393356 OMW393337:OMW393356 OWS393337:OWS393356 PGO393337:PGO393356 PQK393337:PQK393356 QAG393337:QAG393356 QKC393337:QKC393356 QTY393337:QTY393356 RDU393337:RDU393356 RNQ393337:RNQ393356 RXM393337:RXM393356 SHI393337:SHI393356 SRE393337:SRE393356 TBA393337:TBA393356 TKW393337:TKW393356 TUS393337:TUS393356 UEO393337:UEO393356 UOK393337:UOK393356 UYG393337:UYG393356 VIC393337:VIC393356 VRY393337:VRY393356 WBU393337:WBU393356 WLQ393337:WLQ393356 WVM393337:WVM393356 F458873:F458892 JA458873:JA458892 SW458873:SW458892 ACS458873:ACS458892 AMO458873:AMO458892 AWK458873:AWK458892 BGG458873:BGG458892 BQC458873:BQC458892 BZY458873:BZY458892 CJU458873:CJU458892 CTQ458873:CTQ458892 DDM458873:DDM458892 DNI458873:DNI458892 DXE458873:DXE458892 EHA458873:EHA458892 EQW458873:EQW458892 FAS458873:FAS458892 FKO458873:FKO458892 FUK458873:FUK458892 GEG458873:GEG458892 GOC458873:GOC458892 GXY458873:GXY458892 HHU458873:HHU458892 HRQ458873:HRQ458892 IBM458873:IBM458892 ILI458873:ILI458892 IVE458873:IVE458892 JFA458873:JFA458892 JOW458873:JOW458892 JYS458873:JYS458892 KIO458873:KIO458892 KSK458873:KSK458892 LCG458873:LCG458892 LMC458873:LMC458892 LVY458873:LVY458892 MFU458873:MFU458892 MPQ458873:MPQ458892 MZM458873:MZM458892 NJI458873:NJI458892 NTE458873:NTE458892 ODA458873:ODA458892 OMW458873:OMW458892 OWS458873:OWS458892 PGO458873:PGO458892 PQK458873:PQK458892 QAG458873:QAG458892 QKC458873:QKC458892 QTY458873:QTY458892 RDU458873:RDU458892 RNQ458873:RNQ458892 RXM458873:RXM458892 SHI458873:SHI458892 SRE458873:SRE458892 TBA458873:TBA458892 TKW458873:TKW458892 TUS458873:TUS458892 UEO458873:UEO458892 UOK458873:UOK458892 UYG458873:UYG458892 VIC458873:VIC458892 VRY458873:VRY458892 WBU458873:WBU458892 WLQ458873:WLQ458892 WVM458873:WVM458892 F524409:F524428 JA524409:JA524428 SW524409:SW524428 ACS524409:ACS524428 AMO524409:AMO524428 AWK524409:AWK524428 BGG524409:BGG524428 BQC524409:BQC524428 BZY524409:BZY524428 CJU524409:CJU524428 CTQ524409:CTQ524428 DDM524409:DDM524428 DNI524409:DNI524428 DXE524409:DXE524428 EHA524409:EHA524428 EQW524409:EQW524428 FAS524409:FAS524428 FKO524409:FKO524428 FUK524409:FUK524428 GEG524409:GEG524428 GOC524409:GOC524428 GXY524409:GXY524428 HHU524409:HHU524428 HRQ524409:HRQ524428 IBM524409:IBM524428 ILI524409:ILI524428 IVE524409:IVE524428 JFA524409:JFA524428 JOW524409:JOW524428 JYS524409:JYS524428 KIO524409:KIO524428 KSK524409:KSK524428 LCG524409:LCG524428 LMC524409:LMC524428 LVY524409:LVY524428 MFU524409:MFU524428 MPQ524409:MPQ524428 MZM524409:MZM524428 NJI524409:NJI524428 NTE524409:NTE524428 ODA524409:ODA524428 OMW524409:OMW524428 OWS524409:OWS524428 PGO524409:PGO524428 PQK524409:PQK524428 QAG524409:QAG524428 QKC524409:QKC524428 QTY524409:QTY524428 RDU524409:RDU524428 RNQ524409:RNQ524428 RXM524409:RXM524428 SHI524409:SHI524428 SRE524409:SRE524428 TBA524409:TBA524428 TKW524409:TKW524428 TUS524409:TUS524428 UEO524409:UEO524428 UOK524409:UOK524428 UYG524409:UYG524428 VIC524409:VIC524428 VRY524409:VRY524428 WBU524409:WBU524428 WLQ524409:WLQ524428 WVM524409:WVM524428 F589945:F589964 JA589945:JA589964 SW589945:SW589964 ACS589945:ACS589964 AMO589945:AMO589964 AWK589945:AWK589964 BGG589945:BGG589964 BQC589945:BQC589964 BZY589945:BZY589964 CJU589945:CJU589964 CTQ589945:CTQ589964 DDM589945:DDM589964 DNI589945:DNI589964 DXE589945:DXE589964 EHA589945:EHA589964 EQW589945:EQW589964 FAS589945:FAS589964 FKO589945:FKO589964 FUK589945:FUK589964 GEG589945:GEG589964 GOC589945:GOC589964 GXY589945:GXY589964 HHU589945:HHU589964 HRQ589945:HRQ589964 IBM589945:IBM589964 ILI589945:ILI589964 IVE589945:IVE589964 JFA589945:JFA589964 JOW589945:JOW589964 JYS589945:JYS589964 KIO589945:KIO589964 KSK589945:KSK589964 LCG589945:LCG589964 LMC589945:LMC589964 LVY589945:LVY589964 MFU589945:MFU589964 MPQ589945:MPQ589964 MZM589945:MZM589964 NJI589945:NJI589964 NTE589945:NTE589964 ODA589945:ODA589964 OMW589945:OMW589964 OWS589945:OWS589964 PGO589945:PGO589964 PQK589945:PQK589964 QAG589945:QAG589964 QKC589945:QKC589964 QTY589945:QTY589964 RDU589945:RDU589964 RNQ589945:RNQ589964 RXM589945:RXM589964 SHI589945:SHI589964 SRE589945:SRE589964 TBA589945:TBA589964 TKW589945:TKW589964 TUS589945:TUS589964 UEO589945:UEO589964 UOK589945:UOK589964 UYG589945:UYG589964 VIC589945:VIC589964 VRY589945:VRY589964 WBU589945:WBU589964 WLQ589945:WLQ589964 WVM589945:WVM589964 F655481:F655500 JA655481:JA655500 SW655481:SW655500 ACS655481:ACS655500 AMO655481:AMO655500 AWK655481:AWK655500 BGG655481:BGG655500 BQC655481:BQC655500 BZY655481:BZY655500 CJU655481:CJU655500 CTQ655481:CTQ655500 DDM655481:DDM655500 DNI655481:DNI655500 DXE655481:DXE655500 EHA655481:EHA655500 EQW655481:EQW655500 FAS655481:FAS655500 FKO655481:FKO655500 FUK655481:FUK655500 GEG655481:GEG655500 GOC655481:GOC655500 GXY655481:GXY655500 HHU655481:HHU655500 HRQ655481:HRQ655500 IBM655481:IBM655500 ILI655481:ILI655500 IVE655481:IVE655500 JFA655481:JFA655500 JOW655481:JOW655500 JYS655481:JYS655500 KIO655481:KIO655500 KSK655481:KSK655500 LCG655481:LCG655500 LMC655481:LMC655500 LVY655481:LVY655500 MFU655481:MFU655500 MPQ655481:MPQ655500 MZM655481:MZM655500 NJI655481:NJI655500 NTE655481:NTE655500 ODA655481:ODA655500 OMW655481:OMW655500 OWS655481:OWS655500 PGO655481:PGO655500 PQK655481:PQK655500 QAG655481:QAG655500 QKC655481:QKC655500 QTY655481:QTY655500 RDU655481:RDU655500 RNQ655481:RNQ655500 RXM655481:RXM655500 SHI655481:SHI655500 SRE655481:SRE655500 TBA655481:TBA655500 TKW655481:TKW655500 TUS655481:TUS655500 UEO655481:UEO655500 UOK655481:UOK655500 UYG655481:UYG655500 VIC655481:VIC655500 VRY655481:VRY655500 WBU655481:WBU655500 WLQ655481:WLQ655500 WVM655481:WVM655500 F721017:F721036 JA721017:JA721036 SW721017:SW721036 ACS721017:ACS721036 AMO721017:AMO721036 AWK721017:AWK721036 BGG721017:BGG721036 BQC721017:BQC721036 BZY721017:BZY721036 CJU721017:CJU721036 CTQ721017:CTQ721036 DDM721017:DDM721036 DNI721017:DNI721036 DXE721017:DXE721036 EHA721017:EHA721036 EQW721017:EQW721036 FAS721017:FAS721036 FKO721017:FKO721036 FUK721017:FUK721036 GEG721017:GEG721036 GOC721017:GOC721036 GXY721017:GXY721036 HHU721017:HHU721036 HRQ721017:HRQ721036 IBM721017:IBM721036 ILI721017:ILI721036 IVE721017:IVE721036 JFA721017:JFA721036 JOW721017:JOW721036 JYS721017:JYS721036 KIO721017:KIO721036 KSK721017:KSK721036 LCG721017:LCG721036 LMC721017:LMC721036 LVY721017:LVY721036 MFU721017:MFU721036 MPQ721017:MPQ721036 MZM721017:MZM721036 NJI721017:NJI721036 NTE721017:NTE721036 ODA721017:ODA721036 OMW721017:OMW721036 OWS721017:OWS721036 PGO721017:PGO721036 PQK721017:PQK721036 QAG721017:QAG721036 QKC721017:QKC721036 QTY721017:QTY721036 RDU721017:RDU721036 RNQ721017:RNQ721036 RXM721017:RXM721036 SHI721017:SHI721036 SRE721017:SRE721036 TBA721017:TBA721036 TKW721017:TKW721036 TUS721017:TUS721036 UEO721017:UEO721036 UOK721017:UOK721036 UYG721017:UYG721036 VIC721017:VIC721036 VRY721017:VRY721036 WBU721017:WBU721036 WLQ721017:WLQ721036 WVM721017:WVM721036 F786553:F786572 JA786553:JA786572 SW786553:SW786572 ACS786553:ACS786572 AMO786553:AMO786572 AWK786553:AWK786572 BGG786553:BGG786572 BQC786553:BQC786572 BZY786553:BZY786572 CJU786553:CJU786572 CTQ786553:CTQ786572 DDM786553:DDM786572 DNI786553:DNI786572 DXE786553:DXE786572 EHA786553:EHA786572 EQW786553:EQW786572 FAS786553:FAS786572 FKO786553:FKO786572 FUK786553:FUK786572 GEG786553:GEG786572 GOC786553:GOC786572 GXY786553:GXY786572 HHU786553:HHU786572 HRQ786553:HRQ786572 IBM786553:IBM786572 ILI786553:ILI786572 IVE786553:IVE786572 JFA786553:JFA786572 JOW786553:JOW786572 JYS786553:JYS786572 KIO786553:KIO786572 KSK786553:KSK786572 LCG786553:LCG786572 LMC786553:LMC786572 LVY786553:LVY786572 MFU786553:MFU786572 MPQ786553:MPQ786572 MZM786553:MZM786572 NJI786553:NJI786572 NTE786553:NTE786572 ODA786553:ODA786572 OMW786553:OMW786572 OWS786553:OWS786572 PGO786553:PGO786572 PQK786553:PQK786572 QAG786553:QAG786572 QKC786553:QKC786572 QTY786553:QTY786572 RDU786553:RDU786572 RNQ786553:RNQ786572 RXM786553:RXM786572 SHI786553:SHI786572 SRE786553:SRE786572 TBA786553:TBA786572 TKW786553:TKW786572 TUS786553:TUS786572 UEO786553:UEO786572 UOK786553:UOK786572 UYG786553:UYG786572 VIC786553:VIC786572 VRY786553:VRY786572 WBU786553:WBU786572 WLQ786553:WLQ786572 WVM786553:WVM786572 F852089:F852108 JA852089:JA852108 SW852089:SW852108 ACS852089:ACS852108 AMO852089:AMO852108 AWK852089:AWK852108 BGG852089:BGG852108 BQC852089:BQC852108 BZY852089:BZY852108 CJU852089:CJU852108 CTQ852089:CTQ852108 DDM852089:DDM852108 DNI852089:DNI852108 DXE852089:DXE852108 EHA852089:EHA852108 EQW852089:EQW852108 FAS852089:FAS852108 FKO852089:FKO852108 FUK852089:FUK852108 GEG852089:GEG852108 GOC852089:GOC852108 GXY852089:GXY852108 HHU852089:HHU852108 HRQ852089:HRQ852108 IBM852089:IBM852108 ILI852089:ILI852108 IVE852089:IVE852108 JFA852089:JFA852108 JOW852089:JOW852108 JYS852089:JYS852108 KIO852089:KIO852108 KSK852089:KSK852108 LCG852089:LCG852108 LMC852089:LMC852108 LVY852089:LVY852108 MFU852089:MFU852108 MPQ852089:MPQ852108 MZM852089:MZM852108 NJI852089:NJI852108 NTE852089:NTE852108 ODA852089:ODA852108 OMW852089:OMW852108 OWS852089:OWS852108 PGO852089:PGO852108 PQK852089:PQK852108 QAG852089:QAG852108 QKC852089:QKC852108 QTY852089:QTY852108 RDU852089:RDU852108 RNQ852089:RNQ852108 RXM852089:RXM852108 SHI852089:SHI852108 SRE852089:SRE852108 TBA852089:TBA852108 TKW852089:TKW852108 TUS852089:TUS852108 UEO852089:UEO852108 UOK852089:UOK852108 UYG852089:UYG852108 VIC852089:VIC852108 VRY852089:VRY852108 WBU852089:WBU852108 WLQ852089:WLQ852108 WVM852089:WVM852108 F917625:F917644 JA917625:JA917644 SW917625:SW917644 ACS917625:ACS917644 AMO917625:AMO917644 AWK917625:AWK917644 BGG917625:BGG917644 BQC917625:BQC917644 BZY917625:BZY917644 CJU917625:CJU917644 CTQ917625:CTQ917644 DDM917625:DDM917644 DNI917625:DNI917644 DXE917625:DXE917644 EHA917625:EHA917644 EQW917625:EQW917644 FAS917625:FAS917644 FKO917625:FKO917644 FUK917625:FUK917644 GEG917625:GEG917644 GOC917625:GOC917644 GXY917625:GXY917644 HHU917625:HHU917644 HRQ917625:HRQ917644 IBM917625:IBM917644 ILI917625:ILI917644 IVE917625:IVE917644 JFA917625:JFA917644 JOW917625:JOW917644 JYS917625:JYS917644 KIO917625:KIO917644 KSK917625:KSK917644 LCG917625:LCG917644 LMC917625:LMC917644 LVY917625:LVY917644 MFU917625:MFU917644 MPQ917625:MPQ917644 MZM917625:MZM917644 NJI917625:NJI917644 NTE917625:NTE917644 ODA917625:ODA917644 OMW917625:OMW917644 OWS917625:OWS917644 PGO917625:PGO917644 PQK917625:PQK917644 QAG917625:QAG917644 QKC917625:QKC917644 QTY917625:QTY917644 RDU917625:RDU917644 RNQ917625:RNQ917644 RXM917625:RXM917644 SHI917625:SHI917644 SRE917625:SRE917644 TBA917625:TBA917644 TKW917625:TKW917644 TUS917625:TUS917644 UEO917625:UEO917644 UOK917625:UOK917644 UYG917625:UYG917644 VIC917625:VIC917644 VRY917625:VRY917644 WBU917625:WBU917644 WLQ917625:WLQ917644 WVM917625:WVM917644 F983161:F983180 JA983161:JA983180 SW983161:SW983180 ACS983161:ACS983180 AMO983161:AMO983180 AWK983161:AWK983180 BGG983161:BGG983180 BQC983161:BQC983180 BZY983161:BZY983180 CJU983161:CJU983180 CTQ983161:CTQ983180 DDM983161:DDM983180 DNI983161:DNI983180 DXE983161:DXE983180 EHA983161:EHA983180 EQW983161:EQW983180 FAS983161:FAS983180 FKO983161:FKO983180 FUK983161:FUK983180 GEG983161:GEG983180 GOC983161:GOC983180 GXY983161:GXY983180 HHU983161:HHU983180 HRQ983161:HRQ983180 IBM983161:IBM983180 ILI983161:ILI983180 IVE983161:IVE983180 JFA983161:JFA983180 JOW983161:JOW983180 JYS983161:JYS983180 KIO983161:KIO983180 KSK983161:KSK983180 LCG983161:LCG983180 LMC983161:LMC983180 LVY983161:LVY983180 MFU983161:MFU983180 MPQ983161:MPQ983180 MZM983161:MZM983180 NJI983161:NJI983180 NTE983161:NTE983180 ODA983161:ODA983180 OMW983161:OMW983180 OWS983161:OWS983180 PGO983161:PGO983180 PQK983161:PQK983180 QAG983161:QAG983180 QKC983161:QKC983180 QTY983161:QTY983180 RDU983161:RDU983180 RNQ983161:RNQ983180 RXM983161:RXM983180 SHI983161:SHI983180 SRE983161:SRE983180 TBA983161:TBA983180 TKW983161:TKW983180 TUS983161:TUS983180 UEO983161:UEO983180 UOK983161:UOK983180 UYG983161:UYG983180 VIC983161:VIC983180 VRY983161:VRY983180 WBU983161:WBU983180 WLQ983161:WLQ983180 WVM983161:WVM983180 F143:F169 JA143:JA169 SW143:SW169 ACS143:ACS169 AMO143:AMO169 AWK143:AWK169 BGG143:BGG169 BQC143:BQC169 BZY143:BZY169 CJU143:CJU169 CTQ143:CTQ169 DDM143:DDM169 DNI143:DNI169 DXE143:DXE169 EHA143:EHA169 EQW143:EQW169 FAS143:FAS169 FKO143:FKO169 FUK143:FUK169 GEG143:GEG169 GOC143:GOC169 GXY143:GXY169 HHU143:HHU169 HRQ143:HRQ169 IBM143:IBM169 ILI143:ILI169 IVE143:IVE169 JFA143:JFA169 JOW143:JOW169 JYS143:JYS169 KIO143:KIO169 KSK143:KSK169 LCG143:LCG169 LMC143:LMC169 LVY143:LVY169 MFU143:MFU169 MPQ143:MPQ169 MZM143:MZM169 NJI143:NJI169 NTE143:NTE169 ODA143:ODA169 OMW143:OMW169 OWS143:OWS169 PGO143:PGO169 PQK143:PQK169 QAG143:QAG169 QKC143:QKC169 QTY143:QTY169 RDU143:RDU169 RNQ143:RNQ169 RXM143:RXM169 SHI143:SHI169 SRE143:SRE169 TBA143:TBA169 TKW143:TKW169 TUS143:TUS169 UEO143:UEO169 UOK143:UOK169 UYG143:UYG169 VIC143:VIC169 VRY143:VRY169 WBU143:WBU169 WLQ143:WLQ169 WVM143:WVM169 F65679:F65705 JA65679:JA65705 SW65679:SW65705 ACS65679:ACS65705 AMO65679:AMO65705 AWK65679:AWK65705 BGG65679:BGG65705 BQC65679:BQC65705 BZY65679:BZY65705 CJU65679:CJU65705 CTQ65679:CTQ65705 DDM65679:DDM65705 DNI65679:DNI65705 DXE65679:DXE65705 EHA65679:EHA65705 EQW65679:EQW65705 FAS65679:FAS65705 FKO65679:FKO65705 FUK65679:FUK65705 GEG65679:GEG65705 GOC65679:GOC65705 GXY65679:GXY65705 HHU65679:HHU65705 HRQ65679:HRQ65705 IBM65679:IBM65705 ILI65679:ILI65705 IVE65679:IVE65705 JFA65679:JFA65705 JOW65679:JOW65705 JYS65679:JYS65705 KIO65679:KIO65705 KSK65679:KSK65705 LCG65679:LCG65705 LMC65679:LMC65705 LVY65679:LVY65705 MFU65679:MFU65705 MPQ65679:MPQ65705 MZM65679:MZM65705 NJI65679:NJI65705 NTE65679:NTE65705 ODA65679:ODA65705 OMW65679:OMW65705 OWS65679:OWS65705 PGO65679:PGO65705 PQK65679:PQK65705 QAG65679:QAG65705 QKC65679:QKC65705 QTY65679:QTY65705 RDU65679:RDU65705 RNQ65679:RNQ65705 RXM65679:RXM65705 SHI65679:SHI65705 SRE65679:SRE65705 TBA65679:TBA65705 TKW65679:TKW65705 TUS65679:TUS65705 UEO65679:UEO65705 UOK65679:UOK65705 UYG65679:UYG65705 VIC65679:VIC65705 VRY65679:VRY65705 WBU65679:WBU65705 WLQ65679:WLQ65705 WVM65679:WVM65705 F131215:F131241 JA131215:JA131241 SW131215:SW131241 ACS131215:ACS131241 AMO131215:AMO131241 AWK131215:AWK131241 BGG131215:BGG131241 BQC131215:BQC131241 BZY131215:BZY131241 CJU131215:CJU131241 CTQ131215:CTQ131241 DDM131215:DDM131241 DNI131215:DNI131241 DXE131215:DXE131241 EHA131215:EHA131241 EQW131215:EQW131241 FAS131215:FAS131241 FKO131215:FKO131241 FUK131215:FUK131241 GEG131215:GEG131241 GOC131215:GOC131241 GXY131215:GXY131241 HHU131215:HHU131241 HRQ131215:HRQ131241 IBM131215:IBM131241 ILI131215:ILI131241 IVE131215:IVE131241 JFA131215:JFA131241 JOW131215:JOW131241 JYS131215:JYS131241 KIO131215:KIO131241 KSK131215:KSK131241 LCG131215:LCG131241 LMC131215:LMC131241 LVY131215:LVY131241 MFU131215:MFU131241 MPQ131215:MPQ131241 MZM131215:MZM131241 NJI131215:NJI131241 NTE131215:NTE131241 ODA131215:ODA131241 OMW131215:OMW131241 OWS131215:OWS131241 PGO131215:PGO131241 PQK131215:PQK131241 QAG131215:QAG131241 QKC131215:QKC131241 QTY131215:QTY131241 RDU131215:RDU131241 RNQ131215:RNQ131241 RXM131215:RXM131241 SHI131215:SHI131241 SRE131215:SRE131241 TBA131215:TBA131241 TKW131215:TKW131241 TUS131215:TUS131241 UEO131215:UEO131241 UOK131215:UOK131241 UYG131215:UYG131241 VIC131215:VIC131241 VRY131215:VRY131241 WBU131215:WBU131241 WLQ131215:WLQ131241 WVM131215:WVM131241 F196751:F196777 JA196751:JA196777 SW196751:SW196777 ACS196751:ACS196777 AMO196751:AMO196777 AWK196751:AWK196777 BGG196751:BGG196777 BQC196751:BQC196777 BZY196751:BZY196777 CJU196751:CJU196777 CTQ196751:CTQ196777 DDM196751:DDM196777 DNI196751:DNI196777 DXE196751:DXE196777 EHA196751:EHA196777 EQW196751:EQW196777 FAS196751:FAS196777 FKO196751:FKO196777 FUK196751:FUK196777 GEG196751:GEG196777 GOC196751:GOC196777 GXY196751:GXY196777 HHU196751:HHU196777 HRQ196751:HRQ196777 IBM196751:IBM196777 ILI196751:ILI196777 IVE196751:IVE196777 JFA196751:JFA196777 JOW196751:JOW196777 JYS196751:JYS196777 KIO196751:KIO196777 KSK196751:KSK196777 LCG196751:LCG196777 LMC196751:LMC196777 LVY196751:LVY196777 MFU196751:MFU196777 MPQ196751:MPQ196777 MZM196751:MZM196777 NJI196751:NJI196777 NTE196751:NTE196777 ODA196751:ODA196777 OMW196751:OMW196777 OWS196751:OWS196777 PGO196751:PGO196777 PQK196751:PQK196777 QAG196751:QAG196777 QKC196751:QKC196777 QTY196751:QTY196777 RDU196751:RDU196777 RNQ196751:RNQ196777 RXM196751:RXM196777 SHI196751:SHI196777 SRE196751:SRE196777 TBA196751:TBA196777 TKW196751:TKW196777 TUS196751:TUS196777 UEO196751:UEO196777 UOK196751:UOK196777 UYG196751:UYG196777 VIC196751:VIC196777 VRY196751:VRY196777 WBU196751:WBU196777 WLQ196751:WLQ196777 WVM196751:WVM196777 F262287:F262313 JA262287:JA262313 SW262287:SW262313 ACS262287:ACS262313 AMO262287:AMO262313 AWK262287:AWK262313 BGG262287:BGG262313 BQC262287:BQC262313 BZY262287:BZY262313 CJU262287:CJU262313 CTQ262287:CTQ262313 DDM262287:DDM262313 DNI262287:DNI262313 DXE262287:DXE262313 EHA262287:EHA262313 EQW262287:EQW262313 FAS262287:FAS262313 FKO262287:FKO262313 FUK262287:FUK262313 GEG262287:GEG262313 GOC262287:GOC262313 GXY262287:GXY262313 HHU262287:HHU262313 HRQ262287:HRQ262313 IBM262287:IBM262313 ILI262287:ILI262313 IVE262287:IVE262313 JFA262287:JFA262313 JOW262287:JOW262313 JYS262287:JYS262313 KIO262287:KIO262313 KSK262287:KSK262313 LCG262287:LCG262313 LMC262287:LMC262313 LVY262287:LVY262313 MFU262287:MFU262313 MPQ262287:MPQ262313 MZM262287:MZM262313 NJI262287:NJI262313 NTE262287:NTE262313 ODA262287:ODA262313 OMW262287:OMW262313 OWS262287:OWS262313 PGO262287:PGO262313 PQK262287:PQK262313 QAG262287:QAG262313 QKC262287:QKC262313 QTY262287:QTY262313 RDU262287:RDU262313 RNQ262287:RNQ262313 RXM262287:RXM262313 SHI262287:SHI262313 SRE262287:SRE262313 TBA262287:TBA262313 TKW262287:TKW262313 TUS262287:TUS262313 UEO262287:UEO262313 UOK262287:UOK262313 UYG262287:UYG262313 VIC262287:VIC262313 VRY262287:VRY262313 WBU262287:WBU262313 WLQ262287:WLQ262313 WVM262287:WVM262313 F327823:F327849 JA327823:JA327849 SW327823:SW327849 ACS327823:ACS327849 AMO327823:AMO327849 AWK327823:AWK327849 BGG327823:BGG327849 BQC327823:BQC327849 BZY327823:BZY327849 CJU327823:CJU327849 CTQ327823:CTQ327849 DDM327823:DDM327849 DNI327823:DNI327849 DXE327823:DXE327849 EHA327823:EHA327849 EQW327823:EQW327849 FAS327823:FAS327849 FKO327823:FKO327849 FUK327823:FUK327849 GEG327823:GEG327849 GOC327823:GOC327849 GXY327823:GXY327849 HHU327823:HHU327849 HRQ327823:HRQ327849 IBM327823:IBM327849 ILI327823:ILI327849 IVE327823:IVE327849 JFA327823:JFA327849 JOW327823:JOW327849 JYS327823:JYS327849 KIO327823:KIO327849 KSK327823:KSK327849 LCG327823:LCG327849 LMC327823:LMC327849 LVY327823:LVY327849 MFU327823:MFU327849 MPQ327823:MPQ327849 MZM327823:MZM327849 NJI327823:NJI327849 NTE327823:NTE327849 ODA327823:ODA327849 OMW327823:OMW327849 OWS327823:OWS327849 PGO327823:PGO327849 PQK327823:PQK327849 QAG327823:QAG327849 QKC327823:QKC327849 QTY327823:QTY327849 RDU327823:RDU327849 RNQ327823:RNQ327849 RXM327823:RXM327849 SHI327823:SHI327849 SRE327823:SRE327849 TBA327823:TBA327849 TKW327823:TKW327849 TUS327823:TUS327849 UEO327823:UEO327849 UOK327823:UOK327849 UYG327823:UYG327849 VIC327823:VIC327849 VRY327823:VRY327849 WBU327823:WBU327849 WLQ327823:WLQ327849 WVM327823:WVM327849 F393359:F393385 JA393359:JA393385 SW393359:SW393385 ACS393359:ACS393385 AMO393359:AMO393385 AWK393359:AWK393385 BGG393359:BGG393385 BQC393359:BQC393385 BZY393359:BZY393385 CJU393359:CJU393385 CTQ393359:CTQ393385 DDM393359:DDM393385 DNI393359:DNI393385 DXE393359:DXE393385 EHA393359:EHA393385 EQW393359:EQW393385 FAS393359:FAS393385 FKO393359:FKO393385 FUK393359:FUK393385 GEG393359:GEG393385 GOC393359:GOC393385 GXY393359:GXY393385 HHU393359:HHU393385 HRQ393359:HRQ393385 IBM393359:IBM393385 ILI393359:ILI393385 IVE393359:IVE393385 JFA393359:JFA393385 JOW393359:JOW393385 JYS393359:JYS393385 KIO393359:KIO393385 KSK393359:KSK393385 LCG393359:LCG393385 LMC393359:LMC393385 LVY393359:LVY393385 MFU393359:MFU393385 MPQ393359:MPQ393385 MZM393359:MZM393385 NJI393359:NJI393385 NTE393359:NTE393385 ODA393359:ODA393385 OMW393359:OMW393385 OWS393359:OWS393385 PGO393359:PGO393385 PQK393359:PQK393385 QAG393359:QAG393385 QKC393359:QKC393385 QTY393359:QTY393385 RDU393359:RDU393385 RNQ393359:RNQ393385 RXM393359:RXM393385 SHI393359:SHI393385 SRE393359:SRE393385 TBA393359:TBA393385 TKW393359:TKW393385 TUS393359:TUS393385 UEO393359:UEO393385 UOK393359:UOK393385 UYG393359:UYG393385 VIC393359:VIC393385 VRY393359:VRY393385 WBU393359:WBU393385 WLQ393359:WLQ393385 WVM393359:WVM393385 F458895:F458921 JA458895:JA458921 SW458895:SW458921 ACS458895:ACS458921 AMO458895:AMO458921 AWK458895:AWK458921 BGG458895:BGG458921 BQC458895:BQC458921 BZY458895:BZY458921 CJU458895:CJU458921 CTQ458895:CTQ458921 DDM458895:DDM458921 DNI458895:DNI458921 DXE458895:DXE458921 EHA458895:EHA458921 EQW458895:EQW458921 FAS458895:FAS458921 FKO458895:FKO458921 FUK458895:FUK458921 GEG458895:GEG458921 GOC458895:GOC458921 GXY458895:GXY458921 HHU458895:HHU458921 HRQ458895:HRQ458921 IBM458895:IBM458921 ILI458895:ILI458921 IVE458895:IVE458921 JFA458895:JFA458921 JOW458895:JOW458921 JYS458895:JYS458921 KIO458895:KIO458921 KSK458895:KSK458921 LCG458895:LCG458921 LMC458895:LMC458921 LVY458895:LVY458921 MFU458895:MFU458921 MPQ458895:MPQ458921 MZM458895:MZM458921 NJI458895:NJI458921 NTE458895:NTE458921 ODA458895:ODA458921 OMW458895:OMW458921 OWS458895:OWS458921 PGO458895:PGO458921 PQK458895:PQK458921 QAG458895:QAG458921 QKC458895:QKC458921 QTY458895:QTY458921 RDU458895:RDU458921 RNQ458895:RNQ458921 RXM458895:RXM458921 SHI458895:SHI458921 SRE458895:SRE458921 TBA458895:TBA458921 TKW458895:TKW458921 TUS458895:TUS458921 UEO458895:UEO458921 UOK458895:UOK458921 UYG458895:UYG458921 VIC458895:VIC458921 VRY458895:VRY458921 WBU458895:WBU458921 WLQ458895:WLQ458921 WVM458895:WVM458921 F524431:F524457 JA524431:JA524457 SW524431:SW524457 ACS524431:ACS524457 AMO524431:AMO524457 AWK524431:AWK524457 BGG524431:BGG524457 BQC524431:BQC524457 BZY524431:BZY524457 CJU524431:CJU524457 CTQ524431:CTQ524457 DDM524431:DDM524457 DNI524431:DNI524457 DXE524431:DXE524457 EHA524431:EHA524457 EQW524431:EQW524457 FAS524431:FAS524457 FKO524431:FKO524457 FUK524431:FUK524457 GEG524431:GEG524457 GOC524431:GOC524457 GXY524431:GXY524457 HHU524431:HHU524457 HRQ524431:HRQ524457 IBM524431:IBM524457 ILI524431:ILI524457 IVE524431:IVE524457 JFA524431:JFA524457 JOW524431:JOW524457 JYS524431:JYS524457 KIO524431:KIO524457 KSK524431:KSK524457 LCG524431:LCG524457 LMC524431:LMC524457 LVY524431:LVY524457 MFU524431:MFU524457 MPQ524431:MPQ524457 MZM524431:MZM524457 NJI524431:NJI524457 NTE524431:NTE524457 ODA524431:ODA524457 OMW524431:OMW524457 OWS524431:OWS524457 PGO524431:PGO524457 PQK524431:PQK524457 QAG524431:QAG524457 QKC524431:QKC524457 QTY524431:QTY524457 RDU524431:RDU524457 RNQ524431:RNQ524457 RXM524431:RXM524457 SHI524431:SHI524457 SRE524431:SRE524457 TBA524431:TBA524457 TKW524431:TKW524457 TUS524431:TUS524457 UEO524431:UEO524457 UOK524431:UOK524457 UYG524431:UYG524457 VIC524431:VIC524457 VRY524431:VRY524457 WBU524431:WBU524457 WLQ524431:WLQ524457 WVM524431:WVM524457 F589967:F589993 JA589967:JA589993 SW589967:SW589993 ACS589967:ACS589993 AMO589967:AMO589993 AWK589967:AWK589993 BGG589967:BGG589993 BQC589967:BQC589993 BZY589967:BZY589993 CJU589967:CJU589993 CTQ589967:CTQ589993 DDM589967:DDM589993 DNI589967:DNI589993 DXE589967:DXE589993 EHA589967:EHA589993 EQW589967:EQW589993 FAS589967:FAS589993 FKO589967:FKO589993 FUK589967:FUK589993 GEG589967:GEG589993 GOC589967:GOC589993 GXY589967:GXY589993 HHU589967:HHU589993 HRQ589967:HRQ589993 IBM589967:IBM589993 ILI589967:ILI589993 IVE589967:IVE589993 JFA589967:JFA589993 JOW589967:JOW589993 JYS589967:JYS589993 KIO589967:KIO589993 KSK589967:KSK589993 LCG589967:LCG589993 LMC589967:LMC589993 LVY589967:LVY589993 MFU589967:MFU589993 MPQ589967:MPQ589993 MZM589967:MZM589993 NJI589967:NJI589993 NTE589967:NTE589993 ODA589967:ODA589993 OMW589967:OMW589993 OWS589967:OWS589993 PGO589967:PGO589993 PQK589967:PQK589993 QAG589967:QAG589993 QKC589967:QKC589993 QTY589967:QTY589993 RDU589967:RDU589993 RNQ589967:RNQ589993 RXM589967:RXM589993 SHI589967:SHI589993 SRE589967:SRE589993 TBA589967:TBA589993 TKW589967:TKW589993 TUS589967:TUS589993 UEO589967:UEO589993 UOK589967:UOK589993 UYG589967:UYG589993 VIC589967:VIC589993 VRY589967:VRY589993 WBU589967:WBU589993 WLQ589967:WLQ589993 WVM589967:WVM589993 F655503:F655529 JA655503:JA655529 SW655503:SW655529 ACS655503:ACS655529 AMO655503:AMO655529 AWK655503:AWK655529 BGG655503:BGG655529 BQC655503:BQC655529 BZY655503:BZY655529 CJU655503:CJU655529 CTQ655503:CTQ655529 DDM655503:DDM655529 DNI655503:DNI655529 DXE655503:DXE655529 EHA655503:EHA655529 EQW655503:EQW655529 FAS655503:FAS655529 FKO655503:FKO655529 FUK655503:FUK655529 GEG655503:GEG655529 GOC655503:GOC655529 GXY655503:GXY655529 HHU655503:HHU655529 HRQ655503:HRQ655529 IBM655503:IBM655529 ILI655503:ILI655529 IVE655503:IVE655529 JFA655503:JFA655529 JOW655503:JOW655529 JYS655503:JYS655529 KIO655503:KIO655529 KSK655503:KSK655529 LCG655503:LCG655529 LMC655503:LMC655529 LVY655503:LVY655529 MFU655503:MFU655529 MPQ655503:MPQ655529 MZM655503:MZM655529 NJI655503:NJI655529 NTE655503:NTE655529 ODA655503:ODA655529 OMW655503:OMW655529 OWS655503:OWS655529 PGO655503:PGO655529 PQK655503:PQK655529 QAG655503:QAG655529 QKC655503:QKC655529 QTY655503:QTY655529 RDU655503:RDU655529 RNQ655503:RNQ655529 RXM655503:RXM655529 SHI655503:SHI655529 SRE655503:SRE655529 TBA655503:TBA655529 TKW655503:TKW655529 TUS655503:TUS655529 UEO655503:UEO655529 UOK655503:UOK655529 UYG655503:UYG655529 VIC655503:VIC655529 VRY655503:VRY655529 WBU655503:WBU655529 WLQ655503:WLQ655529 WVM655503:WVM655529 F721039:F721065 JA721039:JA721065 SW721039:SW721065 ACS721039:ACS721065 AMO721039:AMO721065 AWK721039:AWK721065 BGG721039:BGG721065 BQC721039:BQC721065 BZY721039:BZY721065 CJU721039:CJU721065 CTQ721039:CTQ721065 DDM721039:DDM721065 DNI721039:DNI721065 DXE721039:DXE721065 EHA721039:EHA721065 EQW721039:EQW721065 FAS721039:FAS721065 FKO721039:FKO721065 FUK721039:FUK721065 GEG721039:GEG721065 GOC721039:GOC721065 GXY721039:GXY721065 HHU721039:HHU721065 HRQ721039:HRQ721065 IBM721039:IBM721065 ILI721039:ILI721065 IVE721039:IVE721065 JFA721039:JFA721065 JOW721039:JOW721065 JYS721039:JYS721065 KIO721039:KIO721065 KSK721039:KSK721065 LCG721039:LCG721065 LMC721039:LMC721065 LVY721039:LVY721065 MFU721039:MFU721065 MPQ721039:MPQ721065 MZM721039:MZM721065 NJI721039:NJI721065 NTE721039:NTE721065 ODA721039:ODA721065 OMW721039:OMW721065 OWS721039:OWS721065 PGO721039:PGO721065 PQK721039:PQK721065 QAG721039:QAG721065 QKC721039:QKC721065 QTY721039:QTY721065 RDU721039:RDU721065 RNQ721039:RNQ721065 RXM721039:RXM721065 SHI721039:SHI721065 SRE721039:SRE721065 TBA721039:TBA721065 TKW721039:TKW721065 TUS721039:TUS721065 UEO721039:UEO721065 UOK721039:UOK721065 UYG721039:UYG721065 VIC721039:VIC721065 VRY721039:VRY721065 WBU721039:WBU721065 WLQ721039:WLQ721065 WVM721039:WVM721065 F786575:F786601 JA786575:JA786601 SW786575:SW786601 ACS786575:ACS786601 AMO786575:AMO786601 AWK786575:AWK786601 BGG786575:BGG786601 BQC786575:BQC786601 BZY786575:BZY786601 CJU786575:CJU786601 CTQ786575:CTQ786601 DDM786575:DDM786601 DNI786575:DNI786601 DXE786575:DXE786601 EHA786575:EHA786601 EQW786575:EQW786601 FAS786575:FAS786601 FKO786575:FKO786601 FUK786575:FUK786601 GEG786575:GEG786601 GOC786575:GOC786601 GXY786575:GXY786601 HHU786575:HHU786601 HRQ786575:HRQ786601 IBM786575:IBM786601 ILI786575:ILI786601 IVE786575:IVE786601 JFA786575:JFA786601 JOW786575:JOW786601 JYS786575:JYS786601 KIO786575:KIO786601 KSK786575:KSK786601 LCG786575:LCG786601 LMC786575:LMC786601 LVY786575:LVY786601 MFU786575:MFU786601 MPQ786575:MPQ786601 MZM786575:MZM786601 NJI786575:NJI786601 NTE786575:NTE786601 ODA786575:ODA786601 OMW786575:OMW786601 OWS786575:OWS786601 PGO786575:PGO786601 PQK786575:PQK786601 QAG786575:QAG786601 QKC786575:QKC786601 QTY786575:QTY786601 RDU786575:RDU786601 RNQ786575:RNQ786601 RXM786575:RXM786601 SHI786575:SHI786601 SRE786575:SRE786601 TBA786575:TBA786601 TKW786575:TKW786601 TUS786575:TUS786601 UEO786575:UEO786601 UOK786575:UOK786601 UYG786575:UYG786601 VIC786575:VIC786601 VRY786575:VRY786601 WBU786575:WBU786601 WLQ786575:WLQ786601 WVM786575:WVM786601 F852111:F852137 JA852111:JA852137 SW852111:SW852137 ACS852111:ACS852137 AMO852111:AMO852137 AWK852111:AWK852137 BGG852111:BGG852137 BQC852111:BQC852137 BZY852111:BZY852137 CJU852111:CJU852137 CTQ852111:CTQ852137 DDM852111:DDM852137 DNI852111:DNI852137 DXE852111:DXE852137 EHA852111:EHA852137 EQW852111:EQW852137 FAS852111:FAS852137 FKO852111:FKO852137 FUK852111:FUK852137 GEG852111:GEG852137 GOC852111:GOC852137 GXY852111:GXY852137 HHU852111:HHU852137 HRQ852111:HRQ852137 IBM852111:IBM852137 ILI852111:ILI852137 IVE852111:IVE852137 JFA852111:JFA852137 JOW852111:JOW852137 JYS852111:JYS852137 KIO852111:KIO852137 KSK852111:KSK852137 LCG852111:LCG852137 LMC852111:LMC852137 LVY852111:LVY852137 MFU852111:MFU852137 MPQ852111:MPQ852137 MZM852111:MZM852137 NJI852111:NJI852137 NTE852111:NTE852137 ODA852111:ODA852137 OMW852111:OMW852137 OWS852111:OWS852137 PGO852111:PGO852137 PQK852111:PQK852137 QAG852111:QAG852137 QKC852111:QKC852137 QTY852111:QTY852137 RDU852111:RDU852137 RNQ852111:RNQ852137 RXM852111:RXM852137 SHI852111:SHI852137 SRE852111:SRE852137 TBA852111:TBA852137 TKW852111:TKW852137 TUS852111:TUS852137 UEO852111:UEO852137 UOK852111:UOK852137 UYG852111:UYG852137 VIC852111:VIC852137 VRY852111:VRY852137 WBU852111:WBU852137 WLQ852111:WLQ852137 WVM852111:WVM852137 F917647:F917673 JA917647:JA917673 SW917647:SW917673 ACS917647:ACS917673 AMO917647:AMO917673 AWK917647:AWK917673 BGG917647:BGG917673 BQC917647:BQC917673 BZY917647:BZY917673 CJU917647:CJU917673 CTQ917647:CTQ917673 DDM917647:DDM917673 DNI917647:DNI917673 DXE917647:DXE917673 EHA917647:EHA917673 EQW917647:EQW917673 FAS917647:FAS917673 FKO917647:FKO917673 FUK917647:FUK917673 GEG917647:GEG917673 GOC917647:GOC917673 GXY917647:GXY917673 HHU917647:HHU917673 HRQ917647:HRQ917673 IBM917647:IBM917673 ILI917647:ILI917673 IVE917647:IVE917673 JFA917647:JFA917673 JOW917647:JOW917673 JYS917647:JYS917673 KIO917647:KIO917673 KSK917647:KSK917673 LCG917647:LCG917673 LMC917647:LMC917673 LVY917647:LVY917673 MFU917647:MFU917673 MPQ917647:MPQ917673 MZM917647:MZM917673 NJI917647:NJI917673 NTE917647:NTE917673 ODA917647:ODA917673 OMW917647:OMW917673 OWS917647:OWS917673 PGO917647:PGO917673 PQK917647:PQK917673 QAG917647:QAG917673 QKC917647:QKC917673 QTY917647:QTY917673 RDU917647:RDU917673 RNQ917647:RNQ917673 RXM917647:RXM917673 SHI917647:SHI917673 SRE917647:SRE917673 TBA917647:TBA917673 TKW917647:TKW917673 TUS917647:TUS917673 UEO917647:UEO917673 UOK917647:UOK917673 UYG917647:UYG917673 VIC917647:VIC917673 VRY917647:VRY917673 WBU917647:WBU917673 WLQ917647:WLQ917673 WVM917647:WVM917673 F983183:F983209 JA983183:JA983209 SW983183:SW983209 ACS983183:ACS983209 AMO983183:AMO983209 AWK983183:AWK983209 BGG983183:BGG983209 BQC983183:BQC983209 BZY983183:BZY983209 CJU983183:CJU983209 CTQ983183:CTQ983209 DDM983183:DDM983209 DNI983183:DNI983209 DXE983183:DXE983209 EHA983183:EHA983209 EQW983183:EQW983209 FAS983183:FAS983209 FKO983183:FKO983209 FUK983183:FUK983209 GEG983183:GEG983209 GOC983183:GOC983209 GXY983183:GXY983209 HHU983183:HHU983209 HRQ983183:HRQ983209 IBM983183:IBM983209 ILI983183:ILI983209 IVE983183:IVE983209 JFA983183:JFA983209 JOW983183:JOW983209 JYS983183:JYS983209 KIO983183:KIO983209 KSK983183:KSK983209 LCG983183:LCG983209 LMC983183:LMC983209 LVY983183:LVY983209 MFU983183:MFU983209 MPQ983183:MPQ983209 MZM983183:MZM983209 NJI983183:NJI983209 NTE983183:NTE983209 ODA983183:ODA983209 OMW983183:OMW983209 OWS983183:OWS983209 PGO983183:PGO983209 PQK983183:PQK983209 QAG983183:QAG983209 QKC983183:QKC983209 QTY983183:QTY983209 RDU983183:RDU983209 RNQ983183:RNQ983209 RXM983183:RXM983209 SHI983183:SHI983209 SRE983183:SRE983209 TBA983183:TBA983209 TKW983183:TKW983209 TUS983183:TUS983209 UEO983183:UEO983209 UOK983183:UOK983209 UYG983183:UYG983209 VIC983183:VIC983209 VRY983183:VRY983209 WBU983183:WBU983209 WLQ983183:WLQ983209 WVM983183:WVM983209 C49:C62 IW49:IW62 SS49:SS62 ACO49:ACO62 AMK49:AMK62 AWG49:AWG62 BGC49:BGC62 BPY49:BPY62 BZU49:BZU62 CJQ49:CJQ62 CTM49:CTM62 DDI49:DDI62 DNE49:DNE62 DXA49:DXA62 EGW49:EGW62 EQS49:EQS62 FAO49:FAO62 FKK49:FKK62 FUG49:FUG62 GEC49:GEC62 GNY49:GNY62 GXU49:GXU62 HHQ49:HHQ62 HRM49:HRM62 IBI49:IBI62 ILE49:ILE62 IVA49:IVA62 JEW49:JEW62 JOS49:JOS62 JYO49:JYO62 KIK49:KIK62 KSG49:KSG62 LCC49:LCC62 LLY49:LLY62 LVU49:LVU62 MFQ49:MFQ62 MPM49:MPM62 MZI49:MZI62 NJE49:NJE62 NTA49:NTA62 OCW49:OCW62 OMS49:OMS62 OWO49:OWO62 PGK49:PGK62 PQG49:PQG62 QAC49:QAC62 QJY49:QJY62 QTU49:QTU62 RDQ49:RDQ62 RNM49:RNM62 RXI49:RXI62 SHE49:SHE62 SRA49:SRA62 TAW49:TAW62 TKS49:TKS62 TUO49:TUO62 UEK49:UEK62 UOG49:UOG62 UYC49:UYC62 VHY49:VHY62 VRU49:VRU62 WBQ49:WBQ62 WLM49:WLM62 WVI49:WVI62 C65585:C65598 IW65585:IW65598 SS65585:SS65598 ACO65585:ACO65598 AMK65585:AMK65598 AWG65585:AWG65598 BGC65585:BGC65598 BPY65585:BPY65598 BZU65585:BZU65598 CJQ65585:CJQ65598 CTM65585:CTM65598 DDI65585:DDI65598 DNE65585:DNE65598 DXA65585:DXA65598 EGW65585:EGW65598 EQS65585:EQS65598 FAO65585:FAO65598 FKK65585:FKK65598 FUG65585:FUG65598 GEC65585:GEC65598 GNY65585:GNY65598 GXU65585:GXU65598 HHQ65585:HHQ65598 HRM65585:HRM65598 IBI65585:IBI65598 ILE65585:ILE65598 IVA65585:IVA65598 JEW65585:JEW65598 JOS65585:JOS65598 JYO65585:JYO65598 KIK65585:KIK65598 KSG65585:KSG65598 LCC65585:LCC65598 LLY65585:LLY65598 LVU65585:LVU65598 MFQ65585:MFQ65598 MPM65585:MPM65598 MZI65585:MZI65598 NJE65585:NJE65598 NTA65585:NTA65598 OCW65585:OCW65598 OMS65585:OMS65598 OWO65585:OWO65598 PGK65585:PGK65598 PQG65585:PQG65598 QAC65585:QAC65598 QJY65585:QJY65598 QTU65585:QTU65598 RDQ65585:RDQ65598 RNM65585:RNM65598 RXI65585:RXI65598 SHE65585:SHE65598 SRA65585:SRA65598 TAW65585:TAW65598 TKS65585:TKS65598 TUO65585:TUO65598 UEK65585:UEK65598 UOG65585:UOG65598 UYC65585:UYC65598 VHY65585:VHY65598 VRU65585:VRU65598 WBQ65585:WBQ65598 WLM65585:WLM65598 WVI65585:WVI65598 C131121:C131134 IW131121:IW131134 SS131121:SS131134 ACO131121:ACO131134 AMK131121:AMK131134 AWG131121:AWG131134 BGC131121:BGC131134 BPY131121:BPY131134 BZU131121:BZU131134 CJQ131121:CJQ131134 CTM131121:CTM131134 DDI131121:DDI131134 DNE131121:DNE131134 DXA131121:DXA131134 EGW131121:EGW131134 EQS131121:EQS131134 FAO131121:FAO131134 FKK131121:FKK131134 FUG131121:FUG131134 GEC131121:GEC131134 GNY131121:GNY131134 GXU131121:GXU131134 HHQ131121:HHQ131134 HRM131121:HRM131134 IBI131121:IBI131134 ILE131121:ILE131134 IVA131121:IVA131134 JEW131121:JEW131134 JOS131121:JOS131134 JYO131121:JYO131134 KIK131121:KIK131134 KSG131121:KSG131134 LCC131121:LCC131134 LLY131121:LLY131134 LVU131121:LVU131134 MFQ131121:MFQ131134 MPM131121:MPM131134 MZI131121:MZI131134 NJE131121:NJE131134 NTA131121:NTA131134 OCW131121:OCW131134 OMS131121:OMS131134 OWO131121:OWO131134 PGK131121:PGK131134 PQG131121:PQG131134 QAC131121:QAC131134 QJY131121:QJY131134 QTU131121:QTU131134 RDQ131121:RDQ131134 RNM131121:RNM131134 RXI131121:RXI131134 SHE131121:SHE131134 SRA131121:SRA131134 TAW131121:TAW131134 TKS131121:TKS131134 TUO131121:TUO131134 UEK131121:UEK131134 UOG131121:UOG131134 UYC131121:UYC131134 VHY131121:VHY131134 VRU131121:VRU131134 WBQ131121:WBQ131134 WLM131121:WLM131134 WVI131121:WVI131134 C196657:C196670 IW196657:IW196670 SS196657:SS196670 ACO196657:ACO196670 AMK196657:AMK196670 AWG196657:AWG196670 BGC196657:BGC196670 BPY196657:BPY196670 BZU196657:BZU196670 CJQ196657:CJQ196670 CTM196657:CTM196670 DDI196657:DDI196670 DNE196657:DNE196670 DXA196657:DXA196670 EGW196657:EGW196670 EQS196657:EQS196670 FAO196657:FAO196670 FKK196657:FKK196670 FUG196657:FUG196670 GEC196657:GEC196670 GNY196657:GNY196670 GXU196657:GXU196670 HHQ196657:HHQ196670 HRM196657:HRM196670 IBI196657:IBI196670 ILE196657:ILE196670 IVA196657:IVA196670 JEW196657:JEW196670 JOS196657:JOS196670 JYO196657:JYO196670 KIK196657:KIK196670 KSG196657:KSG196670 LCC196657:LCC196670 LLY196657:LLY196670 LVU196657:LVU196670 MFQ196657:MFQ196670 MPM196657:MPM196670 MZI196657:MZI196670 NJE196657:NJE196670 NTA196657:NTA196670 OCW196657:OCW196670 OMS196657:OMS196670 OWO196657:OWO196670 PGK196657:PGK196670 PQG196657:PQG196670 QAC196657:QAC196670 QJY196657:QJY196670 QTU196657:QTU196670 RDQ196657:RDQ196670 RNM196657:RNM196670 RXI196657:RXI196670 SHE196657:SHE196670 SRA196657:SRA196670 TAW196657:TAW196670 TKS196657:TKS196670 TUO196657:TUO196670 UEK196657:UEK196670 UOG196657:UOG196670 UYC196657:UYC196670 VHY196657:VHY196670 VRU196657:VRU196670 WBQ196657:WBQ196670 WLM196657:WLM196670 WVI196657:WVI196670 C262193:C262206 IW262193:IW262206 SS262193:SS262206 ACO262193:ACO262206 AMK262193:AMK262206 AWG262193:AWG262206 BGC262193:BGC262206 BPY262193:BPY262206 BZU262193:BZU262206 CJQ262193:CJQ262206 CTM262193:CTM262206 DDI262193:DDI262206 DNE262193:DNE262206 DXA262193:DXA262206 EGW262193:EGW262206 EQS262193:EQS262206 FAO262193:FAO262206 FKK262193:FKK262206 FUG262193:FUG262206 GEC262193:GEC262206 GNY262193:GNY262206 GXU262193:GXU262206 HHQ262193:HHQ262206 HRM262193:HRM262206 IBI262193:IBI262206 ILE262193:ILE262206 IVA262193:IVA262206 JEW262193:JEW262206 JOS262193:JOS262206 JYO262193:JYO262206 KIK262193:KIK262206 KSG262193:KSG262206 LCC262193:LCC262206 LLY262193:LLY262206 LVU262193:LVU262206 MFQ262193:MFQ262206 MPM262193:MPM262206 MZI262193:MZI262206 NJE262193:NJE262206 NTA262193:NTA262206 OCW262193:OCW262206 OMS262193:OMS262206 OWO262193:OWO262206 PGK262193:PGK262206 PQG262193:PQG262206 QAC262193:QAC262206 QJY262193:QJY262206 QTU262193:QTU262206 RDQ262193:RDQ262206 RNM262193:RNM262206 RXI262193:RXI262206 SHE262193:SHE262206 SRA262193:SRA262206 TAW262193:TAW262206 TKS262193:TKS262206 TUO262193:TUO262206 UEK262193:UEK262206 UOG262193:UOG262206 UYC262193:UYC262206 VHY262193:VHY262206 VRU262193:VRU262206 WBQ262193:WBQ262206 WLM262193:WLM262206 WVI262193:WVI262206 C327729:C327742 IW327729:IW327742 SS327729:SS327742 ACO327729:ACO327742 AMK327729:AMK327742 AWG327729:AWG327742 BGC327729:BGC327742 BPY327729:BPY327742 BZU327729:BZU327742 CJQ327729:CJQ327742 CTM327729:CTM327742 DDI327729:DDI327742 DNE327729:DNE327742 DXA327729:DXA327742 EGW327729:EGW327742 EQS327729:EQS327742 FAO327729:FAO327742 FKK327729:FKK327742 FUG327729:FUG327742 GEC327729:GEC327742 GNY327729:GNY327742 GXU327729:GXU327742 HHQ327729:HHQ327742 HRM327729:HRM327742 IBI327729:IBI327742 ILE327729:ILE327742 IVA327729:IVA327742 JEW327729:JEW327742 JOS327729:JOS327742 JYO327729:JYO327742 KIK327729:KIK327742 KSG327729:KSG327742 LCC327729:LCC327742 LLY327729:LLY327742 LVU327729:LVU327742 MFQ327729:MFQ327742 MPM327729:MPM327742 MZI327729:MZI327742 NJE327729:NJE327742 NTA327729:NTA327742 OCW327729:OCW327742 OMS327729:OMS327742 OWO327729:OWO327742 PGK327729:PGK327742 PQG327729:PQG327742 QAC327729:QAC327742 QJY327729:QJY327742 QTU327729:QTU327742 RDQ327729:RDQ327742 RNM327729:RNM327742 RXI327729:RXI327742 SHE327729:SHE327742 SRA327729:SRA327742 TAW327729:TAW327742 TKS327729:TKS327742 TUO327729:TUO327742 UEK327729:UEK327742 UOG327729:UOG327742 UYC327729:UYC327742 VHY327729:VHY327742 VRU327729:VRU327742 WBQ327729:WBQ327742 WLM327729:WLM327742 WVI327729:WVI327742 C393265:C393278 IW393265:IW393278 SS393265:SS393278 ACO393265:ACO393278 AMK393265:AMK393278 AWG393265:AWG393278 BGC393265:BGC393278 BPY393265:BPY393278 BZU393265:BZU393278 CJQ393265:CJQ393278 CTM393265:CTM393278 DDI393265:DDI393278 DNE393265:DNE393278 DXA393265:DXA393278 EGW393265:EGW393278 EQS393265:EQS393278 FAO393265:FAO393278 FKK393265:FKK393278 FUG393265:FUG393278 GEC393265:GEC393278 GNY393265:GNY393278 GXU393265:GXU393278 HHQ393265:HHQ393278 HRM393265:HRM393278 IBI393265:IBI393278 ILE393265:ILE393278 IVA393265:IVA393278 JEW393265:JEW393278 JOS393265:JOS393278 JYO393265:JYO393278 KIK393265:KIK393278 KSG393265:KSG393278 LCC393265:LCC393278 LLY393265:LLY393278 LVU393265:LVU393278 MFQ393265:MFQ393278 MPM393265:MPM393278 MZI393265:MZI393278 NJE393265:NJE393278 NTA393265:NTA393278 OCW393265:OCW393278 OMS393265:OMS393278 OWO393265:OWO393278 PGK393265:PGK393278 PQG393265:PQG393278 QAC393265:QAC393278 QJY393265:QJY393278 QTU393265:QTU393278 RDQ393265:RDQ393278 RNM393265:RNM393278 RXI393265:RXI393278 SHE393265:SHE393278 SRA393265:SRA393278 TAW393265:TAW393278 TKS393265:TKS393278 TUO393265:TUO393278 UEK393265:UEK393278 UOG393265:UOG393278 UYC393265:UYC393278 VHY393265:VHY393278 VRU393265:VRU393278 WBQ393265:WBQ393278 WLM393265:WLM393278 WVI393265:WVI393278 C458801:C458814 IW458801:IW458814 SS458801:SS458814 ACO458801:ACO458814 AMK458801:AMK458814 AWG458801:AWG458814 BGC458801:BGC458814 BPY458801:BPY458814 BZU458801:BZU458814 CJQ458801:CJQ458814 CTM458801:CTM458814 DDI458801:DDI458814 DNE458801:DNE458814 DXA458801:DXA458814 EGW458801:EGW458814 EQS458801:EQS458814 FAO458801:FAO458814 FKK458801:FKK458814 FUG458801:FUG458814 GEC458801:GEC458814 GNY458801:GNY458814 GXU458801:GXU458814 HHQ458801:HHQ458814 HRM458801:HRM458814 IBI458801:IBI458814 ILE458801:ILE458814 IVA458801:IVA458814 JEW458801:JEW458814 JOS458801:JOS458814 JYO458801:JYO458814 KIK458801:KIK458814 KSG458801:KSG458814 LCC458801:LCC458814 LLY458801:LLY458814 LVU458801:LVU458814 MFQ458801:MFQ458814 MPM458801:MPM458814 MZI458801:MZI458814 NJE458801:NJE458814 NTA458801:NTA458814 OCW458801:OCW458814 OMS458801:OMS458814 OWO458801:OWO458814 PGK458801:PGK458814 PQG458801:PQG458814 QAC458801:QAC458814 QJY458801:QJY458814 QTU458801:QTU458814 RDQ458801:RDQ458814 RNM458801:RNM458814 RXI458801:RXI458814 SHE458801:SHE458814 SRA458801:SRA458814 TAW458801:TAW458814 TKS458801:TKS458814 TUO458801:TUO458814 UEK458801:UEK458814 UOG458801:UOG458814 UYC458801:UYC458814 VHY458801:VHY458814 VRU458801:VRU458814 WBQ458801:WBQ458814 WLM458801:WLM458814 WVI458801:WVI458814 C524337:C524350 IW524337:IW524350 SS524337:SS524350 ACO524337:ACO524350 AMK524337:AMK524350 AWG524337:AWG524350 BGC524337:BGC524350 BPY524337:BPY524350 BZU524337:BZU524350 CJQ524337:CJQ524350 CTM524337:CTM524350 DDI524337:DDI524350 DNE524337:DNE524350 DXA524337:DXA524350 EGW524337:EGW524350 EQS524337:EQS524350 FAO524337:FAO524350 FKK524337:FKK524350 FUG524337:FUG524350 GEC524337:GEC524350 GNY524337:GNY524350 GXU524337:GXU524350 HHQ524337:HHQ524350 HRM524337:HRM524350 IBI524337:IBI524350 ILE524337:ILE524350 IVA524337:IVA524350 JEW524337:JEW524350 JOS524337:JOS524350 JYO524337:JYO524350 KIK524337:KIK524350 KSG524337:KSG524350 LCC524337:LCC524350 LLY524337:LLY524350 LVU524337:LVU524350 MFQ524337:MFQ524350 MPM524337:MPM524350 MZI524337:MZI524350 NJE524337:NJE524350 NTA524337:NTA524350 OCW524337:OCW524350 OMS524337:OMS524350 OWO524337:OWO524350 PGK524337:PGK524350 PQG524337:PQG524350 QAC524337:QAC524350 QJY524337:QJY524350 QTU524337:QTU524350 RDQ524337:RDQ524350 RNM524337:RNM524350 RXI524337:RXI524350 SHE524337:SHE524350 SRA524337:SRA524350 TAW524337:TAW524350 TKS524337:TKS524350 TUO524337:TUO524350 UEK524337:UEK524350 UOG524337:UOG524350 UYC524337:UYC524350 VHY524337:VHY524350 VRU524337:VRU524350 WBQ524337:WBQ524350 WLM524337:WLM524350 WVI524337:WVI524350 C589873:C589886 IW589873:IW589886 SS589873:SS589886 ACO589873:ACO589886 AMK589873:AMK589886 AWG589873:AWG589886 BGC589873:BGC589886 BPY589873:BPY589886 BZU589873:BZU589886 CJQ589873:CJQ589886 CTM589873:CTM589886 DDI589873:DDI589886 DNE589873:DNE589886 DXA589873:DXA589886 EGW589873:EGW589886 EQS589873:EQS589886 FAO589873:FAO589886 FKK589873:FKK589886 FUG589873:FUG589886 GEC589873:GEC589886 GNY589873:GNY589886 GXU589873:GXU589886 HHQ589873:HHQ589886 HRM589873:HRM589886 IBI589873:IBI589886 ILE589873:ILE589886 IVA589873:IVA589886 JEW589873:JEW589886 JOS589873:JOS589886 JYO589873:JYO589886 KIK589873:KIK589886 KSG589873:KSG589886 LCC589873:LCC589886 LLY589873:LLY589886 LVU589873:LVU589886 MFQ589873:MFQ589886 MPM589873:MPM589886 MZI589873:MZI589886 NJE589873:NJE589886 NTA589873:NTA589886 OCW589873:OCW589886 OMS589873:OMS589886 OWO589873:OWO589886 PGK589873:PGK589886 PQG589873:PQG589886 QAC589873:QAC589886 QJY589873:QJY589886 QTU589873:QTU589886 RDQ589873:RDQ589886 RNM589873:RNM589886 RXI589873:RXI589886 SHE589873:SHE589886 SRA589873:SRA589886 TAW589873:TAW589886 TKS589873:TKS589886 TUO589873:TUO589886 UEK589873:UEK589886 UOG589873:UOG589886 UYC589873:UYC589886 VHY589873:VHY589886 VRU589873:VRU589886 WBQ589873:WBQ589886 WLM589873:WLM589886 WVI589873:WVI589886 C655409:C655422 IW655409:IW655422 SS655409:SS655422 ACO655409:ACO655422 AMK655409:AMK655422 AWG655409:AWG655422 BGC655409:BGC655422 BPY655409:BPY655422 BZU655409:BZU655422 CJQ655409:CJQ655422 CTM655409:CTM655422 DDI655409:DDI655422 DNE655409:DNE655422 DXA655409:DXA655422 EGW655409:EGW655422 EQS655409:EQS655422 FAO655409:FAO655422 FKK655409:FKK655422 FUG655409:FUG655422 GEC655409:GEC655422 GNY655409:GNY655422 GXU655409:GXU655422 HHQ655409:HHQ655422 HRM655409:HRM655422 IBI655409:IBI655422 ILE655409:ILE655422 IVA655409:IVA655422 JEW655409:JEW655422 JOS655409:JOS655422 JYO655409:JYO655422 KIK655409:KIK655422 KSG655409:KSG655422 LCC655409:LCC655422 LLY655409:LLY655422 LVU655409:LVU655422 MFQ655409:MFQ655422 MPM655409:MPM655422 MZI655409:MZI655422 NJE655409:NJE655422 NTA655409:NTA655422 OCW655409:OCW655422 OMS655409:OMS655422 OWO655409:OWO655422 PGK655409:PGK655422 PQG655409:PQG655422 QAC655409:QAC655422 QJY655409:QJY655422 QTU655409:QTU655422 RDQ655409:RDQ655422 RNM655409:RNM655422 RXI655409:RXI655422 SHE655409:SHE655422 SRA655409:SRA655422 TAW655409:TAW655422 TKS655409:TKS655422 TUO655409:TUO655422 UEK655409:UEK655422 UOG655409:UOG655422 UYC655409:UYC655422 VHY655409:VHY655422 VRU655409:VRU655422 WBQ655409:WBQ655422 WLM655409:WLM655422 WVI655409:WVI655422 C720945:C720958 IW720945:IW720958 SS720945:SS720958 ACO720945:ACO720958 AMK720945:AMK720958 AWG720945:AWG720958 BGC720945:BGC720958 BPY720945:BPY720958 BZU720945:BZU720958 CJQ720945:CJQ720958 CTM720945:CTM720958 DDI720945:DDI720958 DNE720945:DNE720958 DXA720945:DXA720958 EGW720945:EGW720958 EQS720945:EQS720958 FAO720945:FAO720958 FKK720945:FKK720958 FUG720945:FUG720958 GEC720945:GEC720958 GNY720945:GNY720958 GXU720945:GXU720958 HHQ720945:HHQ720958 HRM720945:HRM720958 IBI720945:IBI720958 ILE720945:ILE720958 IVA720945:IVA720958 JEW720945:JEW720958 JOS720945:JOS720958 JYO720945:JYO720958 KIK720945:KIK720958 KSG720945:KSG720958 LCC720945:LCC720958 LLY720945:LLY720958 LVU720945:LVU720958 MFQ720945:MFQ720958 MPM720945:MPM720958 MZI720945:MZI720958 NJE720945:NJE720958 NTA720945:NTA720958 OCW720945:OCW720958 OMS720945:OMS720958 OWO720945:OWO720958 PGK720945:PGK720958 PQG720945:PQG720958 QAC720945:QAC720958 QJY720945:QJY720958 QTU720945:QTU720958 RDQ720945:RDQ720958 RNM720945:RNM720958 RXI720945:RXI720958 SHE720945:SHE720958 SRA720945:SRA720958 TAW720945:TAW720958 TKS720945:TKS720958 TUO720945:TUO720958 UEK720945:UEK720958 UOG720945:UOG720958 UYC720945:UYC720958 VHY720945:VHY720958 VRU720945:VRU720958 WBQ720945:WBQ720958 WLM720945:WLM720958 WVI720945:WVI720958 C786481:C786494 IW786481:IW786494 SS786481:SS786494 ACO786481:ACO786494 AMK786481:AMK786494 AWG786481:AWG786494 BGC786481:BGC786494 BPY786481:BPY786494 BZU786481:BZU786494 CJQ786481:CJQ786494 CTM786481:CTM786494 DDI786481:DDI786494 DNE786481:DNE786494 DXA786481:DXA786494 EGW786481:EGW786494 EQS786481:EQS786494 FAO786481:FAO786494 FKK786481:FKK786494 FUG786481:FUG786494 GEC786481:GEC786494 GNY786481:GNY786494 GXU786481:GXU786494 HHQ786481:HHQ786494 HRM786481:HRM786494 IBI786481:IBI786494 ILE786481:ILE786494 IVA786481:IVA786494 JEW786481:JEW786494 JOS786481:JOS786494 JYO786481:JYO786494 KIK786481:KIK786494 KSG786481:KSG786494 LCC786481:LCC786494 LLY786481:LLY786494 LVU786481:LVU786494 MFQ786481:MFQ786494 MPM786481:MPM786494 MZI786481:MZI786494 NJE786481:NJE786494 NTA786481:NTA786494 OCW786481:OCW786494 OMS786481:OMS786494 OWO786481:OWO786494 PGK786481:PGK786494 PQG786481:PQG786494 QAC786481:QAC786494 QJY786481:QJY786494 QTU786481:QTU786494 RDQ786481:RDQ786494 RNM786481:RNM786494 RXI786481:RXI786494 SHE786481:SHE786494 SRA786481:SRA786494 TAW786481:TAW786494 TKS786481:TKS786494 TUO786481:TUO786494 UEK786481:UEK786494 UOG786481:UOG786494 UYC786481:UYC786494 VHY786481:VHY786494 VRU786481:VRU786494 WBQ786481:WBQ786494 WLM786481:WLM786494 WVI786481:WVI786494 C852017:C852030 IW852017:IW852030 SS852017:SS852030 ACO852017:ACO852030 AMK852017:AMK852030 AWG852017:AWG852030 BGC852017:BGC852030 BPY852017:BPY852030 BZU852017:BZU852030 CJQ852017:CJQ852030 CTM852017:CTM852030 DDI852017:DDI852030 DNE852017:DNE852030 DXA852017:DXA852030 EGW852017:EGW852030 EQS852017:EQS852030 FAO852017:FAO852030 FKK852017:FKK852030 FUG852017:FUG852030 GEC852017:GEC852030 GNY852017:GNY852030 GXU852017:GXU852030 HHQ852017:HHQ852030 HRM852017:HRM852030 IBI852017:IBI852030 ILE852017:ILE852030 IVA852017:IVA852030 JEW852017:JEW852030 JOS852017:JOS852030 JYO852017:JYO852030 KIK852017:KIK852030 KSG852017:KSG852030 LCC852017:LCC852030 LLY852017:LLY852030 LVU852017:LVU852030 MFQ852017:MFQ852030 MPM852017:MPM852030 MZI852017:MZI852030 NJE852017:NJE852030 NTA852017:NTA852030 OCW852017:OCW852030 OMS852017:OMS852030 OWO852017:OWO852030 PGK852017:PGK852030 PQG852017:PQG852030 QAC852017:QAC852030 QJY852017:QJY852030 QTU852017:QTU852030 RDQ852017:RDQ852030 RNM852017:RNM852030 RXI852017:RXI852030 SHE852017:SHE852030 SRA852017:SRA852030 TAW852017:TAW852030 TKS852017:TKS852030 TUO852017:TUO852030 UEK852017:UEK852030 UOG852017:UOG852030 UYC852017:UYC852030 VHY852017:VHY852030 VRU852017:VRU852030 WBQ852017:WBQ852030 WLM852017:WLM852030 WVI852017:WVI852030 C917553:C917566 IW917553:IW917566 SS917553:SS917566 ACO917553:ACO917566 AMK917553:AMK917566 AWG917553:AWG917566 BGC917553:BGC917566 BPY917553:BPY917566 BZU917553:BZU917566 CJQ917553:CJQ917566 CTM917553:CTM917566 DDI917553:DDI917566 DNE917553:DNE917566 DXA917553:DXA917566 EGW917553:EGW917566 EQS917553:EQS917566 FAO917553:FAO917566 FKK917553:FKK917566 FUG917553:FUG917566 GEC917553:GEC917566 GNY917553:GNY917566 GXU917553:GXU917566 HHQ917553:HHQ917566 HRM917553:HRM917566 IBI917553:IBI917566 ILE917553:ILE917566 IVA917553:IVA917566 JEW917553:JEW917566 JOS917553:JOS917566 JYO917553:JYO917566 KIK917553:KIK917566 KSG917553:KSG917566 LCC917553:LCC917566 LLY917553:LLY917566 LVU917553:LVU917566 MFQ917553:MFQ917566 MPM917553:MPM917566 MZI917553:MZI917566 NJE917553:NJE917566 NTA917553:NTA917566 OCW917553:OCW917566 OMS917553:OMS917566 OWO917553:OWO917566 PGK917553:PGK917566 PQG917553:PQG917566 QAC917553:QAC917566 QJY917553:QJY917566 QTU917553:QTU917566 RDQ917553:RDQ917566 RNM917553:RNM917566 RXI917553:RXI917566 SHE917553:SHE917566 SRA917553:SRA917566 TAW917553:TAW917566 TKS917553:TKS917566 TUO917553:TUO917566 UEK917553:UEK917566 UOG917553:UOG917566 UYC917553:UYC917566 VHY917553:VHY917566 VRU917553:VRU917566 WBQ917553:WBQ917566 WLM917553:WLM917566 WVI917553:WVI917566 C983089:C983102 IW983089:IW983102 SS983089:SS983102 ACO983089:ACO983102 AMK983089:AMK983102 AWG983089:AWG983102 BGC983089:BGC983102 BPY983089:BPY983102 BZU983089:BZU983102 CJQ983089:CJQ983102 CTM983089:CTM983102 DDI983089:DDI983102 DNE983089:DNE983102 DXA983089:DXA983102 EGW983089:EGW983102 EQS983089:EQS983102 FAO983089:FAO983102 FKK983089:FKK983102 FUG983089:FUG983102 GEC983089:GEC983102 GNY983089:GNY983102 GXU983089:GXU983102 HHQ983089:HHQ983102 HRM983089:HRM983102 IBI983089:IBI983102 ILE983089:ILE983102 IVA983089:IVA983102 JEW983089:JEW983102 JOS983089:JOS983102 JYO983089:JYO983102 KIK983089:KIK983102 KSG983089:KSG983102 LCC983089:LCC983102 LLY983089:LLY983102 LVU983089:LVU983102 MFQ983089:MFQ983102 MPM983089:MPM983102 MZI983089:MZI983102 NJE983089:NJE983102 NTA983089:NTA983102 OCW983089:OCW983102 OMS983089:OMS983102 OWO983089:OWO983102 PGK983089:PGK983102 PQG983089:PQG983102 QAC983089:QAC983102 QJY983089:QJY983102 QTU983089:QTU983102 RDQ983089:RDQ983102 RNM983089:RNM983102 RXI983089:RXI983102 SHE983089:SHE983102 SRA983089:SRA983102 TAW983089:TAW983102 TKS983089:TKS983102 TUO983089:TUO983102 UEK983089:UEK983102 UOG983089:UOG983102 UYC983089:UYC983102 VHY983089:VHY983102 VRU983089:VRU983102 WBQ983089:WBQ983102 WLM983089:WLM983102 WVI983089:WVI983102 C155 IW155 SS155 ACO155 AMK155 AWG155 BGC155 BPY155 BZU155 CJQ155 CTM155 DDI155 DNE155 DXA155 EGW155 EQS155 FAO155 FKK155 FUG155 GEC155 GNY155 GXU155 HHQ155 HRM155 IBI155 ILE155 IVA155 JEW155 JOS155 JYO155 KIK155 KSG155 LCC155 LLY155 LVU155 MFQ155 MPM155 MZI155 NJE155 NTA155 OCW155 OMS155 OWO155 PGK155 PQG155 QAC155 QJY155 QTU155 RDQ155 RNM155 RXI155 SHE155 SRA155 TAW155 TKS155 TUO155 UEK155 UOG155 UYC155 VHY155 VRU155 WBQ155 WLM155 WVI155 C65691 IW65691 SS65691 ACO65691 AMK65691 AWG65691 BGC65691 BPY65691 BZU65691 CJQ65691 CTM65691 DDI65691 DNE65691 DXA65691 EGW65691 EQS65691 FAO65691 FKK65691 FUG65691 GEC65691 GNY65691 GXU65691 HHQ65691 HRM65691 IBI65691 ILE65691 IVA65691 JEW65691 JOS65691 JYO65691 KIK65691 KSG65691 LCC65691 LLY65691 LVU65691 MFQ65691 MPM65691 MZI65691 NJE65691 NTA65691 OCW65691 OMS65691 OWO65691 PGK65691 PQG65691 QAC65691 QJY65691 QTU65691 RDQ65691 RNM65691 RXI65691 SHE65691 SRA65691 TAW65691 TKS65691 TUO65691 UEK65691 UOG65691 UYC65691 VHY65691 VRU65691 WBQ65691 WLM65691 WVI65691 C131227 IW131227 SS131227 ACO131227 AMK131227 AWG131227 BGC131227 BPY131227 BZU131227 CJQ131227 CTM131227 DDI131227 DNE131227 DXA131227 EGW131227 EQS131227 FAO131227 FKK131227 FUG131227 GEC131227 GNY131227 GXU131227 HHQ131227 HRM131227 IBI131227 ILE131227 IVA131227 JEW131227 JOS131227 JYO131227 KIK131227 KSG131227 LCC131227 LLY131227 LVU131227 MFQ131227 MPM131227 MZI131227 NJE131227 NTA131227 OCW131227 OMS131227 OWO131227 PGK131227 PQG131227 QAC131227 QJY131227 QTU131227 RDQ131227 RNM131227 RXI131227 SHE131227 SRA131227 TAW131227 TKS131227 TUO131227 UEK131227 UOG131227 UYC131227 VHY131227 VRU131227 WBQ131227 WLM131227 WVI131227 C196763 IW196763 SS196763 ACO196763 AMK196763 AWG196763 BGC196763 BPY196763 BZU196763 CJQ196763 CTM196763 DDI196763 DNE196763 DXA196763 EGW196763 EQS196763 FAO196763 FKK196763 FUG196763 GEC196763 GNY196763 GXU196763 HHQ196763 HRM196763 IBI196763 ILE196763 IVA196763 JEW196763 JOS196763 JYO196763 KIK196763 KSG196763 LCC196763 LLY196763 LVU196763 MFQ196763 MPM196763 MZI196763 NJE196763 NTA196763 OCW196763 OMS196763 OWO196763 PGK196763 PQG196763 QAC196763 QJY196763 QTU196763 RDQ196763 RNM196763 RXI196763 SHE196763 SRA196763 TAW196763 TKS196763 TUO196763 UEK196763 UOG196763 UYC196763 VHY196763 VRU196763 WBQ196763 WLM196763 WVI196763 C262299 IW262299 SS262299 ACO262299 AMK262299 AWG262299 BGC262299 BPY262299 BZU262299 CJQ262299 CTM262299 DDI262299 DNE262299 DXA262299 EGW262299 EQS262299 FAO262299 FKK262299 FUG262299 GEC262299 GNY262299 GXU262299 HHQ262299 HRM262299 IBI262299 ILE262299 IVA262299 JEW262299 JOS262299 JYO262299 KIK262299 KSG262299 LCC262299 LLY262299 LVU262299 MFQ262299 MPM262299 MZI262299 NJE262299 NTA262299 OCW262299 OMS262299 OWO262299 PGK262299 PQG262299 QAC262299 QJY262299 QTU262299 RDQ262299 RNM262299 RXI262299 SHE262299 SRA262299 TAW262299 TKS262299 TUO262299 UEK262299 UOG262299 UYC262299 VHY262299 VRU262299 WBQ262299 WLM262299 WVI262299 C327835 IW327835 SS327835 ACO327835 AMK327835 AWG327835 BGC327835 BPY327835 BZU327835 CJQ327835 CTM327835 DDI327835 DNE327835 DXA327835 EGW327835 EQS327835 FAO327835 FKK327835 FUG327835 GEC327835 GNY327835 GXU327835 HHQ327835 HRM327835 IBI327835 ILE327835 IVA327835 JEW327835 JOS327835 JYO327835 KIK327835 KSG327835 LCC327835 LLY327835 LVU327835 MFQ327835 MPM327835 MZI327835 NJE327835 NTA327835 OCW327835 OMS327835 OWO327835 PGK327835 PQG327835 QAC327835 QJY327835 QTU327835 RDQ327835 RNM327835 RXI327835 SHE327835 SRA327835 TAW327835 TKS327835 TUO327835 UEK327835 UOG327835 UYC327835 VHY327835 VRU327835 WBQ327835 WLM327835 WVI327835 C393371 IW393371 SS393371 ACO393371 AMK393371 AWG393371 BGC393371 BPY393371 BZU393371 CJQ393371 CTM393371 DDI393371 DNE393371 DXA393371 EGW393371 EQS393371 FAO393371 FKK393371 FUG393371 GEC393371 GNY393371 GXU393371 HHQ393371 HRM393371 IBI393371 ILE393371 IVA393371 JEW393371 JOS393371 JYO393371 KIK393371 KSG393371 LCC393371 LLY393371 LVU393371 MFQ393371 MPM393371 MZI393371 NJE393371 NTA393371 OCW393371 OMS393371 OWO393371 PGK393371 PQG393371 QAC393371 QJY393371 QTU393371 RDQ393371 RNM393371 RXI393371 SHE393371 SRA393371 TAW393371 TKS393371 TUO393371 UEK393371 UOG393371 UYC393371 VHY393371 VRU393371 WBQ393371 WLM393371 WVI393371 C458907 IW458907 SS458907 ACO458907 AMK458907 AWG458907 BGC458907 BPY458907 BZU458907 CJQ458907 CTM458907 DDI458907 DNE458907 DXA458907 EGW458907 EQS458907 FAO458907 FKK458907 FUG458907 GEC458907 GNY458907 GXU458907 HHQ458907 HRM458907 IBI458907 ILE458907 IVA458907 JEW458907 JOS458907 JYO458907 KIK458907 KSG458907 LCC458907 LLY458907 LVU458907 MFQ458907 MPM458907 MZI458907 NJE458907 NTA458907 OCW458907 OMS458907 OWO458907 PGK458907 PQG458907 QAC458907 QJY458907 QTU458907 RDQ458907 RNM458907 RXI458907 SHE458907 SRA458907 TAW458907 TKS458907 TUO458907 UEK458907 UOG458907 UYC458907 VHY458907 VRU458907 WBQ458907 WLM458907 WVI458907 C524443 IW524443 SS524443 ACO524443 AMK524443 AWG524443 BGC524443 BPY524443 BZU524443 CJQ524443 CTM524443 DDI524443 DNE524443 DXA524443 EGW524443 EQS524443 FAO524443 FKK524443 FUG524443 GEC524443 GNY524443 GXU524443 HHQ524443 HRM524443 IBI524443 ILE524443 IVA524443 JEW524443 JOS524443 JYO524443 KIK524443 KSG524443 LCC524443 LLY524443 LVU524443 MFQ524443 MPM524443 MZI524443 NJE524443 NTA524443 OCW524443 OMS524443 OWO524443 PGK524443 PQG524443 QAC524443 QJY524443 QTU524443 RDQ524443 RNM524443 RXI524443 SHE524443 SRA524443 TAW524443 TKS524443 TUO524443 UEK524443 UOG524443 UYC524443 VHY524443 VRU524443 WBQ524443 WLM524443 WVI524443 C589979 IW589979 SS589979 ACO589979 AMK589979 AWG589979 BGC589979 BPY589979 BZU589979 CJQ589979 CTM589979 DDI589979 DNE589979 DXA589979 EGW589979 EQS589979 FAO589979 FKK589979 FUG589979 GEC589979 GNY589979 GXU589979 HHQ589979 HRM589979 IBI589979 ILE589979 IVA589979 JEW589979 JOS589979 JYO589979 KIK589979 KSG589979 LCC589979 LLY589979 LVU589979 MFQ589979 MPM589979 MZI589979 NJE589979 NTA589979 OCW589979 OMS589979 OWO589979 PGK589979 PQG589979 QAC589979 QJY589979 QTU589979 RDQ589979 RNM589979 RXI589979 SHE589979 SRA589979 TAW589979 TKS589979 TUO589979 UEK589979 UOG589979 UYC589979 VHY589979 VRU589979 WBQ589979 WLM589979 WVI589979 C655515 IW655515 SS655515 ACO655515 AMK655515 AWG655515 BGC655515 BPY655515 BZU655515 CJQ655515 CTM655515 DDI655515 DNE655515 DXA655515 EGW655515 EQS655515 FAO655515 FKK655515 FUG655515 GEC655515 GNY655515 GXU655515 HHQ655515 HRM655515 IBI655515 ILE655515 IVA655515 JEW655515 JOS655515 JYO655515 KIK655515 KSG655515 LCC655515 LLY655515 LVU655515 MFQ655515 MPM655515 MZI655515 NJE655515 NTA655515 OCW655515 OMS655515 OWO655515 PGK655515 PQG655515 QAC655515 QJY655515 QTU655515 RDQ655515 RNM655515 RXI655515 SHE655515 SRA655515 TAW655515 TKS655515 TUO655515 UEK655515 UOG655515 UYC655515 VHY655515 VRU655515 WBQ655515 WLM655515 WVI655515 C721051 IW721051 SS721051 ACO721051 AMK721051 AWG721051 BGC721051 BPY721051 BZU721051 CJQ721051 CTM721051 DDI721051 DNE721051 DXA721051 EGW721051 EQS721051 FAO721051 FKK721051 FUG721051 GEC721051 GNY721051 GXU721051 HHQ721051 HRM721051 IBI721051 ILE721051 IVA721051 JEW721051 JOS721051 JYO721051 KIK721051 KSG721051 LCC721051 LLY721051 LVU721051 MFQ721051 MPM721051 MZI721051 NJE721051 NTA721051 OCW721051 OMS721051 OWO721051 PGK721051 PQG721051 QAC721051 QJY721051 QTU721051 RDQ721051 RNM721051 RXI721051 SHE721051 SRA721051 TAW721051 TKS721051 TUO721051 UEK721051 UOG721051 UYC721051 VHY721051 VRU721051 WBQ721051 WLM721051 WVI721051 C786587 IW786587 SS786587 ACO786587 AMK786587 AWG786587 BGC786587 BPY786587 BZU786587 CJQ786587 CTM786587 DDI786587 DNE786587 DXA786587 EGW786587 EQS786587 FAO786587 FKK786587 FUG786587 GEC786587 GNY786587 GXU786587 HHQ786587 HRM786587 IBI786587 ILE786587 IVA786587 JEW786587 JOS786587 JYO786587 KIK786587 KSG786587 LCC786587 LLY786587 LVU786587 MFQ786587 MPM786587 MZI786587 NJE786587 NTA786587 OCW786587 OMS786587 OWO786587 PGK786587 PQG786587 QAC786587 QJY786587 QTU786587 RDQ786587 RNM786587 RXI786587 SHE786587 SRA786587 TAW786587 TKS786587 TUO786587 UEK786587 UOG786587 UYC786587 VHY786587 VRU786587 WBQ786587 WLM786587 WVI786587 C852123 IW852123 SS852123 ACO852123 AMK852123 AWG852123 BGC852123 BPY852123 BZU852123 CJQ852123 CTM852123 DDI852123 DNE852123 DXA852123 EGW852123 EQS852123 FAO852123 FKK852123 FUG852123 GEC852123 GNY852123 GXU852123 HHQ852123 HRM852123 IBI852123 ILE852123 IVA852123 JEW852123 JOS852123 JYO852123 KIK852123 KSG852123 LCC852123 LLY852123 LVU852123 MFQ852123 MPM852123 MZI852123 NJE852123 NTA852123 OCW852123 OMS852123 OWO852123 PGK852123 PQG852123 QAC852123 QJY852123 QTU852123 RDQ852123 RNM852123 RXI852123 SHE852123 SRA852123 TAW852123 TKS852123 TUO852123 UEK852123 UOG852123 UYC852123 VHY852123 VRU852123 WBQ852123 WLM852123 WVI852123 C917659 IW917659 SS917659 ACO917659 AMK917659 AWG917659 BGC917659 BPY917659 BZU917659 CJQ917659 CTM917659 DDI917659 DNE917659 DXA917659 EGW917659 EQS917659 FAO917659 FKK917659 FUG917659 GEC917659 GNY917659 GXU917659 HHQ917659 HRM917659 IBI917659 ILE917659 IVA917659 JEW917659 JOS917659 JYO917659 KIK917659 KSG917659 LCC917659 LLY917659 LVU917659 MFQ917659 MPM917659 MZI917659 NJE917659 NTA917659 OCW917659 OMS917659 OWO917659 PGK917659 PQG917659 QAC917659 QJY917659 QTU917659 RDQ917659 RNM917659 RXI917659 SHE917659 SRA917659 TAW917659 TKS917659 TUO917659 UEK917659 UOG917659 UYC917659 VHY917659 VRU917659 WBQ917659 WLM917659 WVI917659 C983195 IW983195 SS983195 ACO983195 AMK983195 AWG983195 BGC983195 BPY983195 BZU983195 CJQ983195 CTM983195 DDI983195 DNE983195 DXA983195 EGW983195 EQS983195 FAO983195 FKK983195 FUG983195 GEC983195 GNY983195 GXU983195 HHQ983195 HRM983195 IBI983195 ILE983195 IVA983195 JEW983195 JOS983195 JYO983195 KIK983195 KSG983195 LCC983195 LLY983195 LVU983195 MFQ983195 MPM983195 MZI983195 NJE983195 NTA983195 OCW983195 OMS983195 OWO983195 PGK983195 PQG983195 QAC983195 QJY983195 QTU983195 RDQ983195 RNM983195 RXI983195 SHE983195 SRA983195 TAW983195 TKS983195 TUO983195 UEK983195 UOG983195 UYC983195 VHY983195 VRU983195 WBQ983195 WLM983195 WVI983195 F109 JA109 SW109 ACS109 AMO109 AWK109 BGG109 BQC109 BZY109 CJU109 CTQ109 DDM109 DNI109 DXE109 EHA109 EQW109 FAS109 FKO109 FUK109 GEG109 GOC109 GXY109 HHU109 HRQ109 IBM109 ILI109 IVE109 JFA109 JOW109 JYS109 KIO109 KSK109 LCG109 LMC109 LVY109 MFU109 MPQ109 MZM109 NJI109 NTE109 ODA109 OMW109 OWS109 PGO109 PQK109 QAG109 QKC109 QTY109 RDU109 RNQ109 RXM109 SHI109 SRE109 TBA109 TKW109 TUS109 UEO109 UOK109 UYG109 VIC109 VRY109 WBU109 WLQ109 WVM109 F65645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F131181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F196717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F262253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F327789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F393325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F458861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F524397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F589933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F655469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F721005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F786541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F852077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F917613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F983149 JA983149 SW983149 ACS983149 AMO983149 AWK983149 BGG983149 BQC983149 BZY983149 CJU983149 CTQ983149 DDM983149 DNI983149 DXE983149 EHA983149 EQW983149 FAS983149 FKO983149 FUK983149 GEG983149 GOC983149 GXY983149 HHU983149 HRQ983149 IBM983149 ILI983149 IVE983149 JFA983149 JOW983149 JYS983149 KIO983149 KSK983149 LCG983149 LMC983149 LVY983149 MFU983149 MPQ983149 MZM983149 NJI983149 NTE983149 ODA983149 OMW983149 OWS983149 PGO983149 PQK983149 QAG983149 QKC983149 QTY983149 RDU983149 RNQ983149 RXM983149 SHI983149 SRE983149 TBA983149 TKW983149 TUS983149 UEO983149 UOK983149 UYG983149 VIC983149 VRY983149 WBU983149 WLQ983149 WVM983149</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26"/>
  <sheetViews>
    <sheetView showGridLines="0" workbookViewId="0">
      <selection activeCell="F4" sqref="F4"/>
    </sheetView>
  </sheetViews>
  <sheetFormatPr baseColWidth="10" defaultColWidth="0" defaultRowHeight="15" zeroHeight="1" x14ac:dyDescent="0.25"/>
  <cols>
    <col min="1" max="1" width="3.7109375" style="1" customWidth="1"/>
    <col min="2" max="2" width="14.28515625" style="7" hidden="1" customWidth="1"/>
    <col min="3" max="3" width="58.42578125" style="58" customWidth="1"/>
    <col min="4" max="4" width="25.140625" style="58" customWidth="1"/>
    <col min="5" max="5" width="5.85546875" style="82" customWidth="1"/>
    <col min="6" max="6" width="57.28515625" style="58" customWidth="1"/>
    <col min="7" max="7" width="24.7109375" style="58" customWidth="1"/>
    <col min="8" max="8" width="5.42578125" style="5" customWidth="1"/>
    <col min="9" max="16384" width="0" style="5" hidden="1"/>
  </cols>
  <sheetData>
    <row r="1" spans="1:9" ht="15.75" x14ac:dyDescent="0.25">
      <c r="B1" s="2"/>
      <c r="C1" s="313" t="s">
        <v>0</v>
      </c>
      <c r="D1" s="314"/>
      <c r="E1" s="315" t="str">
        <f>[12]Presentacion!C2</f>
        <v>CAAMEPA</v>
      </c>
      <c r="F1" s="315"/>
      <c r="G1" s="3"/>
      <c r="H1" s="4"/>
    </row>
    <row r="2" spans="1:9" ht="15.75" x14ac:dyDescent="0.25">
      <c r="B2" s="6"/>
      <c r="C2" s="313" t="s">
        <v>1</v>
      </c>
      <c r="D2" s="314"/>
      <c r="E2" s="315" t="str">
        <f>[12]Presentacion!C3</f>
        <v>Canelones</v>
      </c>
      <c r="F2" s="315"/>
      <c r="G2" s="3"/>
      <c r="H2" s="4"/>
    </row>
    <row r="3" spans="1:9" ht="15.75" x14ac:dyDescent="0.25">
      <c r="B3" s="6"/>
      <c r="C3" s="313" t="s">
        <v>2</v>
      </c>
      <c r="D3" s="316"/>
      <c r="E3" s="317" t="s">
        <v>3</v>
      </c>
      <c r="F3" s="317"/>
      <c r="G3" s="3"/>
      <c r="H3" s="4"/>
    </row>
    <row r="4" spans="1:9" ht="15.75" thickBot="1" x14ac:dyDescent="0.3">
      <c r="C4" s="287"/>
      <c r="D4" s="8"/>
      <c r="E4" s="9"/>
      <c r="F4" s="10"/>
      <c r="G4" s="11"/>
    </row>
    <row r="5" spans="1:9" ht="16.5" thickBot="1" x14ac:dyDescent="0.3">
      <c r="B5" s="12"/>
      <c r="C5" s="13" t="s">
        <v>4</v>
      </c>
      <c r="D5" s="284" t="s">
        <v>5</v>
      </c>
      <c r="E5" s="14"/>
      <c r="F5" s="13" t="s">
        <v>6</v>
      </c>
      <c r="G5" s="284" t="s">
        <v>5</v>
      </c>
      <c r="I5" s="15"/>
    </row>
    <row r="6" spans="1:9" ht="16.5" thickBot="1" x14ac:dyDescent="0.3">
      <c r="B6" s="12"/>
      <c r="C6" s="16" t="s">
        <v>7</v>
      </c>
      <c r="D6" s="290">
        <f>+[12]E.S.P.!D6</f>
        <v>2020</v>
      </c>
      <c r="E6" s="18"/>
      <c r="F6" s="16" t="s">
        <v>8</v>
      </c>
      <c r="G6" s="290">
        <f>+D6</f>
        <v>2020</v>
      </c>
      <c r="H6" s="15"/>
    </row>
    <row r="7" spans="1:9" x14ac:dyDescent="0.25">
      <c r="B7" s="6" t="s">
        <v>9</v>
      </c>
      <c r="C7" s="19" t="s">
        <v>10</v>
      </c>
      <c r="D7" s="20">
        <v>24237468</v>
      </c>
      <c r="E7" s="21" t="s">
        <v>11</v>
      </c>
      <c r="F7" s="22" t="s">
        <v>12</v>
      </c>
      <c r="G7" s="23">
        <v>12683859</v>
      </c>
    </row>
    <row r="8" spans="1:9" x14ac:dyDescent="0.25">
      <c r="B8" s="6" t="s">
        <v>13</v>
      </c>
      <c r="C8" s="19" t="s">
        <v>14</v>
      </c>
      <c r="D8" s="20">
        <v>56464800</v>
      </c>
      <c r="E8" s="21" t="s">
        <v>15</v>
      </c>
      <c r="F8" s="19" t="s">
        <v>16</v>
      </c>
      <c r="G8" s="24"/>
    </row>
    <row r="9" spans="1:9" x14ac:dyDescent="0.25">
      <c r="B9" s="6" t="s">
        <v>17</v>
      </c>
      <c r="C9" s="19" t="s">
        <v>18</v>
      </c>
      <c r="D9" s="20">
        <v>1027169019</v>
      </c>
      <c r="E9" s="21" t="s">
        <v>19</v>
      </c>
      <c r="F9" s="19" t="s">
        <v>20</v>
      </c>
      <c r="G9" s="20"/>
    </row>
    <row r="10" spans="1:9" x14ac:dyDescent="0.25">
      <c r="B10" s="6" t="s">
        <v>21</v>
      </c>
      <c r="C10" s="19" t="s">
        <v>22</v>
      </c>
      <c r="D10" s="20">
        <v>105467907</v>
      </c>
      <c r="E10" s="21" t="s">
        <v>23</v>
      </c>
      <c r="F10" s="19" t="s">
        <v>24</v>
      </c>
      <c r="G10" s="20">
        <v>386508858</v>
      </c>
    </row>
    <row r="11" spans="1:9" x14ac:dyDescent="0.25">
      <c r="B11" s="6" t="s">
        <v>25</v>
      </c>
      <c r="C11" s="19" t="s">
        <v>26</v>
      </c>
      <c r="D11" s="20">
        <v>6785924</v>
      </c>
      <c r="E11" s="21" t="s">
        <v>27</v>
      </c>
      <c r="F11" s="19" t="s">
        <v>28</v>
      </c>
      <c r="G11" s="20">
        <v>9288309</v>
      </c>
    </row>
    <row r="12" spans="1:9" x14ac:dyDescent="0.25">
      <c r="B12" s="6" t="s">
        <v>29</v>
      </c>
      <c r="C12" s="19" t="s">
        <v>30</v>
      </c>
      <c r="D12" s="20">
        <v>17186207</v>
      </c>
      <c r="E12" s="21" t="s">
        <v>31</v>
      </c>
      <c r="F12" s="19" t="s">
        <v>32</v>
      </c>
      <c r="G12" s="20">
        <v>20034632</v>
      </c>
    </row>
    <row r="13" spans="1:9" x14ac:dyDescent="0.25">
      <c r="B13" s="6" t="s">
        <v>33</v>
      </c>
      <c r="C13" s="19" t="s">
        <v>34</v>
      </c>
      <c r="D13" s="20">
        <v>6298141</v>
      </c>
      <c r="E13" s="21" t="s">
        <v>35</v>
      </c>
      <c r="F13" s="19" t="s">
        <v>36</v>
      </c>
      <c r="G13" s="20">
        <v>25290489</v>
      </c>
    </row>
    <row r="14" spans="1:9" x14ac:dyDescent="0.25">
      <c r="A14" s="25"/>
      <c r="B14" s="6" t="s">
        <v>37</v>
      </c>
      <c r="C14" s="19" t="s">
        <v>38</v>
      </c>
      <c r="D14" s="20"/>
      <c r="E14" s="21" t="s">
        <v>39</v>
      </c>
      <c r="F14" s="19" t="s">
        <v>40</v>
      </c>
      <c r="G14" s="20">
        <v>223634635</v>
      </c>
    </row>
    <row r="15" spans="1:9" x14ac:dyDescent="0.25">
      <c r="B15" s="6" t="s">
        <v>41</v>
      </c>
      <c r="C15" s="26" t="s">
        <v>42</v>
      </c>
      <c r="D15" s="20"/>
      <c r="E15" s="21" t="s">
        <v>43</v>
      </c>
      <c r="F15" s="19" t="s">
        <v>44</v>
      </c>
      <c r="G15" s="20">
        <v>119842664</v>
      </c>
    </row>
    <row r="16" spans="1:9" x14ac:dyDescent="0.25">
      <c r="B16" s="6" t="s">
        <v>45</v>
      </c>
      <c r="C16" s="19" t="s">
        <v>46</v>
      </c>
      <c r="D16" s="20"/>
      <c r="E16" s="21" t="s">
        <v>47</v>
      </c>
      <c r="F16" s="19" t="s">
        <v>48</v>
      </c>
      <c r="G16" s="20">
        <v>62386091</v>
      </c>
    </row>
    <row r="17" spans="1:7" x14ac:dyDescent="0.25">
      <c r="B17" s="6" t="s">
        <v>49</v>
      </c>
      <c r="C17" s="19" t="s">
        <v>50</v>
      </c>
      <c r="D17" s="20"/>
      <c r="E17" s="21" t="s">
        <v>51</v>
      </c>
      <c r="F17" s="19" t="s">
        <v>52</v>
      </c>
      <c r="G17" s="20"/>
    </row>
    <row r="18" spans="1:7" x14ac:dyDescent="0.25">
      <c r="A18" s="25"/>
      <c r="B18" s="6" t="s">
        <v>53</v>
      </c>
      <c r="C18" s="19" t="s">
        <v>54</v>
      </c>
      <c r="D18" s="20"/>
      <c r="E18" s="21" t="s">
        <v>55</v>
      </c>
      <c r="F18" s="19" t="s">
        <v>56</v>
      </c>
      <c r="G18" s="27">
        <v>40624203</v>
      </c>
    </row>
    <row r="19" spans="1:7" ht="15.75" thickBot="1" x14ac:dyDescent="0.3">
      <c r="A19" s="25"/>
      <c r="B19" s="6" t="s">
        <v>57</v>
      </c>
      <c r="C19" s="19" t="s">
        <v>58</v>
      </c>
      <c r="D19" s="20">
        <v>57948468</v>
      </c>
      <c r="E19" s="21"/>
      <c r="F19" s="28" t="s">
        <v>59</v>
      </c>
      <c r="G19" s="29">
        <f>SUM(G7:G18)</f>
        <v>900293740</v>
      </c>
    </row>
    <row r="20" spans="1:7" ht="15.75" thickBot="1" x14ac:dyDescent="0.3">
      <c r="B20" s="6"/>
      <c r="C20" s="28" t="s">
        <v>60</v>
      </c>
      <c r="D20" s="29">
        <f>SUM(D7:D19)</f>
        <v>1301557934</v>
      </c>
      <c r="E20" s="21" t="s">
        <v>61</v>
      </c>
      <c r="F20" s="22" t="s">
        <v>62</v>
      </c>
      <c r="G20" s="23">
        <v>1061227</v>
      </c>
    </row>
    <row r="21" spans="1:7" x14ac:dyDescent="0.25">
      <c r="B21" s="6"/>
      <c r="C21" s="30" t="s">
        <v>63</v>
      </c>
      <c r="D21" s="31">
        <f>SUM(D22:D28)</f>
        <v>6034057</v>
      </c>
      <c r="E21" s="21" t="s">
        <v>64</v>
      </c>
      <c r="F21" s="19" t="s">
        <v>65</v>
      </c>
      <c r="G21" s="20">
        <v>22448048</v>
      </c>
    </row>
    <row r="22" spans="1:7" x14ac:dyDescent="0.25">
      <c r="B22" s="6" t="s">
        <v>66</v>
      </c>
      <c r="C22" s="19" t="s">
        <v>67</v>
      </c>
      <c r="D22" s="20">
        <v>1646581</v>
      </c>
      <c r="E22" s="21" t="s">
        <v>68</v>
      </c>
      <c r="F22" s="19" t="s">
        <v>69</v>
      </c>
      <c r="G22" s="20">
        <v>3507764</v>
      </c>
    </row>
    <row r="23" spans="1:7" x14ac:dyDescent="0.25">
      <c r="B23" s="6" t="s">
        <v>70</v>
      </c>
      <c r="C23" s="19" t="s">
        <v>71</v>
      </c>
      <c r="D23" s="20">
        <v>357588</v>
      </c>
      <c r="E23" s="21" t="s">
        <v>72</v>
      </c>
      <c r="F23" s="19" t="s">
        <v>73</v>
      </c>
      <c r="G23" s="20">
        <v>26941763</v>
      </c>
    </row>
    <row r="24" spans="1:7" x14ac:dyDescent="0.25">
      <c r="B24" s="6" t="s">
        <v>74</v>
      </c>
      <c r="C24" s="19" t="s">
        <v>75</v>
      </c>
      <c r="D24" s="20">
        <v>3717385</v>
      </c>
      <c r="E24" s="21" t="s">
        <v>76</v>
      </c>
      <c r="F24" s="19" t="s">
        <v>77</v>
      </c>
      <c r="G24" s="20"/>
    </row>
    <row r="25" spans="1:7" x14ac:dyDescent="0.25">
      <c r="B25" s="6" t="s">
        <v>78</v>
      </c>
      <c r="C25" s="19" t="s">
        <v>79</v>
      </c>
      <c r="D25" s="20">
        <v>2837</v>
      </c>
      <c r="E25" s="21" t="s">
        <v>80</v>
      </c>
      <c r="F25" s="19" t="s">
        <v>81</v>
      </c>
      <c r="G25" s="20">
        <v>7814728</v>
      </c>
    </row>
    <row r="26" spans="1:7" x14ac:dyDescent="0.25">
      <c r="B26" s="6" t="s">
        <v>82</v>
      </c>
      <c r="C26" s="19" t="s">
        <v>83</v>
      </c>
      <c r="D26" s="20">
        <v>2276</v>
      </c>
      <c r="E26" s="21" t="s">
        <v>84</v>
      </c>
      <c r="F26" s="19" t="s">
        <v>85</v>
      </c>
      <c r="G26" s="20">
        <v>2988633</v>
      </c>
    </row>
    <row r="27" spans="1:7" ht="15.75" thickBot="1" x14ac:dyDescent="0.3">
      <c r="B27" s="6" t="s">
        <v>86</v>
      </c>
      <c r="C27" s="19" t="s">
        <v>87</v>
      </c>
      <c r="D27" s="20">
        <v>0</v>
      </c>
      <c r="E27" s="21"/>
      <c r="F27" s="28" t="s">
        <v>88</v>
      </c>
      <c r="G27" s="29">
        <f>SUM(G20:G26)</f>
        <v>64762163</v>
      </c>
    </row>
    <row r="28" spans="1:7" x14ac:dyDescent="0.25">
      <c r="B28" s="6" t="s">
        <v>89</v>
      </c>
      <c r="C28" s="19" t="s">
        <v>90</v>
      </c>
      <c r="D28" s="20">
        <v>307390</v>
      </c>
      <c r="E28" s="21" t="s">
        <v>91</v>
      </c>
      <c r="F28" s="22" t="s">
        <v>92</v>
      </c>
      <c r="G28" s="23">
        <v>50684521</v>
      </c>
    </row>
    <row r="29" spans="1:7" x14ac:dyDescent="0.25">
      <c r="B29" s="6"/>
      <c r="C29" s="32" t="s">
        <v>93</v>
      </c>
      <c r="D29" s="31">
        <f>SUM(D30:D34)</f>
        <v>128559082</v>
      </c>
      <c r="E29" s="21" t="s">
        <v>94</v>
      </c>
      <c r="F29" s="19" t="s">
        <v>95</v>
      </c>
      <c r="G29" s="20">
        <v>527077</v>
      </c>
    </row>
    <row r="30" spans="1:7" x14ac:dyDescent="0.25">
      <c r="B30" s="6" t="s">
        <v>96</v>
      </c>
      <c r="C30" s="19" t="s">
        <v>97</v>
      </c>
      <c r="D30" s="20">
        <v>102400768</v>
      </c>
      <c r="E30" s="21" t="s">
        <v>98</v>
      </c>
      <c r="F30" s="19" t="s">
        <v>99</v>
      </c>
      <c r="G30" s="20">
        <v>2083180</v>
      </c>
    </row>
    <row r="31" spans="1:7" x14ac:dyDescent="0.25">
      <c r="B31" s="6" t="s">
        <v>100</v>
      </c>
      <c r="C31" s="19" t="s">
        <v>101</v>
      </c>
      <c r="D31" s="20">
        <v>8646705</v>
      </c>
      <c r="E31" s="21" t="s">
        <v>102</v>
      </c>
      <c r="F31" s="19" t="s">
        <v>103</v>
      </c>
      <c r="G31" s="27">
        <v>2623057</v>
      </c>
    </row>
    <row r="32" spans="1:7" ht="15.75" thickBot="1" x14ac:dyDescent="0.3">
      <c r="B32" s="6" t="s">
        <v>104</v>
      </c>
      <c r="C32" s="19" t="s">
        <v>105</v>
      </c>
      <c r="D32" s="20">
        <v>8726051</v>
      </c>
      <c r="E32" s="21"/>
      <c r="F32" s="28" t="s">
        <v>106</v>
      </c>
      <c r="G32" s="29">
        <f>SUM(G28:G31)</f>
        <v>55917835</v>
      </c>
    </row>
    <row r="33" spans="2:7" x14ac:dyDescent="0.25">
      <c r="B33" s="6" t="s">
        <v>107</v>
      </c>
      <c r="C33" s="19" t="s">
        <v>108</v>
      </c>
      <c r="D33" s="20">
        <v>3066317</v>
      </c>
      <c r="E33" s="21"/>
      <c r="F33" s="32" t="s">
        <v>109</v>
      </c>
      <c r="G33" s="31">
        <f>SUM(G34:G39)</f>
        <v>74935928</v>
      </c>
    </row>
    <row r="34" spans="2:7" x14ac:dyDescent="0.25">
      <c r="B34" s="6" t="s">
        <v>110</v>
      </c>
      <c r="C34" s="19" t="s">
        <v>111</v>
      </c>
      <c r="D34" s="20">
        <v>5719241</v>
      </c>
      <c r="E34" s="21" t="s">
        <v>112</v>
      </c>
      <c r="F34" s="19" t="s">
        <v>113</v>
      </c>
      <c r="G34" s="20">
        <v>11995957</v>
      </c>
    </row>
    <row r="35" spans="2:7" ht="15.75" thickBot="1" x14ac:dyDescent="0.3">
      <c r="B35" s="6"/>
      <c r="C35" s="28" t="s">
        <v>114</v>
      </c>
      <c r="D35" s="29">
        <f>+D21+D29</f>
        <v>134593139</v>
      </c>
      <c r="E35" s="21" t="s">
        <v>115</v>
      </c>
      <c r="F35" s="19" t="s">
        <v>116</v>
      </c>
      <c r="G35" s="20">
        <v>2945388</v>
      </c>
    </row>
    <row r="36" spans="2:7" x14ac:dyDescent="0.25">
      <c r="B36" s="6" t="s">
        <v>117</v>
      </c>
      <c r="C36" s="19" t="s">
        <v>118</v>
      </c>
      <c r="D36" s="20">
        <v>5399141</v>
      </c>
      <c r="E36" s="21" t="s">
        <v>119</v>
      </c>
      <c r="F36" s="19" t="s">
        <v>120</v>
      </c>
      <c r="G36" s="20">
        <v>4903106</v>
      </c>
    </row>
    <row r="37" spans="2:7" x14ac:dyDescent="0.25">
      <c r="B37" s="6" t="s">
        <v>121</v>
      </c>
      <c r="C37" s="19" t="s">
        <v>122</v>
      </c>
      <c r="D37" s="20">
        <v>48905353</v>
      </c>
      <c r="E37" s="21" t="s">
        <v>123</v>
      </c>
      <c r="F37" s="19" t="s">
        <v>124</v>
      </c>
      <c r="G37" s="20">
        <v>15804663</v>
      </c>
    </row>
    <row r="38" spans="2:7" x14ac:dyDescent="0.25">
      <c r="B38" s="6" t="s">
        <v>125</v>
      </c>
      <c r="C38" s="19" t="s">
        <v>126</v>
      </c>
      <c r="D38" s="20"/>
      <c r="E38" s="21" t="s">
        <v>127</v>
      </c>
      <c r="F38" s="19" t="s">
        <v>128</v>
      </c>
      <c r="G38" s="20">
        <v>22138955</v>
      </c>
    </row>
    <row r="39" spans="2:7" x14ac:dyDescent="0.25">
      <c r="B39" s="6" t="s">
        <v>129</v>
      </c>
      <c r="C39" s="19" t="s">
        <v>130</v>
      </c>
      <c r="D39" s="20"/>
      <c r="E39" s="21" t="s">
        <v>131</v>
      </c>
      <c r="F39" s="19" t="s">
        <v>132</v>
      </c>
      <c r="G39" s="20">
        <v>17147859</v>
      </c>
    </row>
    <row r="40" spans="2:7" x14ac:dyDescent="0.25">
      <c r="B40" s="6" t="s">
        <v>133</v>
      </c>
      <c r="C40" s="19" t="s">
        <v>134</v>
      </c>
      <c r="D40" s="20"/>
      <c r="E40" s="21"/>
      <c r="F40" s="33" t="s">
        <v>135</v>
      </c>
      <c r="G40" s="34">
        <f>SUM(G41:G46)</f>
        <v>16069496</v>
      </c>
    </row>
    <row r="41" spans="2:7" x14ac:dyDescent="0.25">
      <c r="B41" s="6" t="s">
        <v>136</v>
      </c>
      <c r="C41" s="19" t="s">
        <v>137</v>
      </c>
      <c r="D41" s="20"/>
      <c r="E41" s="21" t="s">
        <v>138</v>
      </c>
      <c r="F41" s="19" t="s">
        <v>139</v>
      </c>
      <c r="G41" s="20">
        <v>1504696</v>
      </c>
    </row>
    <row r="42" spans="2:7" x14ac:dyDescent="0.25">
      <c r="B42" s="6" t="s">
        <v>140</v>
      </c>
      <c r="C42" s="19" t="s">
        <v>141</v>
      </c>
      <c r="D42" s="20">
        <v>27272946</v>
      </c>
      <c r="E42" s="21" t="s">
        <v>142</v>
      </c>
      <c r="F42" s="19" t="s">
        <v>143</v>
      </c>
      <c r="G42" s="20">
        <v>22824</v>
      </c>
    </row>
    <row r="43" spans="2:7" x14ac:dyDescent="0.25">
      <c r="B43" s="6" t="s">
        <v>144</v>
      </c>
      <c r="C43" s="19" t="s">
        <v>145</v>
      </c>
      <c r="D43" s="20">
        <v>4832949</v>
      </c>
      <c r="E43" s="21" t="s">
        <v>146</v>
      </c>
      <c r="F43" s="19" t="s">
        <v>147</v>
      </c>
      <c r="G43" s="20">
        <v>6957855</v>
      </c>
    </row>
    <row r="44" spans="2:7" x14ac:dyDescent="0.25">
      <c r="B44" s="6" t="s">
        <v>148</v>
      </c>
      <c r="C44" s="19" t="s">
        <v>149</v>
      </c>
      <c r="D44" s="20"/>
      <c r="E44" s="21" t="s">
        <v>150</v>
      </c>
      <c r="F44" s="19" t="s">
        <v>151</v>
      </c>
      <c r="G44" s="20">
        <v>573428</v>
      </c>
    </row>
    <row r="45" spans="2:7" x14ac:dyDescent="0.25">
      <c r="B45" s="6" t="s">
        <v>152</v>
      </c>
      <c r="C45" s="19" t="s">
        <v>153</v>
      </c>
      <c r="D45" s="20"/>
      <c r="E45" s="21" t="s">
        <v>154</v>
      </c>
      <c r="F45" s="19" t="s">
        <v>155</v>
      </c>
      <c r="G45" s="20">
        <v>2667937</v>
      </c>
    </row>
    <row r="46" spans="2:7" x14ac:dyDescent="0.25">
      <c r="B46" s="6" t="s">
        <v>156</v>
      </c>
      <c r="C46" s="19" t="s">
        <v>157</v>
      </c>
      <c r="D46" s="20">
        <v>3382018</v>
      </c>
      <c r="E46" s="21" t="s">
        <v>158</v>
      </c>
      <c r="F46" s="19" t="s">
        <v>159</v>
      </c>
      <c r="G46" s="20">
        <v>4342756</v>
      </c>
    </row>
    <row r="47" spans="2:7" ht="15.75" thickBot="1" x14ac:dyDescent="0.3">
      <c r="B47" s="6"/>
      <c r="C47" s="28" t="s">
        <v>160</v>
      </c>
      <c r="D47" s="29">
        <f>SUM(D36:D46)</f>
        <v>89792407</v>
      </c>
      <c r="E47" s="21" t="s">
        <v>161</v>
      </c>
      <c r="F47" s="19" t="s">
        <v>162</v>
      </c>
      <c r="G47" s="27">
        <v>6950906</v>
      </c>
    </row>
    <row r="48" spans="2:7" ht="15.75" thickBot="1" x14ac:dyDescent="0.3">
      <c r="B48" s="6"/>
      <c r="C48" s="35" t="s">
        <v>163</v>
      </c>
      <c r="D48" s="36"/>
      <c r="E48" s="21"/>
      <c r="F48" s="28" t="s">
        <v>164</v>
      </c>
      <c r="G48" s="37">
        <f>+G33+G40+G47</f>
        <v>97956330</v>
      </c>
    </row>
    <row r="49" spans="2:7" x14ac:dyDescent="0.25">
      <c r="B49" s="6" t="s">
        <v>165</v>
      </c>
      <c r="C49" s="38" t="s">
        <v>166</v>
      </c>
      <c r="D49" s="39"/>
      <c r="E49" s="21" t="s">
        <v>167</v>
      </c>
      <c r="F49" s="22" t="s">
        <v>168</v>
      </c>
      <c r="G49" s="23"/>
    </row>
    <row r="50" spans="2:7" x14ac:dyDescent="0.25">
      <c r="B50" s="6" t="s">
        <v>169</v>
      </c>
      <c r="C50" s="19" t="s">
        <v>163</v>
      </c>
      <c r="D50" s="20">
        <v>1172114</v>
      </c>
      <c r="E50" s="21" t="s">
        <v>170</v>
      </c>
      <c r="F50" s="19" t="s">
        <v>171</v>
      </c>
      <c r="G50" s="20">
        <v>37111384</v>
      </c>
    </row>
    <row r="51" spans="2:7" x14ac:dyDescent="0.25">
      <c r="B51" s="6" t="s">
        <v>172</v>
      </c>
      <c r="C51" s="19" t="s">
        <v>173</v>
      </c>
      <c r="D51" s="20">
        <v>69710</v>
      </c>
      <c r="E51" s="21" t="s">
        <v>174</v>
      </c>
      <c r="F51" s="19" t="s">
        <v>175</v>
      </c>
      <c r="G51" s="20"/>
    </row>
    <row r="52" spans="2:7" ht="15.75" thickBot="1" x14ac:dyDescent="0.3">
      <c r="B52" s="12"/>
      <c r="C52" s="28" t="s">
        <v>176</v>
      </c>
      <c r="D52" s="29">
        <f>SUM(D49:D51)</f>
        <v>1241824</v>
      </c>
      <c r="E52" s="21" t="s">
        <v>177</v>
      </c>
      <c r="F52" s="19" t="s">
        <v>178</v>
      </c>
      <c r="G52" s="20"/>
    </row>
    <row r="53" spans="2:7" ht="15.75" thickBot="1" x14ac:dyDescent="0.3">
      <c r="B53" s="6"/>
      <c r="C53" s="40" t="s">
        <v>179</v>
      </c>
      <c r="D53" s="41">
        <f>D20+D35+D47+D52</f>
        <v>1527185304</v>
      </c>
      <c r="E53" s="21" t="s">
        <v>180</v>
      </c>
      <c r="F53" s="19" t="s">
        <v>181</v>
      </c>
      <c r="G53" s="20">
        <v>3459675</v>
      </c>
    </row>
    <row r="54" spans="2:7" x14ac:dyDescent="0.25">
      <c r="C54" s="42"/>
      <c r="D54" s="43"/>
      <c r="E54" s="21" t="s">
        <v>182</v>
      </c>
      <c r="F54" s="19" t="s">
        <v>183</v>
      </c>
      <c r="G54" s="20">
        <v>4190317</v>
      </c>
    </row>
    <row r="55" spans="2:7" x14ac:dyDescent="0.25">
      <c r="C55" s="44" t="s">
        <v>184</v>
      </c>
      <c r="D55" s="45"/>
      <c r="E55" s="21" t="s">
        <v>185</v>
      </c>
      <c r="F55" s="19" t="s">
        <v>186</v>
      </c>
      <c r="G55" s="20">
        <v>5377937</v>
      </c>
    </row>
    <row r="56" spans="2:7" x14ac:dyDescent="0.25">
      <c r="B56" s="6" t="s">
        <v>187</v>
      </c>
      <c r="C56" s="46" t="s">
        <v>188</v>
      </c>
      <c r="D56" s="20">
        <v>-6606421</v>
      </c>
      <c r="E56" s="21" t="s">
        <v>189</v>
      </c>
      <c r="F56" s="19" t="s">
        <v>190</v>
      </c>
      <c r="G56" s="27">
        <v>2684004</v>
      </c>
    </row>
    <row r="57" spans="2:7" ht="15.75" thickBot="1" x14ac:dyDescent="0.3">
      <c r="B57" s="6" t="s">
        <v>191</v>
      </c>
      <c r="C57" s="46" t="s">
        <v>192</v>
      </c>
      <c r="D57" s="20"/>
      <c r="E57" s="21"/>
      <c r="F57" s="28" t="s">
        <v>193</v>
      </c>
      <c r="G57" s="29">
        <f>SUM(G49:G56)</f>
        <v>52823317</v>
      </c>
    </row>
    <row r="58" spans="2:7" x14ac:dyDescent="0.25">
      <c r="B58" s="6" t="s">
        <v>194</v>
      </c>
      <c r="C58" s="46" t="s">
        <v>195</v>
      </c>
      <c r="D58" s="20"/>
      <c r="E58" s="21" t="s">
        <v>196</v>
      </c>
      <c r="F58" s="22" t="s">
        <v>197</v>
      </c>
      <c r="G58" s="23"/>
    </row>
    <row r="59" spans="2:7" x14ac:dyDescent="0.25">
      <c r="B59" s="6" t="s">
        <v>198</v>
      </c>
      <c r="C59" s="19" t="s">
        <v>199</v>
      </c>
      <c r="D59" s="20">
        <v>-308378</v>
      </c>
      <c r="E59" s="21" t="s">
        <v>200</v>
      </c>
      <c r="F59" s="19" t="s">
        <v>201</v>
      </c>
      <c r="G59" s="20">
        <v>15534223</v>
      </c>
    </row>
    <row r="60" spans="2:7" ht="15.75" thickBot="1" x14ac:dyDescent="0.3">
      <c r="B60" s="6"/>
      <c r="C60" s="28" t="s">
        <v>202</v>
      </c>
      <c r="D60" s="29">
        <f>SUM(D56:D59)</f>
        <v>-6914799</v>
      </c>
      <c r="E60" s="21" t="s">
        <v>203</v>
      </c>
      <c r="F60" s="19" t="s">
        <v>204</v>
      </c>
      <c r="G60" s="20">
        <v>2384109</v>
      </c>
    </row>
    <row r="61" spans="2:7" ht="16.5" thickBot="1" x14ac:dyDescent="0.3">
      <c r="B61" s="47"/>
      <c r="C61" s="48" t="s">
        <v>205</v>
      </c>
      <c r="D61" s="49">
        <f>D53+D60</f>
        <v>1520270505</v>
      </c>
      <c r="E61" s="21" t="s">
        <v>206</v>
      </c>
      <c r="F61" s="19" t="s">
        <v>207</v>
      </c>
      <c r="G61" s="20">
        <v>13483504</v>
      </c>
    </row>
    <row r="62" spans="2:7" x14ac:dyDescent="0.25">
      <c r="B62" s="50"/>
      <c r="C62" s="51"/>
      <c r="D62" s="51"/>
      <c r="E62" s="21" t="s">
        <v>208</v>
      </c>
      <c r="F62" s="19" t="s">
        <v>209</v>
      </c>
      <c r="G62" s="20"/>
    </row>
    <row r="63" spans="2:7" x14ac:dyDescent="0.25">
      <c r="B63" s="52"/>
      <c r="C63" s="53" t="s">
        <v>8</v>
      </c>
      <c r="D63" s="53"/>
      <c r="E63" s="21" t="s">
        <v>210</v>
      </c>
      <c r="F63" s="19" t="s">
        <v>211</v>
      </c>
      <c r="G63" s="20">
        <v>43590535</v>
      </c>
    </row>
    <row r="64" spans="2:7" x14ac:dyDescent="0.25">
      <c r="B64" s="54" t="s">
        <v>212</v>
      </c>
      <c r="C64" s="55" t="s">
        <v>213</v>
      </c>
      <c r="D64" s="55">
        <f>[12]Amortizaciones!D6</f>
        <v>5295301</v>
      </c>
      <c r="E64" s="21" t="s">
        <v>214</v>
      </c>
      <c r="F64" s="19" t="s">
        <v>215</v>
      </c>
      <c r="G64" s="20">
        <v>8132087</v>
      </c>
    </row>
    <row r="65" spans="2:7" x14ac:dyDescent="0.25">
      <c r="B65" s="54" t="s">
        <v>216</v>
      </c>
      <c r="C65" s="55" t="s">
        <v>217</v>
      </c>
      <c r="D65" s="55">
        <f>[12]Amortizaciones!D7</f>
        <v>0</v>
      </c>
      <c r="E65" s="21" t="s">
        <v>218</v>
      </c>
      <c r="F65" s="19" t="s">
        <v>219</v>
      </c>
      <c r="G65" s="20">
        <v>24014175</v>
      </c>
    </row>
    <row r="66" spans="2:7" x14ac:dyDescent="0.25">
      <c r="B66" s="54" t="s">
        <v>220</v>
      </c>
      <c r="C66" s="55" t="s">
        <v>221</v>
      </c>
      <c r="D66" s="55">
        <f>[12]Amortizaciones!D8</f>
        <v>5235664</v>
      </c>
      <c r="E66" s="21" t="s">
        <v>222</v>
      </c>
      <c r="F66" s="19" t="s">
        <v>223</v>
      </c>
      <c r="G66" s="20">
        <v>7800086</v>
      </c>
    </row>
    <row r="67" spans="2:7" x14ac:dyDescent="0.25">
      <c r="B67" s="54" t="s">
        <v>224</v>
      </c>
      <c r="C67" s="55" t="s">
        <v>225</v>
      </c>
      <c r="D67" s="55">
        <f>[12]Amortizaciones!D9</f>
        <v>0</v>
      </c>
      <c r="E67" s="21" t="s">
        <v>226</v>
      </c>
      <c r="F67" s="19" t="s">
        <v>227</v>
      </c>
      <c r="G67" s="20">
        <v>291211</v>
      </c>
    </row>
    <row r="68" spans="2:7" x14ac:dyDescent="0.25">
      <c r="B68" s="54" t="s">
        <v>228</v>
      </c>
      <c r="C68" s="55" t="s">
        <v>229</v>
      </c>
      <c r="D68" s="55">
        <f>[12]Amortizaciones!D10</f>
        <v>0</v>
      </c>
      <c r="E68" s="21" t="s">
        <v>230</v>
      </c>
      <c r="F68" s="19" t="s">
        <v>231</v>
      </c>
      <c r="G68" s="20">
        <v>207889</v>
      </c>
    </row>
    <row r="69" spans="2:7" x14ac:dyDescent="0.25">
      <c r="B69" s="54" t="s">
        <v>232</v>
      </c>
      <c r="C69" s="55" t="s">
        <v>233</v>
      </c>
      <c r="D69" s="55">
        <f>[12]Amortizaciones!D11</f>
        <v>245322</v>
      </c>
      <c r="E69" s="21" t="s">
        <v>234</v>
      </c>
      <c r="F69" s="19" t="s">
        <v>235</v>
      </c>
      <c r="G69" s="20">
        <v>2464359</v>
      </c>
    </row>
    <row r="70" spans="2:7" x14ac:dyDescent="0.25">
      <c r="B70" s="54" t="s">
        <v>236</v>
      </c>
      <c r="C70" s="55" t="s">
        <v>237</v>
      </c>
      <c r="D70" s="55">
        <f>[12]Amortizaciones!D12</f>
        <v>0</v>
      </c>
      <c r="E70" s="21" t="s">
        <v>238</v>
      </c>
      <c r="F70" s="19" t="s">
        <v>239</v>
      </c>
      <c r="G70" s="20">
        <v>670962</v>
      </c>
    </row>
    <row r="71" spans="2:7" x14ac:dyDescent="0.25">
      <c r="B71" s="54" t="s">
        <v>240</v>
      </c>
      <c r="C71" s="55" t="s">
        <v>241</v>
      </c>
      <c r="D71" s="55">
        <f>[12]Amortizaciones!D13</f>
        <v>316906</v>
      </c>
      <c r="E71" s="21" t="s">
        <v>242</v>
      </c>
      <c r="F71" s="19" t="s">
        <v>243</v>
      </c>
      <c r="G71" s="20">
        <v>0</v>
      </c>
    </row>
    <row r="72" spans="2:7" x14ac:dyDescent="0.25">
      <c r="B72" s="54" t="s">
        <v>244</v>
      </c>
      <c r="C72" s="55" t="s">
        <v>245</v>
      </c>
      <c r="D72" s="55">
        <f>[12]Amortizaciones!D14</f>
        <v>0</v>
      </c>
      <c r="E72" s="21" t="s">
        <v>246</v>
      </c>
      <c r="F72" s="19" t="s">
        <v>247</v>
      </c>
      <c r="G72" s="20">
        <v>28603830</v>
      </c>
    </row>
    <row r="73" spans="2:7" x14ac:dyDescent="0.25">
      <c r="B73" s="54" t="s">
        <v>248</v>
      </c>
      <c r="C73" s="55" t="s">
        <v>249</v>
      </c>
      <c r="D73" s="55">
        <f>[12]Amortizaciones!D15</f>
        <v>0</v>
      </c>
      <c r="E73" s="21" t="s">
        <v>250</v>
      </c>
      <c r="F73" s="19" t="s">
        <v>251</v>
      </c>
      <c r="G73" s="20"/>
    </row>
    <row r="74" spans="2:7" x14ac:dyDescent="0.25">
      <c r="B74" s="54" t="s">
        <v>252</v>
      </c>
      <c r="C74" s="55" t="s">
        <v>253</v>
      </c>
      <c r="D74" s="55">
        <f>[12]Amortizaciones!D16</f>
        <v>0</v>
      </c>
      <c r="E74" s="21" t="s">
        <v>254</v>
      </c>
      <c r="F74" s="19" t="s">
        <v>255</v>
      </c>
      <c r="G74" s="20">
        <v>6742563</v>
      </c>
    </row>
    <row r="75" spans="2:7" x14ac:dyDescent="0.25">
      <c r="B75" s="54" t="s">
        <v>256</v>
      </c>
      <c r="C75" s="55" t="s">
        <v>257</v>
      </c>
      <c r="D75" s="55">
        <f>[12]Amortizaciones!D17</f>
        <v>0</v>
      </c>
      <c r="E75" s="21" t="s">
        <v>258</v>
      </c>
      <c r="F75" s="19" t="s">
        <v>259</v>
      </c>
      <c r="G75" s="20"/>
    </row>
    <row r="76" spans="2:7" x14ac:dyDescent="0.25">
      <c r="B76" s="54" t="s">
        <v>260</v>
      </c>
      <c r="C76" s="55" t="s">
        <v>261</v>
      </c>
      <c r="D76" s="55">
        <f>[12]Amortizaciones!D18</f>
        <v>0</v>
      </c>
      <c r="E76" s="21" t="s">
        <v>262</v>
      </c>
      <c r="F76" s="19" t="s">
        <v>263</v>
      </c>
      <c r="G76" s="20"/>
    </row>
    <row r="77" spans="2:7" x14ac:dyDescent="0.25">
      <c r="B77" s="54" t="s">
        <v>264</v>
      </c>
      <c r="C77" s="55" t="s">
        <v>265</v>
      </c>
      <c r="D77" s="55">
        <f>SUM(D64:D76)</f>
        <v>11093193</v>
      </c>
      <c r="E77" s="21" t="s">
        <v>266</v>
      </c>
      <c r="F77" s="19" t="s">
        <v>267</v>
      </c>
      <c r="G77" s="20">
        <v>52001659</v>
      </c>
    </row>
    <row r="78" spans="2:7" x14ac:dyDescent="0.25">
      <c r="B78" s="54"/>
      <c r="C78" s="55"/>
      <c r="D78" s="55"/>
      <c r="E78" s="21" t="s">
        <v>268</v>
      </c>
      <c r="F78" s="19" t="s">
        <v>269</v>
      </c>
      <c r="G78" s="27">
        <v>9827330</v>
      </c>
    </row>
    <row r="79" spans="2:7" ht="15.75" thickBot="1" x14ac:dyDescent="0.3">
      <c r="B79" s="54"/>
      <c r="C79" s="53" t="s">
        <v>270</v>
      </c>
      <c r="D79" s="56"/>
      <c r="E79" s="21"/>
      <c r="F79" s="28" t="s">
        <v>271</v>
      </c>
      <c r="G79" s="29">
        <f>SUM(G58:G78)</f>
        <v>215748522</v>
      </c>
    </row>
    <row r="80" spans="2:7" x14ac:dyDescent="0.25">
      <c r="B80" s="54" t="s">
        <v>272</v>
      </c>
      <c r="C80" s="55" t="s">
        <v>237</v>
      </c>
      <c r="D80" s="55">
        <f>[12]Amortizaciones!D22</f>
        <v>149867</v>
      </c>
      <c r="E80" s="21" t="s">
        <v>273</v>
      </c>
      <c r="F80" s="22" t="s">
        <v>274</v>
      </c>
      <c r="G80" s="23"/>
    </row>
    <row r="81" spans="2:7" x14ac:dyDescent="0.25">
      <c r="B81" s="54" t="s">
        <v>275</v>
      </c>
      <c r="C81" s="55" t="s">
        <v>241</v>
      </c>
      <c r="D81" s="55">
        <f>[12]Amortizaciones!D23</f>
        <v>0</v>
      </c>
      <c r="E81" s="21" t="s">
        <v>276</v>
      </c>
      <c r="F81" s="19" t="s">
        <v>277</v>
      </c>
      <c r="G81" s="20">
        <v>2816819</v>
      </c>
    </row>
    <row r="82" spans="2:7" x14ac:dyDescent="0.25">
      <c r="B82" s="54" t="s">
        <v>278</v>
      </c>
      <c r="C82" s="55" t="s">
        <v>245</v>
      </c>
      <c r="D82" s="55">
        <f>[12]Amortizaciones!D24</f>
        <v>2206410</v>
      </c>
      <c r="E82" s="21" t="s">
        <v>279</v>
      </c>
      <c r="F82" s="19" t="s">
        <v>280</v>
      </c>
      <c r="G82" s="20">
        <v>1051831</v>
      </c>
    </row>
    <row r="83" spans="2:7" x14ac:dyDescent="0.25">
      <c r="B83" s="54" t="s">
        <v>281</v>
      </c>
      <c r="C83" s="55" t="s">
        <v>249</v>
      </c>
      <c r="D83" s="55">
        <f>[12]Amortizaciones!D25</f>
        <v>1149470</v>
      </c>
      <c r="E83" s="21" t="s">
        <v>282</v>
      </c>
      <c r="F83" s="19" t="s">
        <v>283</v>
      </c>
      <c r="G83" s="20">
        <v>649579</v>
      </c>
    </row>
    <row r="84" spans="2:7" x14ac:dyDescent="0.25">
      <c r="B84" s="54" t="s">
        <v>284</v>
      </c>
      <c r="C84" s="55" t="s">
        <v>285</v>
      </c>
      <c r="D84" s="55">
        <v>0</v>
      </c>
      <c r="E84" s="21" t="s">
        <v>286</v>
      </c>
      <c r="F84" s="19" t="s">
        <v>287</v>
      </c>
      <c r="G84" s="20">
        <v>5495312</v>
      </c>
    </row>
    <row r="85" spans="2:7" x14ac:dyDescent="0.25">
      <c r="B85" s="54" t="s">
        <v>288</v>
      </c>
      <c r="C85" s="55" t="s">
        <v>289</v>
      </c>
      <c r="D85" s="55">
        <f>[12]Amortizaciones!D27</f>
        <v>0</v>
      </c>
      <c r="E85" s="21" t="s">
        <v>290</v>
      </c>
      <c r="F85" s="19" t="s">
        <v>291</v>
      </c>
      <c r="G85" s="20">
        <v>1457614</v>
      </c>
    </row>
    <row r="86" spans="2:7" x14ac:dyDescent="0.25">
      <c r="B86" s="54" t="s">
        <v>292</v>
      </c>
      <c r="C86" s="55" t="s">
        <v>293</v>
      </c>
      <c r="D86" s="55">
        <f>[12]Amortizaciones!D28</f>
        <v>0</v>
      </c>
      <c r="E86" s="21" t="s">
        <v>294</v>
      </c>
      <c r="F86" s="19" t="s">
        <v>295</v>
      </c>
      <c r="G86" s="20">
        <v>765058</v>
      </c>
    </row>
    <row r="87" spans="2:7" x14ac:dyDescent="0.25">
      <c r="B87" s="54" t="s">
        <v>296</v>
      </c>
      <c r="C87" s="55" t="s">
        <v>297</v>
      </c>
      <c r="D87" s="55">
        <f>[12]Amortizaciones!D29</f>
        <v>0</v>
      </c>
      <c r="E87" s="21" t="s">
        <v>298</v>
      </c>
      <c r="F87" s="19" t="s">
        <v>299</v>
      </c>
      <c r="G87" s="20">
        <v>0</v>
      </c>
    </row>
    <row r="88" spans="2:7" x14ac:dyDescent="0.25">
      <c r="B88" s="54" t="s">
        <v>300</v>
      </c>
      <c r="C88" s="55" t="s">
        <v>301</v>
      </c>
      <c r="D88" s="55">
        <f>[12]Amortizaciones!D30</f>
        <v>4074030</v>
      </c>
      <c r="E88" s="21" t="s">
        <v>302</v>
      </c>
      <c r="F88" s="19" t="s">
        <v>303</v>
      </c>
      <c r="G88" s="20">
        <v>0</v>
      </c>
    </row>
    <row r="89" spans="2:7" x14ac:dyDescent="0.25">
      <c r="B89" s="54" t="s">
        <v>304</v>
      </c>
      <c r="C89" s="55" t="s">
        <v>213</v>
      </c>
      <c r="D89" s="55">
        <f>[12]Amortizaciones!D31</f>
        <v>0</v>
      </c>
      <c r="E89" s="21" t="s">
        <v>305</v>
      </c>
      <c r="F89" s="19" t="s">
        <v>306</v>
      </c>
      <c r="G89" s="20">
        <v>303969</v>
      </c>
    </row>
    <row r="90" spans="2:7" x14ac:dyDescent="0.25">
      <c r="B90" s="54" t="s">
        <v>307</v>
      </c>
      <c r="C90" s="55" t="s">
        <v>229</v>
      </c>
      <c r="D90" s="55">
        <f>[12]Amortizaciones!D32</f>
        <v>464671</v>
      </c>
      <c r="E90" s="21" t="s">
        <v>308</v>
      </c>
      <c r="F90" s="19" t="s">
        <v>309</v>
      </c>
      <c r="G90" s="20">
        <v>4277576</v>
      </c>
    </row>
    <row r="91" spans="2:7" x14ac:dyDescent="0.25">
      <c r="B91" s="54" t="s">
        <v>310</v>
      </c>
      <c r="C91" s="55" t="s">
        <v>311</v>
      </c>
      <c r="D91" s="55">
        <f>SUM(D80:D90)</f>
        <v>8044448</v>
      </c>
      <c r="E91" s="52" t="s">
        <v>312</v>
      </c>
      <c r="F91" s="19" t="s">
        <v>313</v>
      </c>
      <c r="G91" s="20">
        <v>255246</v>
      </c>
    </row>
    <row r="92" spans="2:7" x14ac:dyDescent="0.25">
      <c r="B92" s="54"/>
      <c r="C92" s="57" t="s">
        <v>314</v>
      </c>
      <c r="D92" s="55">
        <f>D77+D91</f>
        <v>19137641</v>
      </c>
      <c r="E92" s="52" t="s">
        <v>315</v>
      </c>
      <c r="F92" s="19" t="s">
        <v>316</v>
      </c>
      <c r="G92" s="20"/>
    </row>
    <row r="93" spans="2:7" x14ac:dyDescent="0.25">
      <c r="E93" s="52" t="s">
        <v>317</v>
      </c>
      <c r="F93" s="19" t="s">
        <v>318</v>
      </c>
      <c r="G93" s="20">
        <v>12968438</v>
      </c>
    </row>
    <row r="94" spans="2:7" x14ac:dyDescent="0.25">
      <c r="E94" s="52" t="s">
        <v>319</v>
      </c>
      <c r="F94" s="19" t="s">
        <v>320</v>
      </c>
      <c r="G94" s="27">
        <v>1324921</v>
      </c>
    </row>
    <row r="95" spans="2:7" ht="13.5" customHeight="1" thickBot="1" x14ac:dyDescent="0.3">
      <c r="E95" s="21"/>
      <c r="F95" s="28" t="s">
        <v>321</v>
      </c>
      <c r="G95" s="29">
        <f>SUM(G80:G94)</f>
        <v>31366363</v>
      </c>
    </row>
    <row r="96" spans="2:7" x14ac:dyDescent="0.25">
      <c r="E96" s="52" t="s">
        <v>322</v>
      </c>
      <c r="F96" s="22" t="s">
        <v>323</v>
      </c>
      <c r="G96" s="20">
        <v>3838997</v>
      </c>
    </row>
    <row r="97" spans="2:7" x14ac:dyDescent="0.25">
      <c r="E97" s="52" t="s">
        <v>324</v>
      </c>
      <c r="F97" s="19" t="s">
        <v>325</v>
      </c>
      <c r="G97" s="20">
        <v>3602876</v>
      </c>
    </row>
    <row r="98" spans="2:7" x14ac:dyDescent="0.25">
      <c r="E98" s="52" t="s">
        <v>326</v>
      </c>
      <c r="F98" s="19" t="s">
        <v>327</v>
      </c>
      <c r="G98" s="20">
        <v>362282</v>
      </c>
    </row>
    <row r="99" spans="2:7" x14ac:dyDescent="0.25">
      <c r="E99" s="52" t="s">
        <v>328</v>
      </c>
      <c r="F99" s="19" t="s">
        <v>329</v>
      </c>
      <c r="G99" s="20">
        <v>5227112</v>
      </c>
    </row>
    <row r="100" spans="2:7" x14ac:dyDescent="0.25">
      <c r="E100" s="52" t="s">
        <v>330</v>
      </c>
      <c r="F100" s="19" t="s">
        <v>331</v>
      </c>
      <c r="G100" s="27">
        <v>585001</v>
      </c>
    </row>
    <row r="101" spans="2:7" ht="15.75" thickBot="1" x14ac:dyDescent="0.3">
      <c r="E101" s="21"/>
      <c r="F101" s="28" t="s">
        <v>332</v>
      </c>
      <c r="G101" s="29">
        <f>SUM(G96:G100)</f>
        <v>13616268</v>
      </c>
    </row>
    <row r="102" spans="2:7" ht="15.75" thickBot="1" x14ac:dyDescent="0.3">
      <c r="E102" s="52"/>
      <c r="F102" s="59" t="s">
        <v>333</v>
      </c>
      <c r="G102" s="60">
        <f>[12]Amortizaciones!D19</f>
        <v>11093193</v>
      </c>
    </row>
    <row r="103" spans="2:7" x14ac:dyDescent="0.25">
      <c r="E103" s="52" t="s">
        <v>334</v>
      </c>
      <c r="F103" s="19" t="s">
        <v>335</v>
      </c>
      <c r="G103" s="23"/>
    </row>
    <row r="104" spans="2:7" x14ac:dyDescent="0.25">
      <c r="E104" s="52" t="s">
        <v>336</v>
      </c>
      <c r="F104" s="61" t="s">
        <v>337</v>
      </c>
      <c r="G104" s="20"/>
    </row>
    <row r="105" spans="2:7" ht="15.75" thickBot="1" x14ac:dyDescent="0.3">
      <c r="E105" s="21"/>
      <c r="F105" s="28" t="s">
        <v>338</v>
      </c>
      <c r="G105" s="29">
        <f>SUM(G103:G104)</f>
        <v>0</v>
      </c>
    </row>
    <row r="106" spans="2:7" ht="13.7" customHeight="1" thickBot="1" x14ac:dyDescent="0.3">
      <c r="B106" s="6"/>
      <c r="C106" s="62"/>
      <c r="D106" s="62"/>
      <c r="E106" s="52"/>
      <c r="F106" s="48" t="s">
        <v>339</v>
      </c>
      <c r="G106" s="49">
        <f>G19+G27+G32+G48+G57+G79+G95+G101+G102+G105</f>
        <v>1443577731</v>
      </c>
    </row>
    <row r="107" spans="2:7" ht="13.7" customHeight="1" x14ac:dyDescent="0.25">
      <c r="B107" s="6"/>
      <c r="C107" s="62"/>
      <c r="D107" s="62"/>
      <c r="E107" s="21"/>
      <c r="F107" s="63"/>
      <c r="G107" s="64"/>
    </row>
    <row r="108" spans="2:7" ht="13.7" customHeight="1" thickBot="1" x14ac:dyDescent="0.3">
      <c r="B108" s="6"/>
      <c r="C108" s="62"/>
      <c r="D108" s="62"/>
      <c r="E108" s="21"/>
    </row>
    <row r="109" spans="2:7" ht="13.7" customHeight="1" thickBot="1" x14ac:dyDescent="0.3">
      <c r="B109" s="6"/>
      <c r="C109" s="62"/>
      <c r="D109" s="62"/>
      <c r="E109" s="21"/>
      <c r="F109" s="13" t="s">
        <v>340</v>
      </c>
      <c r="G109" s="65">
        <f>D61-G106</f>
        <v>76692774</v>
      </c>
    </row>
    <row r="110" spans="2:7" ht="13.7" customHeight="1" thickBot="1" x14ac:dyDescent="0.3">
      <c r="B110" s="6"/>
      <c r="C110" s="62"/>
      <c r="D110" s="62"/>
      <c r="E110" s="21"/>
    </row>
    <row r="111" spans="2:7" ht="13.7" customHeight="1" thickBot="1" x14ac:dyDescent="0.3">
      <c r="C111" s="48" t="s">
        <v>270</v>
      </c>
      <c r="D111" s="17">
        <f>+[12]E.S.P.!D6</f>
        <v>2020</v>
      </c>
      <c r="E111" s="52"/>
      <c r="F111" s="48" t="s">
        <v>341</v>
      </c>
      <c r="G111" s="17">
        <f>+[12]E.S.P.!D6</f>
        <v>2020</v>
      </c>
    </row>
    <row r="112" spans="2:7" ht="13.7" customHeight="1" x14ac:dyDescent="0.25">
      <c r="B112" s="6" t="s">
        <v>342</v>
      </c>
      <c r="C112" s="66" t="s">
        <v>343</v>
      </c>
      <c r="D112" s="67">
        <v>3464218</v>
      </c>
      <c r="E112" s="21" t="s">
        <v>344</v>
      </c>
      <c r="F112" s="66" t="s">
        <v>309</v>
      </c>
      <c r="G112" s="67"/>
    </row>
    <row r="113" spans="2:7" ht="13.7" customHeight="1" x14ac:dyDescent="0.25">
      <c r="B113" s="6" t="s">
        <v>345</v>
      </c>
      <c r="C113" s="68" t="s">
        <v>346</v>
      </c>
      <c r="D113" s="69"/>
      <c r="E113" s="21" t="s">
        <v>347</v>
      </c>
      <c r="F113" s="68" t="s">
        <v>348</v>
      </c>
      <c r="G113" s="69"/>
    </row>
    <row r="114" spans="2:7" ht="13.7" customHeight="1" x14ac:dyDescent="0.25">
      <c r="B114" s="6" t="s">
        <v>349</v>
      </c>
      <c r="C114" s="68" t="s">
        <v>48</v>
      </c>
      <c r="D114" s="69">
        <v>7731740</v>
      </c>
      <c r="E114" s="21" t="s">
        <v>350</v>
      </c>
      <c r="F114" s="68" t="s">
        <v>351</v>
      </c>
      <c r="G114" s="69">
        <v>325954</v>
      </c>
    </row>
    <row r="115" spans="2:7" ht="13.7" customHeight="1" x14ac:dyDescent="0.25">
      <c r="B115" s="6" t="s">
        <v>352</v>
      </c>
      <c r="C115" s="68" t="s">
        <v>353</v>
      </c>
      <c r="D115" s="69">
        <v>178646</v>
      </c>
      <c r="E115" s="21" t="s">
        <v>354</v>
      </c>
      <c r="F115" s="68" t="s">
        <v>355</v>
      </c>
      <c r="G115" s="69">
        <v>1041856</v>
      </c>
    </row>
    <row r="116" spans="2:7" ht="13.7" customHeight="1" x14ac:dyDescent="0.25">
      <c r="B116" s="6" t="s">
        <v>356</v>
      </c>
      <c r="C116" s="68" t="s">
        <v>357</v>
      </c>
      <c r="D116" s="69">
        <v>109676</v>
      </c>
      <c r="E116" s="21" t="s">
        <v>358</v>
      </c>
      <c r="F116" s="68" t="s">
        <v>359</v>
      </c>
      <c r="G116" s="69">
        <v>1308355</v>
      </c>
    </row>
    <row r="117" spans="2:7" ht="13.7" customHeight="1" x14ac:dyDescent="0.25">
      <c r="B117" s="6" t="s">
        <v>360</v>
      </c>
      <c r="C117" s="68" t="s">
        <v>361</v>
      </c>
      <c r="D117" s="69">
        <v>414414</v>
      </c>
      <c r="E117" s="21" t="s">
        <v>362</v>
      </c>
      <c r="F117" s="68" t="s">
        <v>363</v>
      </c>
      <c r="G117" s="69">
        <v>302848</v>
      </c>
    </row>
    <row r="118" spans="2:7" ht="13.7" customHeight="1" x14ac:dyDescent="0.25">
      <c r="B118" s="6" t="s">
        <v>364</v>
      </c>
      <c r="C118" s="68" t="s">
        <v>365</v>
      </c>
      <c r="D118" s="69"/>
      <c r="E118" s="21" t="s">
        <v>366</v>
      </c>
      <c r="F118" s="68" t="s">
        <v>367</v>
      </c>
      <c r="G118" s="69"/>
    </row>
    <row r="119" spans="2:7" ht="13.7" customHeight="1" x14ac:dyDescent="0.25">
      <c r="B119" s="6" t="s">
        <v>368</v>
      </c>
      <c r="C119" s="68" t="s">
        <v>369</v>
      </c>
      <c r="D119" s="69">
        <v>101776</v>
      </c>
      <c r="E119" s="21" t="s">
        <v>370</v>
      </c>
      <c r="F119" s="68" t="s">
        <v>371</v>
      </c>
      <c r="G119" s="69"/>
    </row>
    <row r="120" spans="2:7" ht="13.7" customHeight="1" x14ac:dyDescent="0.25">
      <c r="B120" s="6" t="s">
        <v>372</v>
      </c>
      <c r="C120" s="68" t="s">
        <v>373</v>
      </c>
      <c r="D120" s="69"/>
      <c r="E120" s="21" t="s">
        <v>374</v>
      </c>
      <c r="F120" s="68" t="s">
        <v>375</v>
      </c>
      <c r="G120" s="69"/>
    </row>
    <row r="121" spans="2:7" ht="13.7" customHeight="1" x14ac:dyDescent="0.25">
      <c r="B121" s="6" t="s">
        <v>376</v>
      </c>
      <c r="C121" s="19" t="s">
        <v>377</v>
      </c>
      <c r="D121" s="69">
        <v>555438</v>
      </c>
      <c r="E121" s="21" t="s">
        <v>378</v>
      </c>
      <c r="F121" s="68" t="s">
        <v>379</v>
      </c>
      <c r="G121" s="69"/>
    </row>
    <row r="122" spans="2:7" ht="13.7" customHeight="1" thickBot="1" x14ac:dyDescent="0.3">
      <c r="B122" s="6"/>
      <c r="C122" s="28" t="s">
        <v>380</v>
      </c>
      <c r="D122" s="37">
        <f>SUM(D112:D121)</f>
        <v>12555908</v>
      </c>
      <c r="E122" s="21" t="s">
        <v>381</v>
      </c>
      <c r="F122" s="19" t="s">
        <v>382</v>
      </c>
      <c r="G122" s="20">
        <v>37653</v>
      </c>
    </row>
    <row r="123" spans="2:7" ht="13.7" customHeight="1" thickBot="1" x14ac:dyDescent="0.3">
      <c r="B123" s="6" t="s">
        <v>383</v>
      </c>
      <c r="C123" s="70" t="s">
        <v>309</v>
      </c>
      <c r="D123" s="67"/>
      <c r="E123" s="52"/>
      <c r="F123" s="28" t="s">
        <v>384</v>
      </c>
      <c r="G123" s="37">
        <f>SUM(G112:G122)</f>
        <v>3016666</v>
      </c>
    </row>
    <row r="124" spans="2:7" ht="13.7" customHeight="1" x14ac:dyDescent="0.25">
      <c r="B124" s="6" t="s">
        <v>385</v>
      </c>
      <c r="C124" s="68" t="s">
        <v>313</v>
      </c>
      <c r="D124" s="69">
        <v>4310537</v>
      </c>
      <c r="E124" s="21" t="s">
        <v>386</v>
      </c>
      <c r="F124" s="68" t="s">
        <v>387</v>
      </c>
      <c r="G124" s="69">
        <v>450452</v>
      </c>
    </row>
    <row r="125" spans="2:7" ht="13.7" customHeight="1" x14ac:dyDescent="0.25">
      <c r="B125" s="6" t="s">
        <v>388</v>
      </c>
      <c r="C125" s="19" t="s">
        <v>389</v>
      </c>
      <c r="D125" s="69">
        <v>176459</v>
      </c>
      <c r="E125" s="21" t="s">
        <v>390</v>
      </c>
      <c r="F125" s="68" t="s">
        <v>391</v>
      </c>
      <c r="G125" s="69">
        <v>178387</v>
      </c>
    </row>
    <row r="126" spans="2:7" ht="13.7" customHeight="1" thickBot="1" x14ac:dyDescent="0.3">
      <c r="B126" s="6"/>
      <c r="C126" s="28" t="s">
        <v>392</v>
      </c>
      <c r="D126" s="37">
        <f>SUM(D123:D125)</f>
        <v>4486996</v>
      </c>
      <c r="E126" s="21" t="s">
        <v>393</v>
      </c>
      <c r="F126" s="68" t="s">
        <v>394</v>
      </c>
      <c r="G126" s="69"/>
    </row>
    <row r="127" spans="2:7" ht="13.7" customHeight="1" x14ac:dyDescent="0.25">
      <c r="B127" s="6" t="s">
        <v>395</v>
      </c>
      <c r="C127" s="66" t="s">
        <v>274</v>
      </c>
      <c r="D127" s="67"/>
      <c r="E127" s="21" t="s">
        <v>396</v>
      </c>
      <c r="F127" s="68" t="s">
        <v>397</v>
      </c>
      <c r="G127" s="69"/>
    </row>
    <row r="128" spans="2:7" ht="13.7" customHeight="1" x14ac:dyDescent="0.25">
      <c r="B128" s="6" t="s">
        <v>398</v>
      </c>
      <c r="C128" s="68" t="s">
        <v>399</v>
      </c>
      <c r="D128" s="69">
        <v>1482784</v>
      </c>
      <c r="E128" s="21" t="s">
        <v>400</v>
      </c>
      <c r="F128" s="68" t="s">
        <v>401</v>
      </c>
      <c r="G128" s="69"/>
    </row>
    <row r="129" spans="2:7" ht="13.7" customHeight="1" x14ac:dyDescent="0.25">
      <c r="B129" s="6" t="s">
        <v>402</v>
      </c>
      <c r="C129" s="68" t="s">
        <v>277</v>
      </c>
      <c r="D129" s="69">
        <v>2945969</v>
      </c>
      <c r="E129" s="21" t="s">
        <v>403</v>
      </c>
      <c r="F129" s="68" t="s">
        <v>404</v>
      </c>
      <c r="G129" s="69">
        <v>952688</v>
      </c>
    </row>
    <row r="130" spans="2:7" ht="13.7" customHeight="1" x14ac:dyDescent="0.25">
      <c r="B130" s="6" t="s">
        <v>405</v>
      </c>
      <c r="C130" s="68" t="s">
        <v>283</v>
      </c>
      <c r="D130" s="69">
        <v>273486</v>
      </c>
      <c r="E130" s="21" t="s">
        <v>406</v>
      </c>
      <c r="F130" s="68" t="s">
        <v>407</v>
      </c>
      <c r="G130" s="69"/>
    </row>
    <row r="131" spans="2:7" ht="13.7" customHeight="1" x14ac:dyDescent="0.25">
      <c r="B131" s="6" t="s">
        <v>408</v>
      </c>
      <c r="C131" s="68" t="s">
        <v>287</v>
      </c>
      <c r="D131" s="69">
        <v>995988</v>
      </c>
      <c r="E131" s="21" t="s">
        <v>409</v>
      </c>
      <c r="F131" s="68" t="s">
        <v>410</v>
      </c>
      <c r="G131" s="69"/>
    </row>
    <row r="132" spans="2:7" ht="13.7" customHeight="1" x14ac:dyDescent="0.25">
      <c r="B132" s="6" t="s">
        <v>411</v>
      </c>
      <c r="C132" s="68" t="s">
        <v>291</v>
      </c>
      <c r="D132" s="69">
        <v>11490456</v>
      </c>
      <c r="E132" s="21" t="s">
        <v>412</v>
      </c>
      <c r="F132" s="68" t="s">
        <v>413</v>
      </c>
      <c r="G132" s="69">
        <v>1230629</v>
      </c>
    </row>
    <row r="133" spans="2:7" ht="13.7" customHeight="1" x14ac:dyDescent="0.25">
      <c r="B133" s="6" t="s">
        <v>414</v>
      </c>
      <c r="C133" s="68" t="s">
        <v>295</v>
      </c>
      <c r="D133" s="69">
        <v>166062</v>
      </c>
      <c r="E133" s="21" t="s">
        <v>415</v>
      </c>
      <c r="F133" s="68" t="s">
        <v>416</v>
      </c>
      <c r="G133" s="69"/>
    </row>
    <row r="134" spans="2:7" ht="13.7" customHeight="1" x14ac:dyDescent="0.25">
      <c r="B134" s="6" t="s">
        <v>417</v>
      </c>
      <c r="C134" s="68" t="s">
        <v>418</v>
      </c>
      <c r="D134" s="69">
        <v>1493929</v>
      </c>
      <c r="E134" s="21" t="s">
        <v>419</v>
      </c>
      <c r="F134" s="68" t="s">
        <v>420</v>
      </c>
      <c r="G134" s="69"/>
    </row>
    <row r="135" spans="2:7" ht="13.7" customHeight="1" x14ac:dyDescent="0.25">
      <c r="B135" s="6" t="s">
        <v>421</v>
      </c>
      <c r="C135" s="68" t="s">
        <v>422</v>
      </c>
      <c r="D135" s="69">
        <v>58329</v>
      </c>
      <c r="E135" s="21" t="s">
        <v>423</v>
      </c>
      <c r="F135" s="68" t="s">
        <v>424</v>
      </c>
      <c r="G135" s="69"/>
    </row>
    <row r="136" spans="2:7" ht="13.7" customHeight="1" x14ac:dyDescent="0.25">
      <c r="B136" s="6" t="s">
        <v>425</v>
      </c>
      <c r="C136" s="68" t="s">
        <v>318</v>
      </c>
      <c r="D136" s="69">
        <v>10353240</v>
      </c>
      <c r="E136" s="21" t="s">
        <v>426</v>
      </c>
      <c r="F136" s="68" t="s">
        <v>427</v>
      </c>
      <c r="G136" s="69">
        <v>83268</v>
      </c>
    </row>
    <row r="137" spans="2:7" ht="13.7" customHeight="1" x14ac:dyDescent="0.25">
      <c r="B137" s="6" t="s">
        <v>428</v>
      </c>
      <c r="C137" s="19" t="s">
        <v>320</v>
      </c>
      <c r="D137" s="71">
        <v>1368315</v>
      </c>
      <c r="E137" s="21" t="s">
        <v>429</v>
      </c>
      <c r="F137" s="68" t="s">
        <v>430</v>
      </c>
      <c r="G137" s="69">
        <v>2344723</v>
      </c>
    </row>
    <row r="138" spans="2:7" ht="13.7" customHeight="1" thickBot="1" x14ac:dyDescent="0.3">
      <c r="B138" s="6"/>
      <c r="C138" s="28" t="s">
        <v>321</v>
      </c>
      <c r="D138" s="37">
        <f>SUM(D127:D137)</f>
        <v>30628558</v>
      </c>
      <c r="E138" s="21" t="s">
        <v>431</v>
      </c>
      <c r="F138" s="19" t="s">
        <v>432</v>
      </c>
      <c r="G138" s="20">
        <v>179781.4</v>
      </c>
    </row>
    <row r="139" spans="2:7" ht="13.7" customHeight="1" thickBot="1" x14ac:dyDescent="0.3">
      <c r="B139" s="6" t="s">
        <v>433</v>
      </c>
      <c r="C139" s="66" t="s">
        <v>327</v>
      </c>
      <c r="D139" s="67"/>
      <c r="E139" s="7"/>
      <c r="F139" s="28" t="s">
        <v>434</v>
      </c>
      <c r="G139" s="37">
        <f>SUM(G124:G138)</f>
        <v>5419928.4000000004</v>
      </c>
    </row>
    <row r="140" spans="2:7" ht="13.7" customHeight="1" thickBot="1" x14ac:dyDescent="0.3">
      <c r="B140" s="6" t="s">
        <v>435</v>
      </c>
      <c r="C140" s="68" t="s">
        <v>329</v>
      </c>
      <c r="D140" s="69">
        <v>4863187</v>
      </c>
      <c r="E140" s="7"/>
      <c r="F140" s="48" t="s">
        <v>436</v>
      </c>
      <c r="G140" s="72">
        <f>G123-G139</f>
        <v>-2403262.4000000004</v>
      </c>
    </row>
    <row r="141" spans="2:7" ht="13.7" customHeight="1" x14ac:dyDescent="0.25">
      <c r="B141" s="6" t="s">
        <v>437</v>
      </c>
      <c r="C141" s="19" t="s">
        <v>331</v>
      </c>
      <c r="D141" s="71">
        <v>187740</v>
      </c>
      <c r="E141" s="73"/>
    </row>
    <row r="142" spans="2:7" ht="13.7" customHeight="1" thickBot="1" x14ac:dyDescent="0.3">
      <c r="B142" s="6"/>
      <c r="C142" s="28" t="s">
        <v>332</v>
      </c>
      <c r="D142" s="37">
        <f>SUM(D139:D141)</f>
        <v>5050927</v>
      </c>
      <c r="E142" s="73"/>
    </row>
    <row r="143" spans="2:7" ht="13.7" customHeight="1" thickBot="1" x14ac:dyDescent="0.3">
      <c r="B143" s="6"/>
      <c r="C143" s="59" t="s">
        <v>438</v>
      </c>
      <c r="D143" s="74">
        <f>[12]Amortizaciones!D33</f>
        <v>8044448</v>
      </c>
      <c r="E143" s="21"/>
      <c r="F143" s="48" t="s">
        <v>439</v>
      </c>
      <c r="G143" s="17">
        <f>+[12]E.S.P.!D6</f>
        <v>2020</v>
      </c>
    </row>
    <row r="144" spans="2:7" ht="13.7" customHeight="1" x14ac:dyDescent="0.25">
      <c r="B144" s="6" t="s">
        <v>440</v>
      </c>
      <c r="C144" s="66" t="s">
        <v>441</v>
      </c>
      <c r="D144" s="67"/>
      <c r="E144" s="21" t="s">
        <v>442</v>
      </c>
      <c r="F144" s="66" t="s">
        <v>443</v>
      </c>
      <c r="G144" s="67">
        <v>3578626</v>
      </c>
    </row>
    <row r="145" spans="2:7" ht="13.7" customHeight="1" x14ac:dyDescent="0.25">
      <c r="B145" s="6" t="s">
        <v>444</v>
      </c>
      <c r="C145" s="68" t="s">
        <v>445</v>
      </c>
      <c r="D145" s="69"/>
      <c r="E145" s="21" t="s">
        <v>446</v>
      </c>
      <c r="F145" s="68" t="s">
        <v>447</v>
      </c>
      <c r="G145" s="69"/>
    </row>
    <row r="146" spans="2:7" ht="13.7" customHeight="1" x14ac:dyDescent="0.25">
      <c r="B146" s="6" t="s">
        <v>448</v>
      </c>
      <c r="C146" s="75" t="s">
        <v>449</v>
      </c>
      <c r="D146" s="69"/>
      <c r="E146" s="21" t="s">
        <v>450</v>
      </c>
      <c r="F146" s="68" t="s">
        <v>451</v>
      </c>
      <c r="G146" s="69"/>
    </row>
    <row r="147" spans="2:7" ht="13.7" customHeight="1" x14ac:dyDescent="0.25">
      <c r="B147" s="6" t="s">
        <v>452</v>
      </c>
      <c r="C147" s="19" t="s">
        <v>453</v>
      </c>
      <c r="D147" s="71"/>
      <c r="E147" s="21" t="s">
        <v>454</v>
      </c>
      <c r="F147" s="68" t="s">
        <v>455</v>
      </c>
      <c r="G147" s="69"/>
    </row>
    <row r="148" spans="2:7" ht="13.7" customHeight="1" thickBot="1" x14ac:dyDescent="0.3">
      <c r="B148" s="6"/>
      <c r="C148" s="28" t="s">
        <v>456</v>
      </c>
      <c r="D148" s="37">
        <f>SUM(D144:D147)</f>
        <v>0</v>
      </c>
      <c r="E148" s="21" t="s">
        <v>457</v>
      </c>
      <c r="F148" s="68" t="s">
        <v>458</v>
      </c>
      <c r="G148" s="69"/>
    </row>
    <row r="149" spans="2:7" ht="13.7" customHeight="1" x14ac:dyDescent="0.25">
      <c r="B149" s="6" t="s">
        <v>459</v>
      </c>
      <c r="C149" s="66" t="s">
        <v>460</v>
      </c>
      <c r="D149" s="67"/>
      <c r="E149" s="21" t="s">
        <v>461</v>
      </c>
      <c r="F149" s="68" t="s">
        <v>462</v>
      </c>
      <c r="G149" s="69"/>
    </row>
    <row r="150" spans="2:7" ht="13.7" customHeight="1" x14ac:dyDescent="0.25">
      <c r="B150" s="6" t="s">
        <v>463</v>
      </c>
      <c r="C150" s="68" t="s">
        <v>464</v>
      </c>
      <c r="D150" s="69"/>
      <c r="E150" s="21" t="s">
        <v>465</v>
      </c>
      <c r="F150" s="68" t="s">
        <v>466</v>
      </c>
      <c r="G150" s="69"/>
    </row>
    <row r="151" spans="2:7" ht="13.7" customHeight="1" x14ac:dyDescent="0.25">
      <c r="B151" s="6" t="s">
        <v>467</v>
      </c>
      <c r="C151" s="19" t="s">
        <v>468</v>
      </c>
      <c r="D151" s="71"/>
      <c r="E151" s="21" t="s">
        <v>469</v>
      </c>
      <c r="F151" s="68" t="s">
        <v>470</v>
      </c>
      <c r="G151" s="69">
        <v>17192989.524544455</v>
      </c>
    </row>
    <row r="152" spans="2:7" ht="13.7" customHeight="1" thickBot="1" x14ac:dyDescent="0.3">
      <c r="B152" s="6"/>
      <c r="C152" s="28" t="s">
        <v>471</v>
      </c>
      <c r="D152" s="37">
        <f>SUM(D149:D151)</f>
        <v>0</v>
      </c>
      <c r="E152" s="21" t="s">
        <v>472</v>
      </c>
      <c r="F152" s="68" t="s">
        <v>473</v>
      </c>
      <c r="G152" s="69"/>
    </row>
    <row r="153" spans="2:7" ht="13.7" customHeight="1" thickBot="1" x14ac:dyDescent="0.3">
      <c r="B153" s="6"/>
      <c r="C153" s="48" t="s">
        <v>474</v>
      </c>
      <c r="D153" s="76">
        <f>D122+D126+D138+D142+D143+D148+D152</f>
        <v>60766837</v>
      </c>
      <c r="E153" s="21" t="s">
        <v>475</v>
      </c>
      <c r="F153" s="19" t="s">
        <v>476</v>
      </c>
      <c r="G153" s="20">
        <v>166347</v>
      </c>
    </row>
    <row r="154" spans="2:7" ht="13.7" customHeight="1" thickBot="1" x14ac:dyDescent="0.3">
      <c r="B154" s="6"/>
      <c r="E154" s="21"/>
      <c r="F154" s="28" t="s">
        <v>477</v>
      </c>
      <c r="G154" s="37">
        <f>SUM(G144:G153)</f>
        <v>20937962.524544455</v>
      </c>
    </row>
    <row r="155" spans="2:7" ht="13.7" customHeight="1" thickBot="1" x14ac:dyDescent="0.3">
      <c r="B155" s="6"/>
      <c r="C155" s="77" t="s">
        <v>478</v>
      </c>
      <c r="D155" s="65">
        <f>G109-D153</f>
        <v>15925937</v>
      </c>
      <c r="E155" s="21" t="s">
        <v>479</v>
      </c>
      <c r="F155" s="66" t="s">
        <v>480</v>
      </c>
      <c r="G155" s="67">
        <v>10501378</v>
      </c>
    </row>
    <row r="156" spans="2:7" ht="13.7" customHeight="1" x14ac:dyDescent="0.25">
      <c r="E156" s="21" t="s">
        <v>481</v>
      </c>
      <c r="F156" s="68" t="s">
        <v>482</v>
      </c>
      <c r="G156" s="69"/>
    </row>
    <row r="157" spans="2:7" ht="13.7" customHeight="1" x14ac:dyDescent="0.25">
      <c r="E157" s="21" t="s">
        <v>483</v>
      </c>
      <c r="F157" s="68" t="s">
        <v>484</v>
      </c>
      <c r="G157" s="69"/>
    </row>
    <row r="158" spans="2:7" ht="13.7" customHeight="1" x14ac:dyDescent="0.25">
      <c r="E158" s="21" t="s">
        <v>485</v>
      </c>
      <c r="F158" s="68" t="s">
        <v>486</v>
      </c>
      <c r="G158" s="69"/>
    </row>
    <row r="159" spans="2:7" ht="13.7" customHeight="1" x14ac:dyDescent="0.25">
      <c r="E159" s="21" t="s">
        <v>487</v>
      </c>
      <c r="F159" s="68" t="s">
        <v>488</v>
      </c>
      <c r="G159" s="69"/>
    </row>
    <row r="160" spans="2:7" ht="13.7" customHeight="1" x14ac:dyDescent="0.25">
      <c r="E160" s="21" t="s">
        <v>489</v>
      </c>
      <c r="F160" s="68" t="s">
        <v>490</v>
      </c>
      <c r="G160" s="69">
        <v>225499</v>
      </c>
    </row>
    <row r="161" spans="5:7" ht="13.7" customHeight="1" x14ac:dyDescent="0.25">
      <c r="E161" s="21" t="s">
        <v>491</v>
      </c>
      <c r="F161" s="68" t="s">
        <v>492</v>
      </c>
      <c r="G161" s="69">
        <v>1207404</v>
      </c>
    </row>
    <row r="162" spans="5:7" ht="13.7" customHeight="1" x14ac:dyDescent="0.25">
      <c r="E162" s="21" t="s">
        <v>493</v>
      </c>
      <c r="F162" s="68" t="s">
        <v>494</v>
      </c>
      <c r="G162" s="69"/>
    </row>
    <row r="163" spans="5:7" ht="13.7" customHeight="1" x14ac:dyDescent="0.25">
      <c r="E163" s="21" t="s">
        <v>495</v>
      </c>
      <c r="F163" s="68" t="s">
        <v>496</v>
      </c>
      <c r="G163" s="69"/>
    </row>
    <row r="164" spans="5:7" ht="13.7" customHeight="1" x14ac:dyDescent="0.25">
      <c r="E164" s="21" t="s">
        <v>497</v>
      </c>
      <c r="F164" s="68" t="s">
        <v>498</v>
      </c>
      <c r="G164" s="69">
        <v>1836800</v>
      </c>
    </row>
    <row r="165" spans="5:7" ht="13.7" customHeight="1" x14ac:dyDescent="0.25">
      <c r="E165" s="21" t="s">
        <v>499</v>
      </c>
      <c r="F165" s="68" t="s">
        <v>500</v>
      </c>
      <c r="G165" s="69"/>
    </row>
    <row r="166" spans="5:7" ht="13.7" customHeight="1" x14ac:dyDescent="0.25">
      <c r="E166" s="21" t="s">
        <v>501</v>
      </c>
      <c r="F166" s="68" t="s">
        <v>502</v>
      </c>
      <c r="G166" s="69">
        <v>1691769</v>
      </c>
    </row>
    <row r="167" spans="5:7" ht="13.7" customHeight="1" x14ac:dyDescent="0.25">
      <c r="E167" s="21" t="s">
        <v>503</v>
      </c>
      <c r="F167" s="19" t="s">
        <v>504</v>
      </c>
      <c r="G167" s="20">
        <v>378684.8</v>
      </c>
    </row>
    <row r="168" spans="5:7" ht="13.7" customHeight="1" thickBot="1" x14ac:dyDescent="0.3">
      <c r="E168" s="21"/>
      <c r="F168" s="28" t="s">
        <v>505</v>
      </c>
      <c r="G168" s="37">
        <f>SUM(G155:G167)</f>
        <v>15841534.800000001</v>
      </c>
    </row>
    <row r="169" spans="5:7" ht="13.7" customHeight="1" thickBot="1" x14ac:dyDescent="0.3">
      <c r="E169" s="21"/>
      <c r="F169" s="48" t="s">
        <v>506</v>
      </c>
      <c r="G169" s="72">
        <f>G154-G168</f>
        <v>5096427.7245444544</v>
      </c>
    </row>
    <row r="170" spans="5:7" ht="13.7" customHeight="1" thickBot="1" x14ac:dyDescent="0.3">
      <c r="E170" s="21"/>
      <c r="F170" s="78"/>
      <c r="G170" s="78"/>
    </row>
    <row r="171" spans="5:7" ht="13.7" customHeight="1" thickBot="1" x14ac:dyDescent="0.3">
      <c r="E171" s="21"/>
      <c r="F171" s="77" t="s">
        <v>507</v>
      </c>
      <c r="G171" s="79"/>
    </row>
    <row r="172" spans="5:7" ht="13.7" customHeight="1" thickBot="1" x14ac:dyDescent="0.3">
      <c r="E172" s="21"/>
      <c r="F172" s="80"/>
      <c r="G172" s="81">
        <f>+D155+G140+G169</f>
        <v>18619102.324544452</v>
      </c>
    </row>
    <row r="173" spans="5:7" ht="13.7" customHeight="1" thickBot="1" x14ac:dyDescent="0.3">
      <c r="E173" s="21"/>
      <c r="F173" s="5"/>
      <c r="G173" s="5"/>
    </row>
    <row r="174" spans="5:7" ht="13.7" customHeight="1" thickBot="1" x14ac:dyDescent="0.3">
      <c r="E174" s="21"/>
      <c r="F174" s="48" t="s">
        <v>508</v>
      </c>
      <c r="G174" s="17">
        <f>+G143</f>
        <v>2020</v>
      </c>
    </row>
    <row r="175" spans="5:7" ht="13.7" customHeight="1" x14ac:dyDescent="0.25">
      <c r="E175" s="21"/>
      <c r="F175" s="66" t="s">
        <v>509</v>
      </c>
      <c r="G175" s="67"/>
    </row>
    <row r="176" spans="5:7" ht="13.7" customHeight="1" x14ac:dyDescent="0.25">
      <c r="E176" s="21"/>
      <c r="F176" s="68" t="s">
        <v>510</v>
      </c>
      <c r="G176" s="69"/>
    </row>
    <row r="177" spans="1:8" ht="13.7" customHeight="1" thickBot="1" x14ac:dyDescent="0.3">
      <c r="F177" s="68" t="s">
        <v>511</v>
      </c>
      <c r="G177" s="69"/>
    </row>
    <row r="178" spans="1:8" ht="13.7" customHeight="1" thickBot="1" x14ac:dyDescent="0.3">
      <c r="F178" s="48" t="s">
        <v>512</v>
      </c>
      <c r="G178" s="72">
        <f>SUM(G175:G177)</f>
        <v>0</v>
      </c>
    </row>
    <row r="179" spans="1:8" ht="13.7" customHeight="1" thickBot="1" x14ac:dyDescent="0.3"/>
    <row r="180" spans="1:8" ht="13.7" customHeight="1" thickBot="1" x14ac:dyDescent="0.3">
      <c r="F180" s="77" t="s">
        <v>513</v>
      </c>
      <c r="G180" s="79"/>
    </row>
    <row r="181" spans="1:8" ht="13.7" customHeight="1" thickBot="1" x14ac:dyDescent="0.3">
      <c r="F181" s="83"/>
      <c r="G181" s="81">
        <f>+G172+G178</f>
        <v>18619102.324544452</v>
      </c>
    </row>
    <row r="182" spans="1:8" ht="13.7" customHeight="1" x14ac:dyDescent="0.25"/>
    <row r="183" spans="1:8" ht="13.5" customHeight="1" x14ac:dyDescent="0.25"/>
    <row r="184" spans="1:8" ht="13.7" customHeight="1" x14ac:dyDescent="0.25">
      <c r="E184" s="84"/>
      <c r="F184" s="84"/>
      <c r="G184" s="84"/>
      <c r="H184" s="84"/>
    </row>
    <row r="185" spans="1:8" s="84" customFormat="1" ht="13.7" customHeight="1" x14ac:dyDescent="0.25">
      <c r="A185" s="85"/>
      <c r="E185" s="82"/>
      <c r="F185" s="86"/>
      <c r="G185" s="86"/>
    </row>
    <row r="186" spans="1:8" s="84" customFormat="1" ht="12.75" x14ac:dyDescent="0.25">
      <c r="A186" s="85"/>
      <c r="E186" s="82"/>
      <c r="F186" s="86"/>
      <c r="G186" s="86"/>
    </row>
    <row r="187" spans="1:8" s="84" customFormat="1" ht="12.75" hidden="1" x14ac:dyDescent="0.25">
      <c r="A187" s="85"/>
      <c r="E187" s="82"/>
      <c r="F187" s="86"/>
      <c r="G187" s="86"/>
    </row>
    <row r="188" spans="1:8" s="84" customFormat="1" ht="12.75" hidden="1" x14ac:dyDescent="0.25">
      <c r="A188" s="85"/>
      <c r="E188" s="82"/>
      <c r="F188" s="86"/>
      <c r="G188" s="86"/>
    </row>
    <row r="189" spans="1:8" s="84" customFormat="1" ht="12.75" hidden="1" x14ac:dyDescent="0.25">
      <c r="A189" s="85"/>
      <c r="E189" s="82"/>
      <c r="F189" s="86"/>
      <c r="G189" s="86"/>
    </row>
    <row r="190" spans="1:8" s="84" customFormat="1" ht="12.75" hidden="1" x14ac:dyDescent="0.25">
      <c r="A190" s="85"/>
      <c r="E190" s="82"/>
      <c r="F190" s="86"/>
      <c r="G190" s="86"/>
    </row>
    <row r="191" spans="1:8" s="84" customFormat="1" ht="12.75" hidden="1" x14ac:dyDescent="0.25">
      <c r="A191" s="85"/>
      <c r="E191" s="82"/>
      <c r="F191" s="86"/>
      <c r="G191" s="86"/>
    </row>
    <row r="192" spans="1:8" s="84" customFormat="1" ht="12.75" hidden="1" x14ac:dyDescent="0.25">
      <c r="A192" s="85"/>
      <c r="E192" s="82"/>
      <c r="F192" s="86"/>
      <c r="G192" s="86"/>
    </row>
    <row r="193" spans="5:7" s="84" customFormat="1" ht="12.75" hidden="1" x14ac:dyDescent="0.25">
      <c r="E193" s="82"/>
      <c r="F193" s="86"/>
      <c r="G193" s="86"/>
    </row>
    <row r="194" spans="5:7" s="84" customFormat="1" ht="12.75" hidden="1" x14ac:dyDescent="0.25">
      <c r="E194" s="82"/>
      <c r="F194" s="86"/>
      <c r="G194" s="86"/>
    </row>
    <row r="195" spans="5:7" s="84" customFormat="1" ht="12.75" hidden="1" x14ac:dyDescent="0.25">
      <c r="E195" s="82"/>
      <c r="F195" s="86"/>
      <c r="G195" s="86"/>
    </row>
    <row r="196" spans="5:7" s="84" customFormat="1" ht="12.75" hidden="1" x14ac:dyDescent="0.25">
      <c r="E196" s="82"/>
      <c r="F196" s="86"/>
      <c r="G196" s="86"/>
    </row>
    <row r="197" spans="5:7" s="84" customFormat="1" ht="12.75" hidden="1" x14ac:dyDescent="0.25">
      <c r="E197" s="82"/>
      <c r="F197" s="86"/>
      <c r="G197" s="86"/>
    </row>
    <row r="198" spans="5:7" s="84" customFormat="1" ht="12.75" hidden="1" x14ac:dyDescent="0.25">
      <c r="E198" s="82"/>
      <c r="F198" s="86"/>
      <c r="G198" s="86"/>
    </row>
    <row r="199" spans="5:7" s="84" customFormat="1" ht="12.75" hidden="1" x14ac:dyDescent="0.25">
      <c r="E199" s="82"/>
      <c r="F199" s="86"/>
      <c r="G199" s="86"/>
    </row>
    <row r="200" spans="5:7" s="84" customFormat="1" ht="12.75" hidden="1" x14ac:dyDescent="0.25">
      <c r="E200" s="82"/>
      <c r="F200" s="86"/>
      <c r="G200" s="86"/>
    </row>
    <row r="201" spans="5:7" s="84" customFormat="1" ht="12.75" hidden="1" x14ac:dyDescent="0.25">
      <c r="E201" s="82"/>
      <c r="F201" s="86"/>
      <c r="G201" s="86"/>
    </row>
    <row r="202" spans="5:7" s="84" customFormat="1" ht="12.75" hidden="1" x14ac:dyDescent="0.25">
      <c r="E202" s="82"/>
      <c r="F202" s="86"/>
      <c r="G202" s="86"/>
    </row>
    <row r="203" spans="5:7" s="84" customFormat="1" ht="12.75" hidden="1" x14ac:dyDescent="0.25">
      <c r="E203" s="82"/>
      <c r="F203" s="86"/>
      <c r="G203" s="86"/>
    </row>
    <row r="204" spans="5:7" s="84" customFormat="1" ht="12.75" hidden="1" x14ac:dyDescent="0.25">
      <c r="E204" s="82"/>
      <c r="F204" s="86"/>
      <c r="G204" s="86"/>
    </row>
    <row r="205" spans="5:7" s="84" customFormat="1" ht="12.75" hidden="1" x14ac:dyDescent="0.25">
      <c r="E205" s="82"/>
      <c r="F205" s="86"/>
      <c r="G205" s="86"/>
    </row>
    <row r="206" spans="5:7" s="84" customFormat="1" ht="12.75" hidden="1" x14ac:dyDescent="0.25">
      <c r="E206" s="82"/>
      <c r="F206" s="86"/>
      <c r="G206" s="86"/>
    </row>
    <row r="207" spans="5:7" s="84" customFormat="1" ht="12.75" hidden="1" x14ac:dyDescent="0.25">
      <c r="E207" s="82"/>
      <c r="F207" s="86"/>
      <c r="G207" s="86"/>
    </row>
    <row r="208" spans="5:7" s="84" customFormat="1" ht="12.75" hidden="1" x14ac:dyDescent="0.25">
      <c r="E208" s="82"/>
      <c r="F208" s="86"/>
      <c r="G208" s="86"/>
    </row>
    <row r="209" spans="3:8" s="84" customFormat="1" ht="12.75" hidden="1" x14ac:dyDescent="0.25">
      <c r="E209" s="82"/>
      <c r="F209" s="86"/>
      <c r="G209" s="86"/>
    </row>
    <row r="210" spans="3:8" s="84" customFormat="1" ht="12.75" hidden="1" x14ac:dyDescent="0.25">
      <c r="E210" s="82"/>
      <c r="F210" s="86"/>
      <c r="G210" s="86"/>
    </row>
    <row r="211" spans="3:8" s="84" customFormat="1" ht="12.75" hidden="1" x14ac:dyDescent="0.25">
      <c r="E211" s="82"/>
      <c r="F211" s="86"/>
      <c r="G211" s="86"/>
    </row>
    <row r="212" spans="3:8" s="84" customFormat="1" ht="12.75" hidden="1" x14ac:dyDescent="0.25">
      <c r="E212" s="82"/>
      <c r="F212" s="86"/>
      <c r="G212" s="86"/>
    </row>
    <row r="213" spans="3:8" s="84" customFormat="1" ht="12.75" hidden="1" x14ac:dyDescent="0.25">
      <c r="E213" s="82"/>
      <c r="F213" s="86"/>
      <c r="G213" s="86"/>
    </row>
    <row r="214" spans="3:8" s="84" customFormat="1" hidden="1" x14ac:dyDescent="0.25">
      <c r="E214" s="82"/>
      <c r="F214" s="87"/>
      <c r="G214" s="58"/>
      <c r="H214" s="5"/>
    </row>
    <row r="215" spans="3:8" hidden="1" x14ac:dyDescent="0.25">
      <c r="C215" s="86"/>
      <c r="D215" s="86"/>
      <c r="F215" s="87"/>
    </row>
    <row r="216" spans="3:8" hidden="1" x14ac:dyDescent="0.25"/>
    <row r="217" spans="3:8" hidden="1" x14ac:dyDescent="0.25"/>
    <row r="218" spans="3:8" hidden="1" x14ac:dyDescent="0.25"/>
    <row r="219" spans="3:8" hidden="1" x14ac:dyDescent="0.25"/>
    <row r="220" spans="3:8" hidden="1" x14ac:dyDescent="0.25"/>
    <row r="221" spans="3:8" hidden="1" x14ac:dyDescent="0.25"/>
    <row r="222" spans="3:8" hidden="1" x14ac:dyDescent="0.25"/>
    <row r="223" spans="3:8" hidden="1" x14ac:dyDescent="0.25"/>
    <row r="224" spans="3:8"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sheetData>
  <mergeCells count="6">
    <mergeCell ref="C1:D1"/>
    <mergeCell ref="E1:F1"/>
    <mergeCell ref="C2:D2"/>
    <mergeCell ref="E2:F2"/>
    <mergeCell ref="C3:D3"/>
    <mergeCell ref="E3:F3"/>
  </mergeCells>
  <conditionalFormatting sqref="D7:D12">
    <cfRule type="cellIs" dxfId="319" priority="192" stopIfTrue="1" operator="greaterThan">
      <formula>50</formula>
    </cfRule>
    <cfRule type="cellIs" dxfId="318" priority="200" stopIfTrue="1" operator="equal">
      <formula>0</formula>
    </cfRule>
  </conditionalFormatting>
  <conditionalFormatting sqref="D7:D61">
    <cfRule type="cellIs" dxfId="317" priority="198" stopIfTrue="1" operator="between">
      <formula>-0.1</formula>
      <formula>-50</formula>
    </cfRule>
    <cfRule type="cellIs" dxfId="316" priority="199" stopIfTrue="1" operator="between">
      <formula>0.1</formula>
      <formula>50</formula>
    </cfRule>
  </conditionalFormatting>
  <conditionalFormatting sqref="G7:G150 G152:G181">
    <cfRule type="cellIs" dxfId="315" priority="196" stopIfTrue="1" operator="between">
      <formula>-0.1</formula>
      <formula>-50</formula>
    </cfRule>
    <cfRule type="cellIs" dxfId="314" priority="197" stopIfTrue="1" operator="between">
      <formula>0.1</formula>
      <formula>50</formula>
    </cfRule>
  </conditionalFormatting>
  <conditionalFormatting sqref="D111:D155">
    <cfRule type="cellIs" dxfId="313" priority="194" stopIfTrue="1" operator="between">
      <formula>-0.1</formula>
      <formula>-50</formula>
    </cfRule>
    <cfRule type="cellIs" dxfId="312" priority="195" stopIfTrue="1" operator="between">
      <formula>0.1</formula>
      <formula>50</formula>
    </cfRule>
  </conditionalFormatting>
  <conditionalFormatting sqref="G165">
    <cfRule type="expression" dxfId="311" priority="193" stopIfTrue="1">
      <formula>AND($G$165&gt;0,$G$151&gt;0)</formula>
    </cfRule>
  </conditionalFormatting>
  <conditionalFormatting sqref="G151">
    <cfRule type="expression" dxfId="310" priority="191" stopIfTrue="1">
      <formula>AND($G$151&gt;0,$G$165&gt;0)</formula>
    </cfRule>
  </conditionalFormatting>
  <conditionalFormatting sqref="D13">
    <cfRule type="cellIs" dxfId="309" priority="53" stopIfTrue="1" operator="greaterThan">
      <formula>50</formula>
    </cfRule>
    <cfRule type="cellIs" dxfId="308" priority="54" stopIfTrue="1" operator="equal">
      <formula>0</formula>
    </cfRule>
  </conditionalFormatting>
  <conditionalFormatting sqref="D19">
    <cfRule type="cellIs" dxfId="307" priority="51" stopIfTrue="1" operator="greaterThan">
      <formula>50</formula>
    </cfRule>
    <cfRule type="cellIs" dxfId="306" priority="52" stopIfTrue="1" operator="equal">
      <formula>0</formula>
    </cfRule>
  </conditionalFormatting>
  <conditionalFormatting sqref="D30">
    <cfRule type="cellIs" dxfId="305" priority="49" stopIfTrue="1" operator="greaterThan">
      <formula>50</formula>
    </cfRule>
    <cfRule type="cellIs" dxfId="304" priority="50" stopIfTrue="1" operator="equal">
      <formula>0</formula>
    </cfRule>
  </conditionalFormatting>
  <conditionalFormatting sqref="D22">
    <cfRule type="cellIs" dxfId="303" priority="47" stopIfTrue="1" operator="greaterThan">
      <formula>50</formula>
    </cfRule>
    <cfRule type="cellIs" dxfId="302" priority="48" stopIfTrue="1" operator="equal">
      <formula>0</formula>
    </cfRule>
  </conditionalFormatting>
  <conditionalFormatting sqref="D23">
    <cfRule type="cellIs" dxfId="301" priority="45" stopIfTrue="1" operator="greaterThan">
      <formula>50</formula>
    </cfRule>
    <cfRule type="cellIs" dxfId="300" priority="46" stopIfTrue="1" operator="equal">
      <formula>0</formula>
    </cfRule>
  </conditionalFormatting>
  <conditionalFormatting sqref="D24">
    <cfRule type="cellIs" dxfId="299" priority="43" stopIfTrue="1" operator="greaterThan">
      <formula>50</formula>
    </cfRule>
    <cfRule type="cellIs" dxfId="298" priority="44" stopIfTrue="1" operator="equal">
      <formula>0</formula>
    </cfRule>
  </conditionalFormatting>
  <conditionalFormatting sqref="D25">
    <cfRule type="cellIs" dxfId="297" priority="41" stopIfTrue="1" operator="greaterThan">
      <formula>50</formula>
    </cfRule>
    <cfRule type="cellIs" dxfId="296" priority="42" stopIfTrue="1" operator="equal">
      <formula>0</formula>
    </cfRule>
  </conditionalFormatting>
  <conditionalFormatting sqref="D26">
    <cfRule type="cellIs" dxfId="295" priority="39" stopIfTrue="1" operator="greaterThan">
      <formula>50</formula>
    </cfRule>
    <cfRule type="cellIs" dxfId="294" priority="40" stopIfTrue="1" operator="equal">
      <formula>0</formula>
    </cfRule>
  </conditionalFormatting>
  <conditionalFormatting sqref="D27">
    <cfRule type="cellIs" dxfId="293" priority="37" stopIfTrue="1" operator="greaterThan">
      <formula>50</formula>
    </cfRule>
    <cfRule type="cellIs" dxfId="292" priority="38" stopIfTrue="1" operator="equal">
      <formula>0</formula>
    </cfRule>
  </conditionalFormatting>
  <conditionalFormatting sqref="D28">
    <cfRule type="cellIs" dxfId="291" priority="35" stopIfTrue="1" operator="greaterThan">
      <formula>50</formula>
    </cfRule>
    <cfRule type="cellIs" dxfId="290" priority="36" stopIfTrue="1" operator="equal">
      <formula>0</formula>
    </cfRule>
  </conditionalFormatting>
  <conditionalFormatting sqref="D31">
    <cfRule type="cellIs" dxfId="289" priority="33" stopIfTrue="1" operator="greaterThan">
      <formula>50</formula>
    </cfRule>
    <cfRule type="cellIs" dxfId="288" priority="34" stopIfTrue="1" operator="equal">
      <formula>0</formula>
    </cfRule>
  </conditionalFormatting>
  <conditionalFormatting sqref="D32">
    <cfRule type="cellIs" dxfId="287" priority="31" stopIfTrue="1" operator="greaterThan">
      <formula>50</formula>
    </cfRule>
    <cfRule type="cellIs" dxfId="286" priority="32" stopIfTrue="1" operator="equal">
      <formula>0</formula>
    </cfRule>
  </conditionalFormatting>
  <conditionalFormatting sqref="D33">
    <cfRule type="cellIs" dxfId="285" priority="29" stopIfTrue="1" operator="greaterThan">
      <formula>50</formula>
    </cfRule>
    <cfRule type="cellIs" dxfId="284" priority="30" stopIfTrue="1" operator="equal">
      <formula>0</formula>
    </cfRule>
  </conditionalFormatting>
  <conditionalFormatting sqref="D34">
    <cfRule type="cellIs" dxfId="283" priority="27" stopIfTrue="1" operator="greaterThan">
      <formula>50</formula>
    </cfRule>
    <cfRule type="cellIs" dxfId="282" priority="28" stopIfTrue="1" operator="equal">
      <formula>0</formula>
    </cfRule>
  </conditionalFormatting>
  <conditionalFormatting sqref="D36">
    <cfRule type="cellIs" dxfId="281" priority="25" stopIfTrue="1" operator="greaterThan">
      <formula>50</formula>
    </cfRule>
    <cfRule type="cellIs" dxfId="280" priority="26" stopIfTrue="1" operator="equal">
      <formula>0</formula>
    </cfRule>
  </conditionalFormatting>
  <conditionalFormatting sqref="D37">
    <cfRule type="cellIs" dxfId="279" priority="23" stopIfTrue="1" operator="greaterThan">
      <formula>50</formula>
    </cfRule>
    <cfRule type="cellIs" dxfId="278" priority="24" stopIfTrue="1" operator="equal">
      <formula>0</formula>
    </cfRule>
  </conditionalFormatting>
  <conditionalFormatting sqref="D43">
    <cfRule type="cellIs" dxfId="277" priority="21" stopIfTrue="1" operator="greaterThan">
      <formula>50</formula>
    </cfRule>
    <cfRule type="cellIs" dxfId="276" priority="22" stopIfTrue="1" operator="equal">
      <formula>0</formula>
    </cfRule>
  </conditionalFormatting>
  <conditionalFormatting sqref="D42">
    <cfRule type="cellIs" dxfId="275" priority="19" stopIfTrue="1" operator="greaterThan">
      <formula>50</formula>
    </cfRule>
    <cfRule type="cellIs" dxfId="274" priority="20" stopIfTrue="1" operator="equal">
      <formula>0</formula>
    </cfRule>
  </conditionalFormatting>
  <conditionalFormatting sqref="D46">
    <cfRule type="cellIs" dxfId="273" priority="17" stopIfTrue="1" operator="greaterThan">
      <formula>50</formula>
    </cfRule>
    <cfRule type="cellIs" dxfId="272" priority="18" stopIfTrue="1" operator="equal">
      <formula>0</formula>
    </cfRule>
  </conditionalFormatting>
  <conditionalFormatting sqref="D50">
    <cfRule type="cellIs" dxfId="271" priority="15" stopIfTrue="1" operator="greaterThan">
      <formula>50</formula>
    </cfRule>
    <cfRule type="cellIs" dxfId="270" priority="16" stopIfTrue="1" operator="equal">
      <formula>0</formula>
    </cfRule>
  </conditionalFormatting>
  <conditionalFormatting sqref="D51">
    <cfRule type="cellIs" dxfId="269" priority="13" stopIfTrue="1" operator="greaterThan">
      <formula>50</formula>
    </cfRule>
    <cfRule type="cellIs" dxfId="268" priority="14" stopIfTrue="1" operator="equal">
      <formula>0</formula>
    </cfRule>
  </conditionalFormatting>
  <conditionalFormatting sqref="D56">
    <cfRule type="cellIs" dxfId="267" priority="11" stopIfTrue="1" operator="greaterThan">
      <formula>50</formula>
    </cfRule>
    <cfRule type="cellIs" dxfId="266" priority="12" stopIfTrue="1" operator="equal">
      <formula>0</formula>
    </cfRule>
  </conditionalFormatting>
  <conditionalFormatting sqref="D59">
    <cfRule type="cellIs" dxfId="265" priority="9" stopIfTrue="1" operator="greaterThan">
      <formula>50</formula>
    </cfRule>
    <cfRule type="cellIs" dxfId="264" priority="10" stopIfTrue="1" operator="equal">
      <formula>0</formula>
    </cfRule>
  </conditionalFormatting>
  <conditionalFormatting sqref="D59">
    <cfRule type="cellIs" dxfId="263" priority="7" stopIfTrue="1" operator="greaterThan">
      <formula>50</formula>
    </cfRule>
    <cfRule type="cellIs" dxfId="262" priority="8" stopIfTrue="1" operator="equal">
      <formula>0</formula>
    </cfRule>
  </conditionalFormatting>
  <dataValidations disablePrompts="1" count="11">
    <dataValidation type="custom" operator="greaterThan" showInputMessage="1" showErrorMessage="1" errorTitle="RDM" error="No se admite ingresar RDM como ingresos y egresos a la vez. Tampoco se admiten valores menores a $50._x000a_" sqref="G151">
      <formula1>AND(OR(G151=0, G151&gt;50),G165=0)</formula1>
    </dataValidation>
    <dataValidation type="whole" operator="greaterThan" allowBlank="1" showInputMessage="1" showErrorMessage="1" sqref="D8:D12">
      <formula1>50</formula1>
    </dataValidation>
    <dataValidation type="whole" operator="greaterThan" showInputMessage="1" showErrorMessage="1" errorTitle="eee" error="Valores mayores a $50" sqref="D7">
      <formula1>50</formula1>
    </dataValidation>
    <dataValidation type="custom" operator="greaterThan" showInputMessage="1" showErrorMessage="1" errorTitle="eee" sqref="D56">
      <formula1>OR(D56=0, D56&lt;50)</formula1>
    </dataValidation>
    <dataValidation type="custom" operator="greaterThan" showInputMessage="1" showErrorMessage="1" errorTitle="eee" sqref="D57:D61">
      <formula1>OR(D57=0, D57&lt;0)</formula1>
    </dataValidation>
    <dataValidation type="custom" operator="greaterThan" showInputMessage="1" showErrorMessage="1" errorTitle="eee" sqref="G7:G140 D62:D155 D13:D55 G166:G181 G144:G150 G152:G164">
      <formula1>OR(D7=0, D7&gt;50)</formula1>
    </dataValidation>
    <dataValidation type="whole" allowBlank="1" showErrorMessage="1" errorTitle="Error de datos" error="Debe ingresar un valor entre 1 y 12" sqref="G1:G3">
      <formula1>1</formula1>
      <formula2>12</formula2>
    </dataValidation>
    <dataValidation allowBlank="1" errorTitle="Error de datos" error="Debe introducir una fecha válida" sqref="E3"/>
    <dataValidation allowBlank="1" sqref="G204"/>
    <dataValidation operator="greaterThanOrEqual" allowBlank="1" errorTitle="Error de datos" error="Debe ingresar un valor entero positivo" sqref="F6:F107 F203 C13:C47 C106:C153 F171 F174:F178 F180 F111:F119 C7:C10 F121:F140 F143:F169 C49:C62 C155 F109"/>
    <dataValidation type="custom" operator="greaterThan" showInputMessage="1" showErrorMessage="1" errorTitle="rdm2" error="No se admite ingresar a la vez RDM como ingresos y como egresos. Tampoco se admiten valores negattivos o positivos menores de 50" sqref="G165">
      <formula1>AND(OR(G165=0, G165&gt;50),G151=0)</formula1>
    </dataValidation>
  </dataValidations>
  <pageMargins left="0.7" right="0.7" top="0.75" bottom="0.75" header="0.3" footer="0.3"/>
  <ignoredErrors>
    <ignoredError sqref="E7:E106 E112:E181" numberStoredAsText="1"/>
    <ignoredError sqref="G40" formulaRange="1"/>
  </ignoredErrors>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26"/>
  <sheetViews>
    <sheetView showGridLines="0" workbookViewId="0">
      <selection activeCell="F4" sqref="F4"/>
    </sheetView>
  </sheetViews>
  <sheetFormatPr baseColWidth="10" defaultColWidth="0" defaultRowHeight="15" zeroHeight="1" x14ac:dyDescent="0.25"/>
  <cols>
    <col min="1" max="1" width="3.7109375" style="1" customWidth="1"/>
    <col min="2" max="2" width="14.28515625" style="7" hidden="1" customWidth="1"/>
    <col min="3" max="3" width="58.42578125" style="58" customWidth="1"/>
    <col min="4" max="4" width="25.140625" style="58" customWidth="1"/>
    <col min="5" max="5" width="5.85546875" style="82" customWidth="1"/>
    <col min="6" max="6" width="57.28515625" style="58" customWidth="1"/>
    <col min="7" max="7" width="24.7109375" style="58" customWidth="1"/>
    <col min="8" max="8" width="5.42578125" style="5" customWidth="1"/>
    <col min="9" max="16384" width="0" style="5" hidden="1"/>
  </cols>
  <sheetData>
    <row r="1" spans="1:9" ht="15.75" x14ac:dyDescent="0.25">
      <c r="B1" s="2"/>
      <c r="C1" s="313" t="s">
        <v>0</v>
      </c>
      <c r="D1" s="314"/>
      <c r="E1" s="315" t="str">
        <f>[13]Presentacion!C2</f>
        <v>CRAMI</v>
      </c>
      <c r="F1" s="315"/>
      <c r="G1" s="3"/>
      <c r="H1" s="4"/>
    </row>
    <row r="2" spans="1:9" ht="15.75" x14ac:dyDescent="0.25">
      <c r="B2" s="6"/>
      <c r="C2" s="313" t="s">
        <v>1</v>
      </c>
      <c r="D2" s="314"/>
      <c r="E2" s="315" t="str">
        <f>[13]Presentacion!C3</f>
        <v>Canelones</v>
      </c>
      <c r="F2" s="315"/>
      <c r="G2" s="3"/>
      <c r="H2" s="4"/>
    </row>
    <row r="3" spans="1:9" ht="15.75" x14ac:dyDescent="0.25">
      <c r="B3" s="6"/>
      <c r="C3" s="313" t="s">
        <v>2</v>
      </c>
      <c r="D3" s="316"/>
      <c r="E3" s="317" t="s">
        <v>3</v>
      </c>
      <c r="F3" s="317"/>
      <c r="G3" s="3"/>
      <c r="H3" s="4"/>
    </row>
    <row r="4" spans="1:9" ht="15.75" thickBot="1" x14ac:dyDescent="0.3">
      <c r="C4" s="287"/>
      <c r="D4" s="8"/>
      <c r="E4" s="9"/>
      <c r="F4" s="10"/>
      <c r="G4" s="11"/>
    </row>
    <row r="5" spans="1:9" ht="16.5" thickBot="1" x14ac:dyDescent="0.3">
      <c r="B5" s="12"/>
      <c r="C5" s="13" t="s">
        <v>4</v>
      </c>
      <c r="D5" s="284" t="s">
        <v>5</v>
      </c>
      <c r="E5" s="14"/>
      <c r="F5" s="13" t="s">
        <v>6</v>
      </c>
      <c r="G5" s="284" t="s">
        <v>5</v>
      </c>
      <c r="I5" s="15"/>
    </row>
    <row r="6" spans="1:9" ht="16.5" thickBot="1" x14ac:dyDescent="0.3">
      <c r="B6" s="12"/>
      <c r="C6" s="16" t="s">
        <v>7</v>
      </c>
      <c r="D6" s="290">
        <f>+[13]E.S.P.!D6</f>
        <v>2020</v>
      </c>
      <c r="E6" s="18"/>
      <c r="F6" s="16" t="s">
        <v>8</v>
      </c>
      <c r="G6" s="290">
        <f>+D6</f>
        <v>2020</v>
      </c>
      <c r="H6" s="15"/>
    </row>
    <row r="7" spans="1:9" x14ac:dyDescent="0.25">
      <c r="B7" s="6" t="s">
        <v>9</v>
      </c>
      <c r="C7" s="19" t="s">
        <v>10</v>
      </c>
      <c r="D7" s="20">
        <v>20078325.52</v>
      </c>
      <c r="E7" s="21" t="s">
        <v>11</v>
      </c>
      <c r="F7" s="22" t="s">
        <v>12</v>
      </c>
      <c r="G7" s="23">
        <v>34261847.520000003</v>
      </c>
    </row>
    <row r="8" spans="1:9" x14ac:dyDescent="0.25">
      <c r="B8" s="6" t="s">
        <v>13</v>
      </c>
      <c r="C8" s="19" t="s">
        <v>14</v>
      </c>
      <c r="D8" s="20">
        <v>43201255</v>
      </c>
      <c r="E8" s="21" t="s">
        <v>15</v>
      </c>
      <c r="F8" s="19" t="s">
        <v>16</v>
      </c>
      <c r="G8" s="24">
        <v>35914182.299999997</v>
      </c>
    </row>
    <row r="9" spans="1:9" x14ac:dyDescent="0.25">
      <c r="B9" s="6" t="s">
        <v>17</v>
      </c>
      <c r="C9" s="19" t="s">
        <v>18</v>
      </c>
      <c r="D9" s="20">
        <v>1081817545.48</v>
      </c>
      <c r="E9" s="21" t="s">
        <v>19</v>
      </c>
      <c r="F9" s="19" t="s">
        <v>20</v>
      </c>
      <c r="G9" s="20">
        <v>40669304.600000001</v>
      </c>
    </row>
    <row r="10" spans="1:9" x14ac:dyDescent="0.25">
      <c r="B10" s="6" t="s">
        <v>21</v>
      </c>
      <c r="C10" s="19" t="s">
        <v>22</v>
      </c>
      <c r="D10" s="20">
        <v>83991140.519999996</v>
      </c>
      <c r="E10" s="21" t="s">
        <v>23</v>
      </c>
      <c r="F10" s="19" t="s">
        <v>24</v>
      </c>
      <c r="G10" s="20">
        <v>53259284.710000001</v>
      </c>
    </row>
    <row r="11" spans="1:9" x14ac:dyDescent="0.25">
      <c r="B11" s="6" t="s">
        <v>25</v>
      </c>
      <c r="C11" s="19" t="s">
        <v>26</v>
      </c>
      <c r="D11" s="20">
        <v>25101371</v>
      </c>
      <c r="E11" s="21" t="s">
        <v>27</v>
      </c>
      <c r="F11" s="19" t="s">
        <v>28</v>
      </c>
      <c r="G11" s="20">
        <v>104680047.48999999</v>
      </c>
    </row>
    <row r="12" spans="1:9" x14ac:dyDescent="0.25">
      <c r="B12" s="6" t="s">
        <v>29</v>
      </c>
      <c r="C12" s="19" t="s">
        <v>30</v>
      </c>
      <c r="D12" s="20">
        <v>19816953.859999999</v>
      </c>
      <c r="E12" s="21" t="s">
        <v>31</v>
      </c>
      <c r="F12" s="19" t="s">
        <v>32</v>
      </c>
      <c r="G12" s="20">
        <v>7444344.7000000002</v>
      </c>
    </row>
    <row r="13" spans="1:9" x14ac:dyDescent="0.25">
      <c r="B13" s="6" t="s">
        <v>33</v>
      </c>
      <c r="C13" s="19" t="s">
        <v>34</v>
      </c>
      <c r="D13" s="20">
        <v>5510068.7699999996</v>
      </c>
      <c r="E13" s="21" t="s">
        <v>35</v>
      </c>
      <c r="F13" s="19" t="s">
        <v>36</v>
      </c>
      <c r="G13" s="20">
        <v>23304609.890000001</v>
      </c>
    </row>
    <row r="14" spans="1:9" x14ac:dyDescent="0.25">
      <c r="A14" s="25"/>
      <c r="B14" s="6" t="s">
        <v>37</v>
      </c>
      <c r="C14" s="19" t="s">
        <v>38</v>
      </c>
      <c r="D14" s="20"/>
      <c r="E14" s="21" t="s">
        <v>39</v>
      </c>
      <c r="F14" s="19" t="s">
        <v>40</v>
      </c>
      <c r="G14" s="20">
        <v>204633799.65000001</v>
      </c>
    </row>
    <row r="15" spans="1:9" x14ac:dyDescent="0.25">
      <c r="B15" s="6" t="s">
        <v>41</v>
      </c>
      <c r="C15" s="26" t="s">
        <v>42</v>
      </c>
      <c r="D15" s="20">
        <v>9704018.0399999991</v>
      </c>
      <c r="E15" s="21" t="s">
        <v>43</v>
      </c>
      <c r="F15" s="19" t="s">
        <v>44</v>
      </c>
      <c r="G15" s="20">
        <v>91380569.420000002</v>
      </c>
    </row>
    <row r="16" spans="1:9" x14ac:dyDescent="0.25">
      <c r="B16" s="6" t="s">
        <v>45</v>
      </c>
      <c r="C16" s="19" t="s">
        <v>46</v>
      </c>
      <c r="D16" s="20"/>
      <c r="E16" s="21" t="s">
        <v>47</v>
      </c>
      <c r="F16" s="19" t="s">
        <v>48</v>
      </c>
      <c r="G16" s="20">
        <v>93679287.859999999</v>
      </c>
    </row>
    <row r="17" spans="1:7" x14ac:dyDescent="0.25">
      <c r="B17" s="6" t="s">
        <v>49</v>
      </c>
      <c r="C17" s="19" t="s">
        <v>50</v>
      </c>
      <c r="D17" s="20"/>
      <c r="E17" s="21" t="s">
        <v>51</v>
      </c>
      <c r="F17" s="19" t="s">
        <v>52</v>
      </c>
      <c r="G17" s="20"/>
    </row>
    <row r="18" spans="1:7" x14ac:dyDescent="0.25">
      <c r="A18" s="25"/>
      <c r="B18" s="6" t="s">
        <v>53</v>
      </c>
      <c r="C18" s="19" t="s">
        <v>54</v>
      </c>
      <c r="D18" s="20">
        <v>3843742.12</v>
      </c>
      <c r="E18" s="21" t="s">
        <v>55</v>
      </c>
      <c r="F18" s="19" t="s">
        <v>56</v>
      </c>
      <c r="G18" s="27">
        <v>30209305.629999999</v>
      </c>
    </row>
    <row r="19" spans="1:7" ht="15.75" thickBot="1" x14ac:dyDescent="0.3">
      <c r="A19" s="25"/>
      <c r="B19" s="6" t="s">
        <v>57</v>
      </c>
      <c r="C19" s="19" t="s">
        <v>58</v>
      </c>
      <c r="D19" s="20">
        <v>54901732.829999998</v>
      </c>
      <c r="E19" s="21"/>
      <c r="F19" s="28" t="s">
        <v>59</v>
      </c>
      <c r="G19" s="29">
        <f>SUM(G7:G18)</f>
        <v>719436583.76999998</v>
      </c>
    </row>
    <row r="20" spans="1:7" ht="15.75" thickBot="1" x14ac:dyDescent="0.3">
      <c r="B20" s="6"/>
      <c r="C20" s="28" t="s">
        <v>60</v>
      </c>
      <c r="D20" s="29">
        <f>SUM(D7:D19)</f>
        <v>1347966153.1399996</v>
      </c>
      <c r="E20" s="21" t="s">
        <v>61</v>
      </c>
      <c r="F20" s="22" t="s">
        <v>62</v>
      </c>
      <c r="G20" s="23">
        <v>1450065.34</v>
      </c>
    </row>
    <row r="21" spans="1:7" x14ac:dyDescent="0.25">
      <c r="B21" s="6"/>
      <c r="C21" s="30" t="s">
        <v>63</v>
      </c>
      <c r="D21" s="31">
        <f>SUM(D22:D28)</f>
        <v>9839963.160000002</v>
      </c>
      <c r="E21" s="21" t="s">
        <v>64</v>
      </c>
      <c r="F21" s="19" t="s">
        <v>65</v>
      </c>
      <c r="G21" s="20">
        <v>9915384.4000000004</v>
      </c>
    </row>
    <row r="22" spans="1:7" x14ac:dyDescent="0.25">
      <c r="B22" s="6" t="s">
        <v>66</v>
      </c>
      <c r="C22" s="19" t="s">
        <v>67</v>
      </c>
      <c r="D22" s="20">
        <v>5121543.54</v>
      </c>
      <c r="E22" s="21" t="s">
        <v>68</v>
      </c>
      <c r="F22" s="19" t="s">
        <v>69</v>
      </c>
      <c r="G22" s="20">
        <v>4038756.62</v>
      </c>
    </row>
    <row r="23" spans="1:7" x14ac:dyDescent="0.25">
      <c r="B23" s="6" t="s">
        <v>70</v>
      </c>
      <c r="C23" s="19" t="s">
        <v>71</v>
      </c>
      <c r="D23" s="20">
        <v>561833.89</v>
      </c>
      <c r="E23" s="21" t="s">
        <v>72</v>
      </c>
      <c r="F23" s="19" t="s">
        <v>73</v>
      </c>
      <c r="G23" s="20">
        <v>17089430.289999999</v>
      </c>
    </row>
    <row r="24" spans="1:7" x14ac:dyDescent="0.25">
      <c r="B24" s="6" t="s">
        <v>74</v>
      </c>
      <c r="C24" s="19" t="s">
        <v>75</v>
      </c>
      <c r="D24" s="20">
        <v>2221583.2200000002</v>
      </c>
      <c r="E24" s="21" t="s">
        <v>76</v>
      </c>
      <c r="F24" s="19" t="s">
        <v>77</v>
      </c>
      <c r="G24" s="20">
        <v>6626306.6100000003</v>
      </c>
    </row>
    <row r="25" spans="1:7" x14ac:dyDescent="0.25">
      <c r="B25" s="6" t="s">
        <v>78</v>
      </c>
      <c r="C25" s="19" t="s">
        <v>79</v>
      </c>
      <c r="D25" s="20">
        <v>1182085</v>
      </c>
      <c r="E25" s="21" t="s">
        <v>80</v>
      </c>
      <c r="F25" s="19" t="s">
        <v>81</v>
      </c>
      <c r="G25" s="20">
        <v>6885437.1900000004</v>
      </c>
    </row>
    <row r="26" spans="1:7" x14ac:dyDescent="0.25">
      <c r="B26" s="6" t="s">
        <v>82</v>
      </c>
      <c r="C26" s="19" t="s">
        <v>83</v>
      </c>
      <c r="D26" s="20">
        <v>68306.710000000006</v>
      </c>
      <c r="E26" s="21" t="s">
        <v>84</v>
      </c>
      <c r="F26" s="19" t="s">
        <v>85</v>
      </c>
      <c r="G26" s="27">
        <v>2007410.18</v>
      </c>
    </row>
    <row r="27" spans="1:7" ht="15.75" thickBot="1" x14ac:dyDescent="0.3">
      <c r="B27" s="6" t="s">
        <v>86</v>
      </c>
      <c r="C27" s="19" t="s">
        <v>87</v>
      </c>
      <c r="D27" s="20">
        <v>275685.57</v>
      </c>
      <c r="E27" s="21"/>
      <c r="F27" s="28" t="s">
        <v>88</v>
      </c>
      <c r="G27" s="29">
        <f>SUM(G20:G26)</f>
        <v>48012790.629999995</v>
      </c>
    </row>
    <row r="28" spans="1:7" x14ac:dyDescent="0.25">
      <c r="B28" s="6" t="s">
        <v>89</v>
      </c>
      <c r="C28" s="19" t="s">
        <v>90</v>
      </c>
      <c r="D28" s="20">
        <v>408925.23</v>
      </c>
      <c r="E28" s="21" t="s">
        <v>91</v>
      </c>
      <c r="F28" s="22" t="s">
        <v>92</v>
      </c>
      <c r="G28" s="23">
        <v>142939240.74000001</v>
      </c>
    </row>
    <row r="29" spans="1:7" x14ac:dyDescent="0.25">
      <c r="B29" s="6"/>
      <c r="C29" s="32" t="s">
        <v>93</v>
      </c>
      <c r="D29" s="31">
        <f>SUM(D30:D34)</f>
        <v>127962536.55000001</v>
      </c>
      <c r="E29" s="21" t="s">
        <v>94</v>
      </c>
      <c r="F29" s="19" t="s">
        <v>95</v>
      </c>
      <c r="G29" s="20"/>
    </row>
    <row r="30" spans="1:7" x14ac:dyDescent="0.25">
      <c r="B30" s="6" t="s">
        <v>96</v>
      </c>
      <c r="C30" s="19" t="s">
        <v>97</v>
      </c>
      <c r="D30" s="20">
        <v>99606955.040000007</v>
      </c>
      <c r="E30" s="21" t="s">
        <v>98</v>
      </c>
      <c r="F30" s="19" t="s">
        <v>99</v>
      </c>
      <c r="G30" s="20">
        <v>1955612.52</v>
      </c>
    </row>
    <row r="31" spans="1:7" x14ac:dyDescent="0.25">
      <c r="B31" s="6" t="s">
        <v>100</v>
      </c>
      <c r="C31" s="19" t="s">
        <v>101</v>
      </c>
      <c r="D31" s="20">
        <v>9999854.3100000005</v>
      </c>
      <c r="E31" s="21" t="s">
        <v>102</v>
      </c>
      <c r="F31" s="19" t="s">
        <v>103</v>
      </c>
      <c r="G31" s="27">
        <v>6389846.9900000002</v>
      </c>
    </row>
    <row r="32" spans="1:7" ht="15.75" thickBot="1" x14ac:dyDescent="0.3">
      <c r="B32" s="6" t="s">
        <v>104</v>
      </c>
      <c r="C32" s="19" t="s">
        <v>105</v>
      </c>
      <c r="D32" s="20">
        <v>12773217.57</v>
      </c>
      <c r="E32" s="21"/>
      <c r="F32" s="28" t="s">
        <v>106</v>
      </c>
      <c r="G32" s="29">
        <f>SUM(G28:G31)</f>
        <v>151284700.25000003</v>
      </c>
    </row>
    <row r="33" spans="2:7" x14ac:dyDescent="0.25">
      <c r="B33" s="6" t="s">
        <v>107</v>
      </c>
      <c r="C33" s="19" t="s">
        <v>108</v>
      </c>
      <c r="D33" s="20">
        <v>278328.71999999997</v>
      </c>
      <c r="E33" s="21"/>
      <c r="F33" s="32" t="s">
        <v>109</v>
      </c>
      <c r="G33" s="31">
        <f>SUM(G34:G39)</f>
        <v>89383138.159999996</v>
      </c>
    </row>
    <row r="34" spans="2:7" x14ac:dyDescent="0.25">
      <c r="B34" s="6" t="s">
        <v>110</v>
      </c>
      <c r="C34" s="19" t="s">
        <v>111</v>
      </c>
      <c r="D34" s="20">
        <v>5304180.91</v>
      </c>
      <c r="E34" s="21" t="s">
        <v>112</v>
      </c>
      <c r="F34" s="19" t="s">
        <v>113</v>
      </c>
      <c r="G34" s="20">
        <v>4900938.4400000004</v>
      </c>
    </row>
    <row r="35" spans="2:7" ht="15.75" thickBot="1" x14ac:dyDescent="0.3">
      <c r="B35" s="6"/>
      <c r="C35" s="28" t="s">
        <v>114</v>
      </c>
      <c r="D35" s="29">
        <f>+D21+D29</f>
        <v>137802499.71000001</v>
      </c>
      <c r="E35" s="21" t="s">
        <v>115</v>
      </c>
      <c r="F35" s="19" t="s">
        <v>116</v>
      </c>
      <c r="G35" s="20">
        <v>1690105.53</v>
      </c>
    </row>
    <row r="36" spans="2:7" x14ac:dyDescent="0.25">
      <c r="B36" s="6" t="s">
        <v>117</v>
      </c>
      <c r="C36" s="19" t="s">
        <v>118</v>
      </c>
      <c r="D36" s="20"/>
      <c r="E36" s="21" t="s">
        <v>119</v>
      </c>
      <c r="F36" s="19" t="s">
        <v>120</v>
      </c>
      <c r="G36" s="20">
        <v>3184729.16</v>
      </c>
    </row>
    <row r="37" spans="2:7" x14ac:dyDescent="0.25">
      <c r="B37" s="6" t="s">
        <v>121</v>
      </c>
      <c r="C37" s="19" t="s">
        <v>122</v>
      </c>
      <c r="D37" s="20">
        <v>34683463.670000002</v>
      </c>
      <c r="E37" s="21" t="s">
        <v>123</v>
      </c>
      <c r="F37" s="19" t="s">
        <v>124</v>
      </c>
      <c r="G37" s="20">
        <v>8609624.5999999996</v>
      </c>
    </row>
    <row r="38" spans="2:7" x14ac:dyDescent="0.25">
      <c r="B38" s="6" t="s">
        <v>125</v>
      </c>
      <c r="C38" s="19" t="s">
        <v>126</v>
      </c>
      <c r="D38" s="20"/>
      <c r="E38" s="21" t="s">
        <v>127</v>
      </c>
      <c r="F38" s="19" t="s">
        <v>128</v>
      </c>
      <c r="G38" s="20">
        <v>17604666.539999999</v>
      </c>
    </row>
    <row r="39" spans="2:7" x14ac:dyDescent="0.25">
      <c r="B39" s="6" t="s">
        <v>129</v>
      </c>
      <c r="C39" s="19" t="s">
        <v>130</v>
      </c>
      <c r="D39" s="20"/>
      <c r="E39" s="21" t="s">
        <v>131</v>
      </c>
      <c r="F39" s="19" t="s">
        <v>132</v>
      </c>
      <c r="G39" s="20">
        <v>53393073.890000001</v>
      </c>
    </row>
    <row r="40" spans="2:7" x14ac:dyDescent="0.25">
      <c r="B40" s="6" t="s">
        <v>133</v>
      </c>
      <c r="C40" s="19" t="s">
        <v>134</v>
      </c>
      <c r="D40" s="20">
        <v>4055996.64</v>
      </c>
      <c r="E40" s="21"/>
      <c r="F40" s="33" t="s">
        <v>135</v>
      </c>
      <c r="G40" s="34">
        <f>SUM(G41:G46)</f>
        <v>22078649.630000003</v>
      </c>
    </row>
    <row r="41" spans="2:7" x14ac:dyDescent="0.25">
      <c r="B41" s="6" t="s">
        <v>136</v>
      </c>
      <c r="C41" s="19" t="s">
        <v>137</v>
      </c>
      <c r="D41" s="20"/>
      <c r="E41" s="21" t="s">
        <v>138</v>
      </c>
      <c r="F41" s="19" t="s">
        <v>139</v>
      </c>
      <c r="G41" s="20">
        <v>5838980.3600000003</v>
      </c>
    </row>
    <row r="42" spans="2:7" x14ac:dyDescent="0.25">
      <c r="B42" s="6" t="s">
        <v>140</v>
      </c>
      <c r="C42" s="19" t="s">
        <v>141</v>
      </c>
      <c r="D42" s="20">
        <v>23339026</v>
      </c>
      <c r="E42" s="21" t="s">
        <v>142</v>
      </c>
      <c r="F42" s="19" t="s">
        <v>143</v>
      </c>
      <c r="G42" s="20">
        <v>40883.24</v>
      </c>
    </row>
    <row r="43" spans="2:7" x14ac:dyDescent="0.25">
      <c r="B43" s="6" t="s">
        <v>144</v>
      </c>
      <c r="C43" s="19" t="s">
        <v>145</v>
      </c>
      <c r="D43" s="20"/>
      <c r="E43" s="21" t="s">
        <v>146</v>
      </c>
      <c r="F43" s="19" t="s">
        <v>147</v>
      </c>
      <c r="G43" s="20">
        <v>2067269.83</v>
      </c>
    </row>
    <row r="44" spans="2:7" x14ac:dyDescent="0.25">
      <c r="B44" s="6" t="s">
        <v>148</v>
      </c>
      <c r="C44" s="19" t="s">
        <v>149</v>
      </c>
      <c r="D44" s="20"/>
      <c r="E44" s="21" t="s">
        <v>150</v>
      </c>
      <c r="F44" s="19" t="s">
        <v>151</v>
      </c>
      <c r="G44" s="20">
        <v>345475.12</v>
      </c>
    </row>
    <row r="45" spans="2:7" x14ac:dyDescent="0.25">
      <c r="B45" s="6" t="s">
        <v>152</v>
      </c>
      <c r="C45" s="19" t="s">
        <v>153</v>
      </c>
      <c r="D45" s="20">
        <v>1006992.34</v>
      </c>
      <c r="E45" s="21" t="s">
        <v>154</v>
      </c>
      <c r="F45" s="19" t="s">
        <v>155</v>
      </c>
      <c r="G45" s="20">
        <v>2070433.52</v>
      </c>
    </row>
    <row r="46" spans="2:7" x14ac:dyDescent="0.25">
      <c r="B46" s="6" t="s">
        <v>156</v>
      </c>
      <c r="C46" s="19" t="s">
        <v>157</v>
      </c>
      <c r="D46" s="20">
        <v>2783593.09</v>
      </c>
      <c r="E46" s="21" t="s">
        <v>158</v>
      </c>
      <c r="F46" s="19" t="s">
        <v>159</v>
      </c>
      <c r="G46" s="20">
        <v>11715607.560000001</v>
      </c>
    </row>
    <row r="47" spans="2:7" ht="15.75" thickBot="1" x14ac:dyDescent="0.3">
      <c r="B47" s="6"/>
      <c r="C47" s="28" t="s">
        <v>160</v>
      </c>
      <c r="D47" s="29">
        <f>SUM(D36:D46)</f>
        <v>65869071.74000001</v>
      </c>
      <c r="E47" s="21" t="s">
        <v>161</v>
      </c>
      <c r="F47" s="19" t="s">
        <v>162</v>
      </c>
      <c r="G47" s="27">
        <v>4597864.74</v>
      </c>
    </row>
    <row r="48" spans="2:7" ht="15.75" thickBot="1" x14ac:dyDescent="0.3">
      <c r="B48" s="6"/>
      <c r="C48" s="35" t="s">
        <v>163</v>
      </c>
      <c r="D48" s="36"/>
      <c r="E48" s="21"/>
      <c r="F48" s="28" t="s">
        <v>164</v>
      </c>
      <c r="G48" s="37">
        <f>+G33+G40+G47</f>
        <v>116059652.52999999</v>
      </c>
    </row>
    <row r="49" spans="2:7" x14ac:dyDescent="0.25">
      <c r="B49" s="6" t="s">
        <v>165</v>
      </c>
      <c r="C49" s="38" t="s">
        <v>166</v>
      </c>
      <c r="D49" s="39"/>
      <c r="E49" s="21" t="s">
        <v>167</v>
      </c>
      <c r="F49" s="22" t="s">
        <v>168</v>
      </c>
      <c r="G49" s="23">
        <v>17935181.280000001</v>
      </c>
    </row>
    <row r="50" spans="2:7" x14ac:dyDescent="0.25">
      <c r="B50" s="6" t="s">
        <v>169</v>
      </c>
      <c r="C50" s="19" t="s">
        <v>163</v>
      </c>
      <c r="D50" s="20">
        <v>467684</v>
      </c>
      <c r="E50" s="21" t="s">
        <v>170</v>
      </c>
      <c r="F50" s="19" t="s">
        <v>171</v>
      </c>
      <c r="G50" s="20">
        <v>46906873.369999997</v>
      </c>
    </row>
    <row r="51" spans="2:7" x14ac:dyDescent="0.25">
      <c r="B51" s="6" t="s">
        <v>172</v>
      </c>
      <c r="C51" s="19" t="s">
        <v>173</v>
      </c>
      <c r="D51" s="27">
        <v>10891</v>
      </c>
      <c r="E51" s="21" t="s">
        <v>174</v>
      </c>
      <c r="F51" s="19" t="s">
        <v>175</v>
      </c>
      <c r="G51" s="20">
        <v>857509.13</v>
      </c>
    </row>
    <row r="52" spans="2:7" ht="15.75" thickBot="1" x14ac:dyDescent="0.3">
      <c r="B52" s="12"/>
      <c r="C52" s="28" t="s">
        <v>176</v>
      </c>
      <c r="D52" s="29">
        <f>SUM(D49:D51)</f>
        <v>478575</v>
      </c>
      <c r="E52" s="21" t="s">
        <v>177</v>
      </c>
      <c r="F52" s="19" t="s">
        <v>178</v>
      </c>
      <c r="G52" s="20">
        <v>6458399.5899999999</v>
      </c>
    </row>
    <row r="53" spans="2:7" ht="15.75" thickBot="1" x14ac:dyDescent="0.3">
      <c r="B53" s="6"/>
      <c r="C53" s="40" t="s">
        <v>179</v>
      </c>
      <c r="D53" s="41">
        <f>D20+D35+D47+D52</f>
        <v>1552116299.5899997</v>
      </c>
      <c r="E53" s="21" t="s">
        <v>180</v>
      </c>
      <c r="F53" s="19" t="s">
        <v>181</v>
      </c>
      <c r="G53" s="20">
        <v>9141401.9900000002</v>
      </c>
    </row>
    <row r="54" spans="2:7" x14ac:dyDescent="0.25">
      <c r="C54" s="42"/>
      <c r="D54" s="43"/>
      <c r="E54" s="21" t="s">
        <v>182</v>
      </c>
      <c r="F54" s="19" t="s">
        <v>183</v>
      </c>
      <c r="G54" s="20">
        <v>10444791.65</v>
      </c>
    </row>
    <row r="55" spans="2:7" x14ac:dyDescent="0.25">
      <c r="C55" s="44" t="s">
        <v>184</v>
      </c>
      <c r="D55" s="45"/>
      <c r="E55" s="21" t="s">
        <v>185</v>
      </c>
      <c r="F55" s="19" t="s">
        <v>186</v>
      </c>
      <c r="G55" s="20">
        <v>2319399.85</v>
      </c>
    </row>
    <row r="56" spans="2:7" x14ac:dyDescent="0.25">
      <c r="B56" s="6" t="s">
        <v>187</v>
      </c>
      <c r="C56" s="46" t="s">
        <v>188</v>
      </c>
      <c r="D56" s="20"/>
      <c r="E56" s="21" t="s">
        <v>189</v>
      </c>
      <c r="F56" s="19" t="s">
        <v>190</v>
      </c>
      <c r="G56" s="27">
        <v>3812224.58</v>
      </c>
    </row>
    <row r="57" spans="2:7" ht="15.75" thickBot="1" x14ac:dyDescent="0.3">
      <c r="B57" s="6" t="s">
        <v>191</v>
      </c>
      <c r="C57" s="46" t="s">
        <v>192</v>
      </c>
      <c r="D57" s="20"/>
      <c r="E57" s="21"/>
      <c r="F57" s="28" t="s">
        <v>193</v>
      </c>
      <c r="G57" s="29">
        <f>SUM(G49:G56)</f>
        <v>97875781.439999998</v>
      </c>
    </row>
    <row r="58" spans="2:7" x14ac:dyDescent="0.25">
      <c r="B58" s="6" t="s">
        <v>194</v>
      </c>
      <c r="C58" s="46" t="s">
        <v>195</v>
      </c>
      <c r="D58" s="20"/>
      <c r="E58" s="21" t="s">
        <v>196</v>
      </c>
      <c r="F58" s="22" t="s">
        <v>197</v>
      </c>
      <c r="G58" s="23">
        <v>30303025.66</v>
      </c>
    </row>
    <row r="59" spans="2:7" x14ac:dyDescent="0.25">
      <c r="B59" s="6" t="s">
        <v>198</v>
      </c>
      <c r="C59" s="19" t="s">
        <v>199</v>
      </c>
      <c r="D59" s="27"/>
      <c r="E59" s="21" t="s">
        <v>200</v>
      </c>
      <c r="F59" s="19" t="s">
        <v>201</v>
      </c>
      <c r="G59" s="20">
        <v>4211286</v>
      </c>
    </row>
    <row r="60" spans="2:7" ht="15.75" thickBot="1" x14ac:dyDescent="0.3">
      <c r="B60" s="6"/>
      <c r="C60" s="28" t="s">
        <v>202</v>
      </c>
      <c r="D60" s="29">
        <f>SUM(D56:D59)</f>
        <v>0</v>
      </c>
      <c r="E60" s="21" t="s">
        <v>203</v>
      </c>
      <c r="F60" s="19" t="s">
        <v>204</v>
      </c>
      <c r="G60" s="20">
        <v>1794828.97</v>
      </c>
    </row>
    <row r="61" spans="2:7" ht="16.5" thickBot="1" x14ac:dyDescent="0.3">
      <c r="B61" s="47"/>
      <c r="C61" s="48" t="s">
        <v>205</v>
      </c>
      <c r="D61" s="49">
        <f>D53+D60</f>
        <v>1552116299.5899997</v>
      </c>
      <c r="E61" s="21" t="s">
        <v>206</v>
      </c>
      <c r="F61" s="19" t="s">
        <v>207</v>
      </c>
      <c r="G61" s="20">
        <v>16019882.26</v>
      </c>
    </row>
    <row r="62" spans="2:7" x14ac:dyDescent="0.25">
      <c r="B62" s="50"/>
      <c r="C62" s="51"/>
      <c r="D62" s="51"/>
      <c r="E62" s="21" t="s">
        <v>208</v>
      </c>
      <c r="F62" s="19" t="s">
        <v>209</v>
      </c>
      <c r="G62" s="20"/>
    </row>
    <row r="63" spans="2:7" x14ac:dyDescent="0.25">
      <c r="B63" s="52"/>
      <c r="C63" s="53" t="s">
        <v>8</v>
      </c>
      <c r="D63" s="53"/>
      <c r="E63" s="21" t="s">
        <v>210</v>
      </c>
      <c r="F63" s="19" t="s">
        <v>211</v>
      </c>
      <c r="G63" s="20">
        <v>12635210.460000001</v>
      </c>
    </row>
    <row r="64" spans="2:7" x14ac:dyDescent="0.25">
      <c r="B64" s="54" t="s">
        <v>212</v>
      </c>
      <c r="C64" s="55" t="s">
        <v>213</v>
      </c>
      <c r="D64" s="55">
        <f>[13]Amortizaciones!D6</f>
        <v>16407926.970000001</v>
      </c>
      <c r="E64" s="21" t="s">
        <v>214</v>
      </c>
      <c r="F64" s="19" t="s">
        <v>215</v>
      </c>
      <c r="G64" s="20">
        <v>9823222.1600000001</v>
      </c>
    </row>
    <row r="65" spans="2:7" x14ac:dyDescent="0.25">
      <c r="B65" s="54" t="s">
        <v>216</v>
      </c>
      <c r="C65" s="55" t="s">
        <v>217</v>
      </c>
      <c r="D65" s="55">
        <f>[13]Amortizaciones!D7</f>
        <v>0</v>
      </c>
      <c r="E65" s="21" t="s">
        <v>218</v>
      </c>
      <c r="F65" s="19" t="s">
        <v>219</v>
      </c>
      <c r="G65" s="20">
        <v>4281441.8099999996</v>
      </c>
    </row>
    <row r="66" spans="2:7" x14ac:dyDescent="0.25">
      <c r="B66" s="54" t="s">
        <v>220</v>
      </c>
      <c r="C66" s="55" t="s">
        <v>221</v>
      </c>
      <c r="D66" s="55">
        <f>[13]Amortizaciones!D8</f>
        <v>6204072.9299999997</v>
      </c>
      <c r="E66" s="21" t="s">
        <v>222</v>
      </c>
      <c r="F66" s="19" t="s">
        <v>223</v>
      </c>
      <c r="G66" s="20">
        <v>8469377.4499999993</v>
      </c>
    </row>
    <row r="67" spans="2:7" x14ac:dyDescent="0.25">
      <c r="B67" s="54" t="s">
        <v>224</v>
      </c>
      <c r="C67" s="55" t="s">
        <v>225</v>
      </c>
      <c r="D67" s="55">
        <f>[13]Amortizaciones!D9</f>
        <v>0</v>
      </c>
      <c r="E67" s="21" t="s">
        <v>226</v>
      </c>
      <c r="F67" s="19" t="s">
        <v>227</v>
      </c>
      <c r="G67" s="20">
        <v>48180.45</v>
      </c>
    </row>
    <row r="68" spans="2:7" x14ac:dyDescent="0.25">
      <c r="B68" s="54" t="s">
        <v>228</v>
      </c>
      <c r="C68" s="55" t="s">
        <v>229</v>
      </c>
      <c r="D68" s="55">
        <f>[13]Amortizaciones!D10</f>
        <v>241400.62</v>
      </c>
      <c r="E68" s="21" t="s">
        <v>230</v>
      </c>
      <c r="F68" s="19" t="s">
        <v>231</v>
      </c>
      <c r="G68" s="20"/>
    </row>
    <row r="69" spans="2:7" x14ac:dyDescent="0.25">
      <c r="B69" s="54" t="s">
        <v>232</v>
      </c>
      <c r="C69" s="55" t="s">
        <v>233</v>
      </c>
      <c r="D69" s="55">
        <f>[13]Amortizaciones!D11</f>
        <v>38849.19</v>
      </c>
      <c r="E69" s="21" t="s">
        <v>234</v>
      </c>
      <c r="F69" s="19" t="s">
        <v>235</v>
      </c>
      <c r="G69" s="20">
        <v>1499578.17</v>
      </c>
    </row>
    <row r="70" spans="2:7" x14ac:dyDescent="0.25">
      <c r="B70" s="54" t="s">
        <v>236</v>
      </c>
      <c r="C70" s="55" t="s">
        <v>237</v>
      </c>
      <c r="D70" s="55">
        <f>[13]Amortizaciones!D12</f>
        <v>1533168.48</v>
      </c>
      <c r="E70" s="21" t="s">
        <v>238</v>
      </c>
      <c r="F70" s="19" t="s">
        <v>239</v>
      </c>
      <c r="G70" s="20">
        <v>2110145.02</v>
      </c>
    </row>
    <row r="71" spans="2:7" x14ac:dyDescent="0.25">
      <c r="B71" s="54" t="s">
        <v>240</v>
      </c>
      <c r="C71" s="55" t="s">
        <v>241</v>
      </c>
      <c r="D71" s="55">
        <f>[13]Amortizaciones!D13</f>
        <v>769489.78</v>
      </c>
      <c r="E71" s="21" t="s">
        <v>242</v>
      </c>
      <c r="F71" s="19" t="s">
        <v>243</v>
      </c>
      <c r="G71" s="20"/>
    </row>
    <row r="72" spans="2:7" x14ac:dyDescent="0.25">
      <c r="B72" s="54" t="s">
        <v>244</v>
      </c>
      <c r="C72" s="55" t="s">
        <v>245</v>
      </c>
      <c r="D72" s="55">
        <f>[13]Amortizaciones!D14</f>
        <v>2417060.21</v>
      </c>
      <c r="E72" s="21" t="s">
        <v>246</v>
      </c>
      <c r="F72" s="19" t="s">
        <v>247</v>
      </c>
      <c r="G72" s="20">
        <v>8577067.5899999999</v>
      </c>
    </row>
    <row r="73" spans="2:7" x14ac:dyDescent="0.25">
      <c r="B73" s="54" t="s">
        <v>248</v>
      </c>
      <c r="C73" s="55" t="s">
        <v>249</v>
      </c>
      <c r="D73" s="55">
        <f>[13]Amortizaciones!D15</f>
        <v>0</v>
      </c>
      <c r="E73" s="21" t="s">
        <v>250</v>
      </c>
      <c r="F73" s="19" t="s">
        <v>251</v>
      </c>
      <c r="G73" s="20">
        <v>391705.46</v>
      </c>
    </row>
    <row r="74" spans="2:7" x14ac:dyDescent="0.25">
      <c r="B74" s="54" t="s">
        <v>252</v>
      </c>
      <c r="C74" s="55" t="s">
        <v>253</v>
      </c>
      <c r="D74" s="55">
        <f>[13]Amortizaciones!D16</f>
        <v>421555.68</v>
      </c>
      <c r="E74" s="21" t="s">
        <v>254</v>
      </c>
      <c r="F74" s="19" t="s">
        <v>255</v>
      </c>
      <c r="G74" s="20"/>
    </row>
    <row r="75" spans="2:7" x14ac:dyDescent="0.25">
      <c r="B75" s="54" t="s">
        <v>256</v>
      </c>
      <c r="C75" s="55" t="s">
        <v>257</v>
      </c>
      <c r="D75" s="55">
        <f>[13]Amortizaciones!D17</f>
        <v>0</v>
      </c>
      <c r="E75" s="21" t="s">
        <v>258</v>
      </c>
      <c r="F75" s="19" t="s">
        <v>259</v>
      </c>
      <c r="G75" s="20">
        <v>5242641.7</v>
      </c>
    </row>
    <row r="76" spans="2:7" x14ac:dyDescent="0.25">
      <c r="B76" s="54" t="s">
        <v>260</v>
      </c>
      <c r="C76" s="55" t="s">
        <v>261</v>
      </c>
      <c r="D76" s="55">
        <f>[13]Amortizaciones!D18</f>
        <v>0</v>
      </c>
      <c r="E76" s="21" t="s">
        <v>262</v>
      </c>
      <c r="F76" s="19" t="s">
        <v>263</v>
      </c>
      <c r="G76" s="20">
        <v>18189105.050000001</v>
      </c>
    </row>
    <row r="77" spans="2:7" x14ac:dyDescent="0.25">
      <c r="B77" s="54" t="s">
        <v>264</v>
      </c>
      <c r="C77" s="55" t="s">
        <v>265</v>
      </c>
      <c r="D77" s="55">
        <f>SUM(D64:D76)</f>
        <v>28033523.860000003</v>
      </c>
      <c r="E77" s="21" t="s">
        <v>266</v>
      </c>
      <c r="F77" s="19" t="s">
        <v>267</v>
      </c>
      <c r="G77" s="20">
        <v>60438672.979999997</v>
      </c>
    </row>
    <row r="78" spans="2:7" x14ac:dyDescent="0.25">
      <c r="B78" s="54"/>
      <c r="C78" s="55"/>
      <c r="D78" s="55"/>
      <c r="E78" s="21" t="s">
        <v>268</v>
      </c>
      <c r="F78" s="19" t="s">
        <v>269</v>
      </c>
      <c r="G78" s="27">
        <v>7874222.5300000003</v>
      </c>
    </row>
    <row r="79" spans="2:7" ht="15.75" thickBot="1" x14ac:dyDescent="0.3">
      <c r="B79" s="54"/>
      <c r="C79" s="53" t="s">
        <v>270</v>
      </c>
      <c r="D79" s="56"/>
      <c r="E79" s="21"/>
      <c r="F79" s="28" t="s">
        <v>271</v>
      </c>
      <c r="G79" s="29">
        <f>SUM(G58:G78)</f>
        <v>191909593.72</v>
      </c>
    </row>
    <row r="80" spans="2:7" x14ac:dyDescent="0.25">
      <c r="B80" s="54" t="s">
        <v>272</v>
      </c>
      <c r="C80" s="55" t="s">
        <v>237</v>
      </c>
      <c r="D80" s="55">
        <f>[13]Amortizaciones!D22</f>
        <v>0</v>
      </c>
      <c r="E80" s="21" t="s">
        <v>273</v>
      </c>
      <c r="F80" s="22" t="s">
        <v>274</v>
      </c>
      <c r="G80" s="23">
        <v>11105121.42</v>
      </c>
    </row>
    <row r="81" spans="2:7" x14ac:dyDescent="0.25">
      <c r="B81" s="54" t="s">
        <v>275</v>
      </c>
      <c r="C81" s="55" t="s">
        <v>241</v>
      </c>
      <c r="D81" s="55">
        <f>[13]Amortizaciones!D23</f>
        <v>0</v>
      </c>
      <c r="E81" s="21" t="s">
        <v>276</v>
      </c>
      <c r="F81" s="19" t="s">
        <v>277</v>
      </c>
      <c r="G81" s="20">
        <v>4938225.83</v>
      </c>
    </row>
    <row r="82" spans="2:7" x14ac:dyDescent="0.25">
      <c r="B82" s="54" t="s">
        <v>278</v>
      </c>
      <c r="C82" s="55" t="s">
        <v>245</v>
      </c>
      <c r="D82" s="55">
        <f>[13]Amortizaciones!D24</f>
        <v>0</v>
      </c>
      <c r="E82" s="21" t="s">
        <v>279</v>
      </c>
      <c r="F82" s="19" t="s">
        <v>280</v>
      </c>
      <c r="G82" s="20">
        <v>3639632.56</v>
      </c>
    </row>
    <row r="83" spans="2:7" x14ac:dyDescent="0.25">
      <c r="B83" s="54" t="s">
        <v>281</v>
      </c>
      <c r="C83" s="55" t="s">
        <v>249</v>
      </c>
      <c r="D83" s="55">
        <f>[13]Amortizaciones!D25</f>
        <v>0</v>
      </c>
      <c r="E83" s="21" t="s">
        <v>282</v>
      </c>
      <c r="F83" s="19" t="s">
        <v>283</v>
      </c>
      <c r="G83" s="20">
        <v>2033203.63</v>
      </c>
    </row>
    <row r="84" spans="2:7" x14ac:dyDescent="0.25">
      <c r="B84" s="54" t="s">
        <v>284</v>
      </c>
      <c r="C84" s="55" t="s">
        <v>285</v>
      </c>
      <c r="D84" s="55">
        <v>0</v>
      </c>
      <c r="E84" s="21" t="s">
        <v>286</v>
      </c>
      <c r="F84" s="19" t="s">
        <v>287</v>
      </c>
      <c r="G84" s="20">
        <v>7600499.2999999998</v>
      </c>
    </row>
    <row r="85" spans="2:7" x14ac:dyDescent="0.25">
      <c r="B85" s="54" t="s">
        <v>288</v>
      </c>
      <c r="C85" s="55" t="s">
        <v>289</v>
      </c>
      <c r="D85" s="55">
        <f>[13]Amortizaciones!D27</f>
        <v>0</v>
      </c>
      <c r="E85" s="21" t="s">
        <v>290</v>
      </c>
      <c r="F85" s="19" t="s">
        <v>291</v>
      </c>
      <c r="G85" s="20">
        <v>8689020.1899999995</v>
      </c>
    </row>
    <row r="86" spans="2:7" x14ac:dyDescent="0.25">
      <c r="B86" s="54" t="s">
        <v>292</v>
      </c>
      <c r="C86" s="55" t="s">
        <v>293</v>
      </c>
      <c r="D86" s="55">
        <f>[13]Amortizaciones!D28</f>
        <v>0</v>
      </c>
      <c r="E86" s="21" t="s">
        <v>294</v>
      </c>
      <c r="F86" s="19" t="s">
        <v>295</v>
      </c>
      <c r="G86" s="20">
        <v>360551.47</v>
      </c>
    </row>
    <row r="87" spans="2:7" x14ac:dyDescent="0.25">
      <c r="B87" s="54" t="s">
        <v>296</v>
      </c>
      <c r="C87" s="55" t="s">
        <v>297</v>
      </c>
      <c r="D87" s="55">
        <f>[13]Amortizaciones!D29</f>
        <v>0</v>
      </c>
      <c r="E87" s="21" t="s">
        <v>298</v>
      </c>
      <c r="F87" s="19" t="s">
        <v>299</v>
      </c>
      <c r="G87" s="20">
        <v>1530259.1</v>
      </c>
    </row>
    <row r="88" spans="2:7" x14ac:dyDescent="0.25">
      <c r="B88" s="54" t="s">
        <v>300</v>
      </c>
      <c r="C88" s="55" t="s">
        <v>301</v>
      </c>
      <c r="D88" s="55">
        <f>[13]Amortizaciones!D30</f>
        <v>0</v>
      </c>
      <c r="E88" s="21" t="s">
        <v>302</v>
      </c>
      <c r="F88" s="19" t="s">
        <v>303</v>
      </c>
      <c r="G88" s="20">
        <v>1810055.95</v>
      </c>
    </row>
    <row r="89" spans="2:7" x14ac:dyDescent="0.25">
      <c r="B89" s="54" t="s">
        <v>304</v>
      </c>
      <c r="C89" s="55" t="s">
        <v>213</v>
      </c>
      <c r="D89" s="55">
        <f>[13]Amortizaciones!D31</f>
        <v>0</v>
      </c>
      <c r="E89" s="21" t="s">
        <v>305</v>
      </c>
      <c r="F89" s="19" t="s">
        <v>306</v>
      </c>
      <c r="G89" s="20">
        <v>20668387.16</v>
      </c>
    </row>
    <row r="90" spans="2:7" x14ac:dyDescent="0.25">
      <c r="B90" s="54" t="s">
        <v>307</v>
      </c>
      <c r="C90" s="55" t="s">
        <v>229</v>
      </c>
      <c r="D90" s="55">
        <f>[13]Amortizaciones!D32</f>
        <v>0</v>
      </c>
      <c r="E90" s="21" t="s">
        <v>308</v>
      </c>
      <c r="F90" s="19" t="s">
        <v>309</v>
      </c>
      <c r="G90" s="20"/>
    </row>
    <row r="91" spans="2:7" x14ac:dyDescent="0.25">
      <c r="B91" s="54" t="s">
        <v>310</v>
      </c>
      <c r="C91" s="55" t="s">
        <v>311</v>
      </c>
      <c r="D91" s="55">
        <f>SUM(D80:D90)</f>
        <v>0</v>
      </c>
      <c r="E91" s="52" t="s">
        <v>312</v>
      </c>
      <c r="F91" s="19" t="s">
        <v>313</v>
      </c>
      <c r="G91" s="20"/>
    </row>
    <row r="92" spans="2:7" x14ac:dyDescent="0.25">
      <c r="B92" s="54"/>
      <c r="C92" s="57" t="s">
        <v>314</v>
      </c>
      <c r="D92" s="55">
        <f>D77+D91</f>
        <v>28033523.860000003</v>
      </c>
      <c r="E92" s="52" t="s">
        <v>315</v>
      </c>
      <c r="F92" s="19" t="s">
        <v>316</v>
      </c>
      <c r="G92" s="20"/>
    </row>
    <row r="93" spans="2:7" x14ac:dyDescent="0.25">
      <c r="E93" s="52" t="s">
        <v>317</v>
      </c>
      <c r="F93" s="19" t="s">
        <v>318</v>
      </c>
      <c r="G93" s="20">
        <v>10346174</v>
      </c>
    </row>
    <row r="94" spans="2:7" x14ac:dyDescent="0.25">
      <c r="E94" s="52" t="s">
        <v>319</v>
      </c>
      <c r="F94" s="19" t="s">
        <v>320</v>
      </c>
      <c r="G94" s="27">
        <v>2943027</v>
      </c>
    </row>
    <row r="95" spans="2:7" ht="13.5" customHeight="1" thickBot="1" x14ac:dyDescent="0.3">
      <c r="E95" s="21"/>
      <c r="F95" s="28" t="s">
        <v>321</v>
      </c>
      <c r="G95" s="29">
        <f>SUM(G80:G94)</f>
        <v>75664157.609999999</v>
      </c>
    </row>
    <row r="96" spans="2:7" x14ac:dyDescent="0.25">
      <c r="E96" s="52" t="s">
        <v>322</v>
      </c>
      <c r="F96" s="22" t="s">
        <v>323</v>
      </c>
      <c r="G96" s="23">
        <v>10438995.859999999</v>
      </c>
    </row>
    <row r="97" spans="2:7" x14ac:dyDescent="0.25">
      <c r="E97" s="52" t="s">
        <v>324</v>
      </c>
      <c r="F97" s="19" t="s">
        <v>325</v>
      </c>
      <c r="G97" s="20">
        <v>9126855.2400000002</v>
      </c>
    </row>
    <row r="98" spans="2:7" x14ac:dyDescent="0.25">
      <c r="E98" s="52" t="s">
        <v>326</v>
      </c>
      <c r="F98" s="19" t="s">
        <v>327</v>
      </c>
      <c r="G98" s="20">
        <v>379949.96</v>
      </c>
    </row>
    <row r="99" spans="2:7" x14ac:dyDescent="0.25">
      <c r="E99" s="52" t="s">
        <v>328</v>
      </c>
      <c r="F99" s="19" t="s">
        <v>329</v>
      </c>
      <c r="G99" s="20">
        <v>4998066.74</v>
      </c>
    </row>
    <row r="100" spans="2:7" x14ac:dyDescent="0.25">
      <c r="E100" s="52" t="s">
        <v>330</v>
      </c>
      <c r="F100" s="19" t="s">
        <v>331</v>
      </c>
      <c r="G100" s="27">
        <v>1004343.69</v>
      </c>
    </row>
    <row r="101" spans="2:7" ht="15.75" thickBot="1" x14ac:dyDescent="0.3">
      <c r="E101" s="21"/>
      <c r="F101" s="28" t="s">
        <v>332</v>
      </c>
      <c r="G101" s="29">
        <f>SUM(G96:G100)</f>
        <v>25948211.490000006</v>
      </c>
    </row>
    <row r="102" spans="2:7" ht="15.75" thickBot="1" x14ac:dyDescent="0.3">
      <c r="E102" s="52"/>
      <c r="F102" s="59" t="s">
        <v>333</v>
      </c>
      <c r="G102" s="60">
        <f>[13]Amortizaciones!D19</f>
        <v>28033523.860000003</v>
      </c>
    </row>
    <row r="103" spans="2:7" x14ac:dyDescent="0.25">
      <c r="E103" s="52" t="s">
        <v>334</v>
      </c>
      <c r="F103" s="19" t="s">
        <v>335</v>
      </c>
      <c r="G103" s="23"/>
    </row>
    <row r="104" spans="2:7" x14ac:dyDescent="0.25">
      <c r="E104" s="52" t="s">
        <v>336</v>
      </c>
      <c r="F104" s="61" t="s">
        <v>337</v>
      </c>
      <c r="G104" s="20"/>
    </row>
    <row r="105" spans="2:7" ht="15.75" thickBot="1" x14ac:dyDescent="0.3">
      <c r="E105" s="21"/>
      <c r="F105" s="28" t="s">
        <v>338</v>
      </c>
      <c r="G105" s="29">
        <f>SUM(G103:G104)</f>
        <v>0</v>
      </c>
    </row>
    <row r="106" spans="2:7" ht="13.7" customHeight="1" thickBot="1" x14ac:dyDescent="0.3">
      <c r="B106" s="6"/>
      <c r="C106" s="62"/>
      <c r="D106" s="62"/>
      <c r="E106" s="52"/>
      <c r="F106" s="48" t="s">
        <v>339</v>
      </c>
      <c r="G106" s="49">
        <f>G19+G27+G32+G48+G57+G79+G95+G101+G102+G105</f>
        <v>1454224995.2999997</v>
      </c>
    </row>
    <row r="107" spans="2:7" ht="13.7" customHeight="1" x14ac:dyDescent="0.25">
      <c r="B107" s="6"/>
      <c r="C107" s="62"/>
      <c r="D107" s="62"/>
      <c r="E107" s="21"/>
      <c r="F107" s="63"/>
      <c r="G107" s="64"/>
    </row>
    <row r="108" spans="2:7" ht="13.7" customHeight="1" thickBot="1" x14ac:dyDescent="0.3">
      <c r="B108" s="6"/>
      <c r="C108" s="62"/>
      <c r="D108" s="62"/>
      <c r="E108" s="21"/>
    </row>
    <row r="109" spans="2:7" ht="13.7" customHeight="1" thickBot="1" x14ac:dyDescent="0.3">
      <c r="B109" s="6"/>
      <c r="C109" s="62"/>
      <c r="D109" s="62"/>
      <c r="E109" s="21"/>
      <c r="F109" s="13" t="s">
        <v>340</v>
      </c>
      <c r="G109" s="65">
        <f>D61-G106</f>
        <v>97891304.289999962</v>
      </c>
    </row>
    <row r="110" spans="2:7" ht="13.7" customHeight="1" thickBot="1" x14ac:dyDescent="0.3">
      <c r="B110" s="6"/>
      <c r="C110" s="62"/>
      <c r="D110" s="62"/>
      <c r="E110" s="21"/>
    </row>
    <row r="111" spans="2:7" ht="13.7" customHeight="1" thickBot="1" x14ac:dyDescent="0.3">
      <c r="C111" s="48" t="s">
        <v>270</v>
      </c>
      <c r="D111" s="17">
        <f>+[13]E.S.P.!D6</f>
        <v>2020</v>
      </c>
      <c r="E111" s="52"/>
      <c r="F111" s="48" t="s">
        <v>341</v>
      </c>
      <c r="G111" s="17">
        <f>+[13]E.S.P.!D6</f>
        <v>2020</v>
      </c>
    </row>
    <row r="112" spans="2:7" ht="13.7" customHeight="1" x14ac:dyDescent="0.25">
      <c r="B112" s="6" t="s">
        <v>342</v>
      </c>
      <c r="C112" s="66" t="s">
        <v>343</v>
      </c>
      <c r="D112" s="67">
        <v>4587697.3099999996</v>
      </c>
      <c r="E112" s="21" t="s">
        <v>344</v>
      </c>
      <c r="F112" s="66" t="s">
        <v>309</v>
      </c>
      <c r="G112" s="67"/>
    </row>
    <row r="113" spans="2:7" ht="13.7" customHeight="1" x14ac:dyDescent="0.25">
      <c r="B113" s="6" t="s">
        <v>345</v>
      </c>
      <c r="C113" s="68" t="s">
        <v>346</v>
      </c>
      <c r="D113" s="69">
        <v>62015618.950000003</v>
      </c>
      <c r="E113" s="21" t="s">
        <v>347</v>
      </c>
      <c r="F113" s="68" t="s">
        <v>348</v>
      </c>
      <c r="G113" s="69"/>
    </row>
    <row r="114" spans="2:7" ht="13.7" customHeight="1" x14ac:dyDescent="0.25">
      <c r="B114" s="6" t="s">
        <v>349</v>
      </c>
      <c r="C114" s="68" t="s">
        <v>48</v>
      </c>
      <c r="D114" s="69"/>
      <c r="E114" s="21" t="s">
        <v>350</v>
      </c>
      <c r="F114" s="68" t="s">
        <v>351</v>
      </c>
      <c r="G114" s="69">
        <v>5629027.9000000004</v>
      </c>
    </row>
    <row r="115" spans="2:7" ht="13.7" customHeight="1" x14ac:dyDescent="0.25">
      <c r="B115" s="6" t="s">
        <v>352</v>
      </c>
      <c r="C115" s="68" t="s">
        <v>353</v>
      </c>
      <c r="D115" s="69">
        <v>201380.39</v>
      </c>
      <c r="E115" s="21" t="s">
        <v>354</v>
      </c>
      <c r="F115" s="68" t="s">
        <v>355</v>
      </c>
      <c r="G115" s="69"/>
    </row>
    <row r="116" spans="2:7" ht="13.7" customHeight="1" x14ac:dyDescent="0.25">
      <c r="B116" s="6" t="s">
        <v>356</v>
      </c>
      <c r="C116" s="68" t="s">
        <v>357</v>
      </c>
      <c r="D116" s="69">
        <v>2675093.75</v>
      </c>
      <c r="E116" s="21" t="s">
        <v>358</v>
      </c>
      <c r="F116" s="68" t="s">
        <v>359</v>
      </c>
      <c r="G116" s="69">
        <v>21943984.489999998</v>
      </c>
    </row>
    <row r="117" spans="2:7" ht="13.7" customHeight="1" x14ac:dyDescent="0.25">
      <c r="B117" s="6" t="s">
        <v>360</v>
      </c>
      <c r="C117" s="68" t="s">
        <v>361</v>
      </c>
      <c r="D117" s="69"/>
      <c r="E117" s="21" t="s">
        <v>362</v>
      </c>
      <c r="F117" s="68" t="s">
        <v>363</v>
      </c>
      <c r="G117" s="69">
        <v>1720570</v>
      </c>
    </row>
    <row r="118" spans="2:7" ht="13.7" customHeight="1" x14ac:dyDescent="0.25">
      <c r="B118" s="6" t="s">
        <v>364</v>
      </c>
      <c r="C118" s="68" t="s">
        <v>365</v>
      </c>
      <c r="D118" s="69"/>
      <c r="E118" s="21" t="s">
        <v>366</v>
      </c>
      <c r="F118" s="68" t="s">
        <v>367</v>
      </c>
      <c r="G118" s="69"/>
    </row>
    <row r="119" spans="2:7" ht="13.7" customHeight="1" x14ac:dyDescent="0.25">
      <c r="B119" s="6" t="s">
        <v>368</v>
      </c>
      <c r="C119" s="68" t="s">
        <v>369</v>
      </c>
      <c r="D119" s="69">
        <v>663458.35</v>
      </c>
      <c r="E119" s="21" t="s">
        <v>370</v>
      </c>
      <c r="F119" s="68" t="s">
        <v>371</v>
      </c>
      <c r="G119" s="69"/>
    </row>
    <row r="120" spans="2:7" ht="13.7" customHeight="1" x14ac:dyDescent="0.25">
      <c r="B120" s="6" t="s">
        <v>372</v>
      </c>
      <c r="C120" s="68" t="s">
        <v>373</v>
      </c>
      <c r="D120" s="69"/>
      <c r="E120" s="21" t="s">
        <v>374</v>
      </c>
      <c r="F120" s="68" t="s">
        <v>375</v>
      </c>
      <c r="G120" s="69"/>
    </row>
    <row r="121" spans="2:7" ht="13.7" customHeight="1" x14ac:dyDescent="0.25">
      <c r="B121" s="6" t="s">
        <v>376</v>
      </c>
      <c r="C121" s="19" t="s">
        <v>377</v>
      </c>
      <c r="D121" s="69">
        <v>3047289.21</v>
      </c>
      <c r="E121" s="21" t="s">
        <v>378</v>
      </c>
      <c r="F121" s="68" t="s">
        <v>379</v>
      </c>
      <c r="G121" s="69">
        <v>277076.78000000003</v>
      </c>
    </row>
    <row r="122" spans="2:7" ht="13.7" customHeight="1" thickBot="1" x14ac:dyDescent="0.3">
      <c r="B122" s="6"/>
      <c r="C122" s="28" t="s">
        <v>380</v>
      </c>
      <c r="D122" s="37">
        <f>SUM(D112:D121)</f>
        <v>73190537.959999993</v>
      </c>
      <c r="E122" s="21" t="s">
        <v>381</v>
      </c>
      <c r="F122" s="19" t="s">
        <v>382</v>
      </c>
      <c r="G122" s="20">
        <v>360883.16</v>
      </c>
    </row>
    <row r="123" spans="2:7" ht="13.7" customHeight="1" thickBot="1" x14ac:dyDescent="0.3">
      <c r="B123" s="6" t="s">
        <v>383</v>
      </c>
      <c r="C123" s="70" t="s">
        <v>309</v>
      </c>
      <c r="D123" s="67">
        <v>4001317.96</v>
      </c>
      <c r="E123" s="52"/>
      <c r="F123" s="28" t="s">
        <v>384</v>
      </c>
      <c r="G123" s="37">
        <f>SUM(G112:G122)</f>
        <v>29931542.330000002</v>
      </c>
    </row>
    <row r="124" spans="2:7" ht="13.7" customHeight="1" x14ac:dyDescent="0.25">
      <c r="B124" s="6" t="s">
        <v>385</v>
      </c>
      <c r="C124" s="68" t="s">
        <v>313</v>
      </c>
      <c r="D124" s="69">
        <v>1213647.17</v>
      </c>
      <c r="E124" s="21" t="s">
        <v>386</v>
      </c>
      <c r="F124" s="68" t="s">
        <v>387</v>
      </c>
      <c r="G124" s="69">
        <v>157267.22</v>
      </c>
    </row>
    <row r="125" spans="2:7" ht="13.7" customHeight="1" x14ac:dyDescent="0.25">
      <c r="B125" s="6" t="s">
        <v>388</v>
      </c>
      <c r="C125" s="19" t="s">
        <v>389</v>
      </c>
      <c r="D125" s="69">
        <v>219193.47</v>
      </c>
      <c r="E125" s="21" t="s">
        <v>390</v>
      </c>
      <c r="F125" s="68" t="s">
        <v>391</v>
      </c>
      <c r="G125" s="69">
        <v>212288.34</v>
      </c>
    </row>
    <row r="126" spans="2:7" ht="13.7" customHeight="1" thickBot="1" x14ac:dyDescent="0.3">
      <c r="B126" s="6"/>
      <c r="C126" s="28" t="s">
        <v>392</v>
      </c>
      <c r="D126" s="37">
        <f>SUM(D123:D125)</f>
        <v>5434158.5999999996</v>
      </c>
      <c r="E126" s="21" t="s">
        <v>393</v>
      </c>
      <c r="F126" s="68" t="s">
        <v>394</v>
      </c>
      <c r="G126" s="69">
        <v>1226261.57</v>
      </c>
    </row>
    <row r="127" spans="2:7" ht="13.7" customHeight="1" x14ac:dyDescent="0.25">
      <c r="B127" s="6" t="s">
        <v>395</v>
      </c>
      <c r="C127" s="66" t="s">
        <v>274</v>
      </c>
      <c r="D127" s="67">
        <v>937724.7</v>
      </c>
      <c r="E127" s="21" t="s">
        <v>396</v>
      </c>
      <c r="F127" s="68" t="s">
        <v>397</v>
      </c>
      <c r="G127" s="69"/>
    </row>
    <row r="128" spans="2:7" ht="13.7" customHeight="1" x14ac:dyDescent="0.25">
      <c r="B128" s="6" t="s">
        <v>398</v>
      </c>
      <c r="C128" s="68" t="s">
        <v>399</v>
      </c>
      <c r="D128" s="69">
        <v>398584.22</v>
      </c>
      <c r="E128" s="21" t="s">
        <v>400</v>
      </c>
      <c r="F128" s="68" t="s">
        <v>401</v>
      </c>
      <c r="G128" s="69"/>
    </row>
    <row r="129" spans="2:7" ht="13.7" customHeight="1" x14ac:dyDescent="0.25">
      <c r="B129" s="6" t="s">
        <v>402</v>
      </c>
      <c r="C129" s="68" t="s">
        <v>277</v>
      </c>
      <c r="D129" s="69">
        <v>3312254.51</v>
      </c>
      <c r="E129" s="21" t="s">
        <v>403</v>
      </c>
      <c r="F129" s="68" t="s">
        <v>404</v>
      </c>
      <c r="G129" s="69">
        <v>2241281.46</v>
      </c>
    </row>
    <row r="130" spans="2:7" ht="13.7" customHeight="1" x14ac:dyDescent="0.25">
      <c r="B130" s="6" t="s">
        <v>405</v>
      </c>
      <c r="C130" s="68" t="s">
        <v>283</v>
      </c>
      <c r="D130" s="69"/>
      <c r="E130" s="21" t="s">
        <v>406</v>
      </c>
      <c r="F130" s="68" t="s">
        <v>407</v>
      </c>
      <c r="G130" s="69"/>
    </row>
    <row r="131" spans="2:7" ht="13.7" customHeight="1" x14ac:dyDescent="0.25">
      <c r="B131" s="6" t="s">
        <v>408</v>
      </c>
      <c r="C131" s="68" t="s">
        <v>287</v>
      </c>
      <c r="D131" s="69"/>
      <c r="E131" s="21" t="s">
        <v>409</v>
      </c>
      <c r="F131" s="68" t="s">
        <v>410</v>
      </c>
      <c r="G131" s="69"/>
    </row>
    <row r="132" spans="2:7" ht="13.7" customHeight="1" x14ac:dyDescent="0.25">
      <c r="B132" s="6" t="s">
        <v>411</v>
      </c>
      <c r="C132" s="68" t="s">
        <v>291</v>
      </c>
      <c r="D132" s="69">
        <v>4854.68</v>
      </c>
      <c r="E132" s="21" t="s">
        <v>412</v>
      </c>
      <c r="F132" s="68" t="s">
        <v>413</v>
      </c>
      <c r="G132" s="69">
        <v>727639</v>
      </c>
    </row>
    <row r="133" spans="2:7" ht="13.7" customHeight="1" x14ac:dyDescent="0.25">
      <c r="B133" s="6" t="s">
        <v>414</v>
      </c>
      <c r="C133" s="68" t="s">
        <v>295</v>
      </c>
      <c r="D133" s="69">
        <v>16896</v>
      </c>
      <c r="E133" s="21" t="s">
        <v>415</v>
      </c>
      <c r="F133" s="68" t="s">
        <v>416</v>
      </c>
      <c r="G133" s="69">
        <v>600000</v>
      </c>
    </row>
    <row r="134" spans="2:7" ht="13.7" customHeight="1" x14ac:dyDescent="0.25">
      <c r="B134" s="6" t="s">
        <v>417</v>
      </c>
      <c r="C134" s="68" t="s">
        <v>418</v>
      </c>
      <c r="D134" s="69">
        <v>876605.26</v>
      </c>
      <c r="E134" s="21" t="s">
        <v>419</v>
      </c>
      <c r="F134" s="68" t="s">
        <v>420</v>
      </c>
      <c r="G134" s="69">
        <v>653674</v>
      </c>
    </row>
    <row r="135" spans="2:7" ht="13.7" customHeight="1" x14ac:dyDescent="0.25">
      <c r="B135" s="6" t="s">
        <v>421</v>
      </c>
      <c r="C135" s="68" t="s">
        <v>422</v>
      </c>
      <c r="D135" s="69">
        <v>5546170.2300000004</v>
      </c>
      <c r="E135" s="21" t="s">
        <v>423</v>
      </c>
      <c r="F135" s="68" t="s">
        <v>424</v>
      </c>
      <c r="G135" s="69"/>
    </row>
    <row r="136" spans="2:7" ht="13.7" customHeight="1" x14ac:dyDescent="0.25">
      <c r="B136" s="6" t="s">
        <v>425</v>
      </c>
      <c r="C136" s="68" t="s">
        <v>318</v>
      </c>
      <c r="D136" s="69">
        <v>2536260</v>
      </c>
      <c r="E136" s="21" t="s">
        <v>426</v>
      </c>
      <c r="F136" s="68" t="s">
        <v>427</v>
      </c>
      <c r="G136" s="69"/>
    </row>
    <row r="137" spans="2:7" ht="13.7" customHeight="1" x14ac:dyDescent="0.25">
      <c r="B137" s="6" t="s">
        <v>428</v>
      </c>
      <c r="C137" s="19" t="s">
        <v>320</v>
      </c>
      <c r="D137" s="71">
        <v>534805</v>
      </c>
      <c r="E137" s="21" t="s">
        <v>429</v>
      </c>
      <c r="F137" s="68" t="s">
        <v>430</v>
      </c>
      <c r="G137" s="69">
        <v>114488</v>
      </c>
    </row>
    <row r="138" spans="2:7" ht="13.7" customHeight="1" thickBot="1" x14ac:dyDescent="0.3">
      <c r="B138" s="6"/>
      <c r="C138" s="28" t="s">
        <v>321</v>
      </c>
      <c r="D138" s="37">
        <f>SUM(D127:D137)</f>
        <v>14164154.6</v>
      </c>
      <c r="E138" s="21" t="s">
        <v>431</v>
      </c>
      <c r="F138" s="19" t="s">
        <v>432</v>
      </c>
      <c r="G138" s="20">
        <v>243187</v>
      </c>
    </row>
    <row r="139" spans="2:7" ht="13.7" customHeight="1" thickBot="1" x14ac:dyDescent="0.3">
      <c r="B139" s="6" t="s">
        <v>433</v>
      </c>
      <c r="C139" s="66" t="s">
        <v>327</v>
      </c>
      <c r="D139" s="67">
        <v>10066</v>
      </c>
      <c r="E139" s="7"/>
      <c r="F139" s="28" t="s">
        <v>434</v>
      </c>
      <c r="G139" s="37">
        <f>SUM(G124:G138)</f>
        <v>6176086.5899999999</v>
      </c>
    </row>
    <row r="140" spans="2:7" ht="13.7" customHeight="1" thickBot="1" x14ac:dyDescent="0.3">
      <c r="B140" s="6" t="s">
        <v>435</v>
      </c>
      <c r="C140" s="68" t="s">
        <v>329</v>
      </c>
      <c r="D140" s="69">
        <v>1356109</v>
      </c>
      <c r="E140" s="7"/>
      <c r="F140" s="48" t="s">
        <v>436</v>
      </c>
      <c r="G140" s="72">
        <f>G123-G139</f>
        <v>23755455.740000002</v>
      </c>
    </row>
    <row r="141" spans="2:7" ht="13.7" customHeight="1" x14ac:dyDescent="0.25">
      <c r="B141" s="6" t="s">
        <v>437</v>
      </c>
      <c r="C141" s="19" t="s">
        <v>331</v>
      </c>
      <c r="D141" s="71">
        <v>54417</v>
      </c>
      <c r="E141" s="73"/>
    </row>
    <row r="142" spans="2:7" ht="13.7" customHeight="1" thickBot="1" x14ac:dyDescent="0.3">
      <c r="B142" s="6"/>
      <c r="C142" s="28" t="s">
        <v>332</v>
      </c>
      <c r="D142" s="37">
        <f>SUM(D139:D141)</f>
        <v>1420592</v>
      </c>
      <c r="E142" s="73"/>
    </row>
    <row r="143" spans="2:7" ht="13.7" customHeight="1" thickBot="1" x14ac:dyDescent="0.3">
      <c r="B143" s="6"/>
      <c r="C143" s="59" t="s">
        <v>438</v>
      </c>
      <c r="D143" s="74">
        <f>[13]Amortizaciones!D33</f>
        <v>0</v>
      </c>
      <c r="E143" s="21"/>
      <c r="F143" s="48" t="s">
        <v>439</v>
      </c>
      <c r="G143" s="17">
        <f>+[13]E.S.P.!D6</f>
        <v>2020</v>
      </c>
    </row>
    <row r="144" spans="2:7" ht="13.7" customHeight="1" x14ac:dyDescent="0.25">
      <c r="B144" s="6" t="s">
        <v>440</v>
      </c>
      <c r="C144" s="66" t="s">
        <v>441</v>
      </c>
      <c r="D144" s="67"/>
      <c r="E144" s="21" t="s">
        <v>442</v>
      </c>
      <c r="F144" s="66" t="s">
        <v>443</v>
      </c>
      <c r="G144" s="67">
        <v>1365</v>
      </c>
    </row>
    <row r="145" spans="2:7" ht="13.7" customHeight="1" x14ac:dyDescent="0.25">
      <c r="B145" s="6" t="s">
        <v>444</v>
      </c>
      <c r="C145" s="68" t="s">
        <v>445</v>
      </c>
      <c r="D145" s="69">
        <v>61409</v>
      </c>
      <c r="E145" s="21" t="s">
        <v>446</v>
      </c>
      <c r="F145" s="68" t="s">
        <v>447</v>
      </c>
      <c r="G145" s="69">
        <v>5054127</v>
      </c>
    </row>
    <row r="146" spans="2:7" ht="13.7" customHeight="1" x14ac:dyDescent="0.25">
      <c r="B146" s="6" t="s">
        <v>448</v>
      </c>
      <c r="C146" s="75" t="s">
        <v>449</v>
      </c>
      <c r="D146" s="69"/>
      <c r="E146" s="21" t="s">
        <v>450</v>
      </c>
      <c r="F146" s="68" t="s">
        <v>451</v>
      </c>
      <c r="G146" s="69">
        <v>459348</v>
      </c>
    </row>
    <row r="147" spans="2:7" ht="13.7" customHeight="1" x14ac:dyDescent="0.25">
      <c r="B147" s="6" t="s">
        <v>452</v>
      </c>
      <c r="C147" s="19" t="s">
        <v>453</v>
      </c>
      <c r="D147" s="71">
        <v>3623</v>
      </c>
      <c r="E147" s="21" t="s">
        <v>454</v>
      </c>
      <c r="F147" s="68" t="s">
        <v>455</v>
      </c>
      <c r="G147" s="69"/>
    </row>
    <row r="148" spans="2:7" ht="13.7" customHeight="1" thickBot="1" x14ac:dyDescent="0.3">
      <c r="B148" s="6"/>
      <c r="C148" s="28" t="s">
        <v>456</v>
      </c>
      <c r="D148" s="37">
        <f>SUM(D144:D147)</f>
        <v>65032</v>
      </c>
      <c r="E148" s="21" t="s">
        <v>457</v>
      </c>
      <c r="F148" s="68" t="s">
        <v>458</v>
      </c>
      <c r="G148" s="69"/>
    </row>
    <row r="149" spans="2:7" ht="13.7" customHeight="1" x14ac:dyDescent="0.25">
      <c r="B149" s="6" t="s">
        <v>459</v>
      </c>
      <c r="C149" s="66" t="s">
        <v>460</v>
      </c>
      <c r="D149" s="67"/>
      <c r="E149" s="21" t="s">
        <v>461</v>
      </c>
      <c r="F149" s="68" t="s">
        <v>462</v>
      </c>
      <c r="G149" s="69"/>
    </row>
    <row r="150" spans="2:7" ht="13.7" customHeight="1" x14ac:dyDescent="0.25">
      <c r="B150" s="6" t="s">
        <v>463</v>
      </c>
      <c r="C150" s="68" t="s">
        <v>464</v>
      </c>
      <c r="D150" s="69"/>
      <c r="E150" s="21" t="s">
        <v>465</v>
      </c>
      <c r="F150" s="68" t="s">
        <v>466</v>
      </c>
      <c r="G150" s="69"/>
    </row>
    <row r="151" spans="2:7" ht="13.7" customHeight="1" x14ac:dyDescent="0.25">
      <c r="B151" s="6" t="s">
        <v>467</v>
      </c>
      <c r="C151" s="19" t="s">
        <v>468</v>
      </c>
      <c r="D151" s="71"/>
      <c r="E151" s="21" t="s">
        <v>469</v>
      </c>
      <c r="F151" s="68" t="s">
        <v>470</v>
      </c>
      <c r="G151" s="69">
        <v>23041212</v>
      </c>
    </row>
    <row r="152" spans="2:7" ht="13.7" customHeight="1" thickBot="1" x14ac:dyDescent="0.3">
      <c r="B152" s="6"/>
      <c r="C152" s="28" t="s">
        <v>471</v>
      </c>
      <c r="D152" s="37">
        <f>SUM(D149:D151)</f>
        <v>0</v>
      </c>
      <c r="E152" s="21" t="s">
        <v>472</v>
      </c>
      <c r="F152" s="68" t="s">
        <v>473</v>
      </c>
      <c r="G152" s="69">
        <v>404</v>
      </c>
    </row>
    <row r="153" spans="2:7" ht="13.7" customHeight="1" thickBot="1" x14ac:dyDescent="0.3">
      <c r="B153" s="6"/>
      <c r="C153" s="48" t="s">
        <v>474</v>
      </c>
      <c r="D153" s="76">
        <f>D122+D126+D138+D142+D143+D148+D152</f>
        <v>94274475.159999982</v>
      </c>
      <c r="E153" s="21" t="s">
        <v>475</v>
      </c>
      <c r="F153" s="19" t="s">
        <v>476</v>
      </c>
      <c r="G153" s="20">
        <v>154072</v>
      </c>
    </row>
    <row r="154" spans="2:7" ht="13.7" customHeight="1" thickBot="1" x14ac:dyDescent="0.3">
      <c r="B154" s="6"/>
      <c r="E154" s="21"/>
      <c r="F154" s="28" t="s">
        <v>477</v>
      </c>
      <c r="G154" s="37">
        <f>SUM(G144:G153)</f>
        <v>28710528</v>
      </c>
    </row>
    <row r="155" spans="2:7" ht="13.7" customHeight="1" thickBot="1" x14ac:dyDescent="0.3">
      <c r="B155" s="6"/>
      <c r="C155" s="77" t="s">
        <v>478</v>
      </c>
      <c r="D155" s="65">
        <f>G109-D153</f>
        <v>3616829.1299999803</v>
      </c>
      <c r="E155" s="21" t="s">
        <v>479</v>
      </c>
      <c r="F155" s="66" t="s">
        <v>480</v>
      </c>
      <c r="G155" s="67">
        <v>7051507.7199999997</v>
      </c>
    </row>
    <row r="156" spans="2:7" ht="13.7" customHeight="1" x14ac:dyDescent="0.25">
      <c r="E156" s="21" t="s">
        <v>481</v>
      </c>
      <c r="F156" s="68" t="s">
        <v>482</v>
      </c>
      <c r="G156" s="69">
        <v>17058527.190000001</v>
      </c>
    </row>
    <row r="157" spans="2:7" ht="13.7" customHeight="1" x14ac:dyDescent="0.25">
      <c r="E157" s="21" t="s">
        <v>483</v>
      </c>
      <c r="F157" s="68" t="s">
        <v>484</v>
      </c>
      <c r="G157" s="69">
        <v>239029</v>
      </c>
    </row>
    <row r="158" spans="2:7" ht="13.7" customHeight="1" x14ac:dyDescent="0.25">
      <c r="E158" s="21" t="s">
        <v>485</v>
      </c>
      <c r="F158" s="68" t="s">
        <v>486</v>
      </c>
      <c r="G158" s="69"/>
    </row>
    <row r="159" spans="2:7" ht="13.7" customHeight="1" x14ac:dyDescent="0.25">
      <c r="E159" s="21" t="s">
        <v>487</v>
      </c>
      <c r="F159" s="68" t="s">
        <v>488</v>
      </c>
      <c r="G159" s="69"/>
    </row>
    <row r="160" spans="2:7" ht="13.7" customHeight="1" x14ac:dyDescent="0.25">
      <c r="E160" s="21" t="s">
        <v>489</v>
      </c>
      <c r="F160" s="68" t="s">
        <v>490</v>
      </c>
      <c r="G160" s="69">
        <v>56828</v>
      </c>
    </row>
    <row r="161" spans="5:7" ht="13.7" customHeight="1" x14ac:dyDescent="0.25">
      <c r="E161" s="21" t="s">
        <v>491</v>
      </c>
      <c r="F161" s="68" t="s">
        <v>492</v>
      </c>
      <c r="G161" s="69"/>
    </row>
    <row r="162" spans="5:7" ht="13.7" customHeight="1" x14ac:dyDescent="0.25">
      <c r="E162" s="21" t="s">
        <v>493</v>
      </c>
      <c r="F162" s="68" t="s">
        <v>494</v>
      </c>
      <c r="G162" s="69"/>
    </row>
    <row r="163" spans="5:7" ht="13.7" customHeight="1" x14ac:dyDescent="0.25">
      <c r="E163" s="21" t="s">
        <v>495</v>
      </c>
      <c r="F163" s="68" t="s">
        <v>496</v>
      </c>
      <c r="G163" s="69"/>
    </row>
    <row r="164" spans="5:7" ht="13.7" customHeight="1" x14ac:dyDescent="0.25">
      <c r="E164" s="21" t="s">
        <v>497</v>
      </c>
      <c r="F164" s="68" t="s">
        <v>498</v>
      </c>
      <c r="G164" s="69">
        <v>3856927.49</v>
      </c>
    </row>
    <row r="165" spans="5:7" ht="13.7" customHeight="1" x14ac:dyDescent="0.25">
      <c r="E165" s="21" t="s">
        <v>499</v>
      </c>
      <c r="F165" s="68" t="s">
        <v>500</v>
      </c>
      <c r="G165" s="69"/>
    </row>
    <row r="166" spans="5:7" ht="13.7" customHeight="1" x14ac:dyDescent="0.25">
      <c r="E166" s="21" t="s">
        <v>501</v>
      </c>
      <c r="F166" s="68" t="s">
        <v>502</v>
      </c>
      <c r="G166" s="69">
        <v>782243</v>
      </c>
    </row>
    <row r="167" spans="5:7" ht="13.7" customHeight="1" x14ac:dyDescent="0.25">
      <c r="E167" s="21" t="s">
        <v>503</v>
      </c>
      <c r="F167" s="19" t="s">
        <v>504</v>
      </c>
      <c r="G167" s="20">
        <v>1128810</v>
      </c>
    </row>
    <row r="168" spans="5:7" ht="13.7" customHeight="1" thickBot="1" x14ac:dyDescent="0.3">
      <c r="E168" s="21"/>
      <c r="F168" s="28" t="s">
        <v>505</v>
      </c>
      <c r="G168" s="37">
        <f>SUM(G155:G167)</f>
        <v>30173872.399999999</v>
      </c>
    </row>
    <row r="169" spans="5:7" ht="13.7" customHeight="1" thickBot="1" x14ac:dyDescent="0.3">
      <c r="E169" s="21"/>
      <c r="F169" s="48" t="s">
        <v>506</v>
      </c>
      <c r="G169" s="72">
        <f>G154-G168</f>
        <v>-1463344.3999999985</v>
      </c>
    </row>
    <row r="170" spans="5:7" ht="13.7" customHeight="1" thickBot="1" x14ac:dyDescent="0.3">
      <c r="E170" s="21"/>
      <c r="F170" s="78"/>
      <c r="G170" s="78"/>
    </row>
    <row r="171" spans="5:7" ht="13.7" customHeight="1" thickBot="1" x14ac:dyDescent="0.3">
      <c r="E171" s="21"/>
      <c r="F171" s="77" t="s">
        <v>507</v>
      </c>
      <c r="G171" s="79"/>
    </row>
    <row r="172" spans="5:7" ht="13.7" customHeight="1" thickBot="1" x14ac:dyDescent="0.3">
      <c r="E172" s="21"/>
      <c r="F172" s="80"/>
      <c r="G172" s="81">
        <f>+D155+G140+G169</f>
        <v>25908940.469999984</v>
      </c>
    </row>
    <row r="173" spans="5:7" ht="13.7" customHeight="1" thickBot="1" x14ac:dyDescent="0.3">
      <c r="E173" s="21"/>
      <c r="F173" s="5"/>
      <c r="G173" s="5"/>
    </row>
    <row r="174" spans="5:7" ht="13.7" customHeight="1" thickBot="1" x14ac:dyDescent="0.3">
      <c r="E174" s="21"/>
      <c r="F174" s="48" t="s">
        <v>508</v>
      </c>
      <c r="G174" s="17">
        <f>+G143</f>
        <v>2020</v>
      </c>
    </row>
    <row r="175" spans="5:7" ht="13.7" customHeight="1" x14ac:dyDescent="0.25">
      <c r="E175" s="21"/>
      <c r="F175" s="66" t="s">
        <v>509</v>
      </c>
      <c r="G175" s="67"/>
    </row>
    <row r="176" spans="5:7" ht="13.7" customHeight="1" x14ac:dyDescent="0.25">
      <c r="E176" s="21"/>
      <c r="F176" s="68" t="s">
        <v>510</v>
      </c>
      <c r="G176" s="69"/>
    </row>
    <row r="177" spans="1:8" ht="13.7" customHeight="1" thickBot="1" x14ac:dyDescent="0.3">
      <c r="F177" s="68" t="s">
        <v>511</v>
      </c>
      <c r="G177" s="69"/>
    </row>
    <row r="178" spans="1:8" ht="13.7" customHeight="1" thickBot="1" x14ac:dyDescent="0.3">
      <c r="F178" s="48" t="s">
        <v>512</v>
      </c>
      <c r="G178" s="72">
        <f>SUM(G175:G177)</f>
        <v>0</v>
      </c>
    </row>
    <row r="179" spans="1:8" ht="13.7" customHeight="1" thickBot="1" x14ac:dyDescent="0.3"/>
    <row r="180" spans="1:8" ht="13.7" customHeight="1" thickBot="1" x14ac:dyDescent="0.3">
      <c r="F180" s="77" t="s">
        <v>513</v>
      </c>
      <c r="G180" s="79"/>
    </row>
    <row r="181" spans="1:8" ht="13.7" customHeight="1" thickBot="1" x14ac:dyDescent="0.3">
      <c r="F181" s="83"/>
      <c r="G181" s="81">
        <f>+G172+G178</f>
        <v>25908940.469999984</v>
      </c>
    </row>
    <row r="182" spans="1:8" ht="13.7" customHeight="1" x14ac:dyDescent="0.25"/>
    <row r="183" spans="1:8" ht="13.5" customHeight="1" x14ac:dyDescent="0.25"/>
    <row r="184" spans="1:8" ht="13.7" customHeight="1" x14ac:dyDescent="0.25">
      <c r="E184" s="84"/>
      <c r="F184" s="84"/>
      <c r="G184" s="84"/>
      <c r="H184" s="84"/>
    </row>
    <row r="185" spans="1:8" s="84" customFormat="1" ht="13.7" customHeight="1" x14ac:dyDescent="0.25">
      <c r="A185" s="85"/>
      <c r="E185" s="82"/>
      <c r="F185" s="86"/>
      <c r="G185" s="86"/>
    </row>
    <row r="186" spans="1:8" s="84" customFormat="1" ht="12.75" x14ac:dyDescent="0.25">
      <c r="A186" s="85"/>
      <c r="E186" s="82"/>
      <c r="F186" s="86"/>
      <c r="G186" s="86"/>
    </row>
    <row r="187" spans="1:8" s="84" customFormat="1" ht="12.75" hidden="1" x14ac:dyDescent="0.25">
      <c r="A187" s="85"/>
      <c r="E187" s="82"/>
      <c r="F187" s="86"/>
      <c r="G187" s="86"/>
    </row>
    <row r="188" spans="1:8" s="84" customFormat="1" ht="12.75" hidden="1" x14ac:dyDescent="0.25">
      <c r="A188" s="85"/>
      <c r="E188" s="82"/>
      <c r="F188" s="86"/>
      <c r="G188" s="86"/>
    </row>
    <row r="189" spans="1:8" s="84" customFormat="1" ht="12.75" hidden="1" x14ac:dyDescent="0.25">
      <c r="A189" s="85"/>
      <c r="E189" s="82"/>
      <c r="F189" s="86"/>
      <c r="G189" s="86"/>
    </row>
    <row r="190" spans="1:8" s="84" customFormat="1" ht="12.75" hidden="1" x14ac:dyDescent="0.25">
      <c r="A190" s="85"/>
      <c r="E190" s="82"/>
      <c r="F190" s="86"/>
      <c r="G190" s="86"/>
    </row>
    <row r="191" spans="1:8" s="84" customFormat="1" ht="12.75" hidden="1" x14ac:dyDescent="0.25">
      <c r="A191" s="85"/>
      <c r="E191" s="82"/>
      <c r="F191" s="86"/>
      <c r="G191" s="86"/>
    </row>
    <row r="192" spans="1:8" s="84" customFormat="1" ht="12.75" hidden="1" x14ac:dyDescent="0.25">
      <c r="A192" s="85"/>
      <c r="E192" s="82"/>
      <c r="F192" s="86"/>
      <c r="G192" s="86"/>
    </row>
    <row r="193" spans="5:7" s="84" customFormat="1" ht="12.75" hidden="1" x14ac:dyDescent="0.25">
      <c r="E193" s="82"/>
      <c r="F193" s="86"/>
      <c r="G193" s="86"/>
    </row>
    <row r="194" spans="5:7" s="84" customFormat="1" ht="12.75" hidden="1" x14ac:dyDescent="0.25">
      <c r="E194" s="82"/>
      <c r="F194" s="86"/>
      <c r="G194" s="86"/>
    </row>
    <row r="195" spans="5:7" s="84" customFormat="1" ht="12.75" hidden="1" x14ac:dyDescent="0.25">
      <c r="E195" s="82"/>
      <c r="F195" s="86"/>
      <c r="G195" s="86"/>
    </row>
    <row r="196" spans="5:7" s="84" customFormat="1" ht="12.75" hidden="1" x14ac:dyDescent="0.25">
      <c r="E196" s="82"/>
      <c r="F196" s="86"/>
      <c r="G196" s="86"/>
    </row>
    <row r="197" spans="5:7" s="84" customFormat="1" ht="12.75" hidden="1" x14ac:dyDescent="0.25">
      <c r="E197" s="82"/>
      <c r="F197" s="86"/>
      <c r="G197" s="86"/>
    </row>
    <row r="198" spans="5:7" s="84" customFormat="1" ht="12.75" hidden="1" x14ac:dyDescent="0.25">
      <c r="E198" s="82"/>
      <c r="F198" s="86"/>
      <c r="G198" s="86"/>
    </row>
    <row r="199" spans="5:7" s="84" customFormat="1" ht="12.75" hidden="1" x14ac:dyDescent="0.25">
      <c r="E199" s="82"/>
      <c r="F199" s="86"/>
      <c r="G199" s="86"/>
    </row>
    <row r="200" spans="5:7" s="84" customFormat="1" ht="12.75" hidden="1" x14ac:dyDescent="0.25">
      <c r="E200" s="82"/>
      <c r="F200" s="86"/>
      <c r="G200" s="86"/>
    </row>
    <row r="201" spans="5:7" s="84" customFormat="1" ht="12.75" hidden="1" x14ac:dyDescent="0.25">
      <c r="E201" s="82"/>
      <c r="F201" s="86"/>
      <c r="G201" s="86"/>
    </row>
    <row r="202" spans="5:7" s="84" customFormat="1" ht="12.75" hidden="1" x14ac:dyDescent="0.25">
      <c r="E202" s="82"/>
      <c r="F202" s="86"/>
      <c r="G202" s="86"/>
    </row>
    <row r="203" spans="5:7" s="84" customFormat="1" ht="12.75" hidden="1" x14ac:dyDescent="0.25">
      <c r="E203" s="82"/>
      <c r="F203" s="86"/>
      <c r="G203" s="86"/>
    </row>
    <row r="204" spans="5:7" s="84" customFormat="1" ht="12.75" hidden="1" x14ac:dyDescent="0.25">
      <c r="E204" s="82"/>
      <c r="F204" s="86"/>
      <c r="G204" s="86"/>
    </row>
    <row r="205" spans="5:7" s="84" customFormat="1" ht="12.75" hidden="1" x14ac:dyDescent="0.25">
      <c r="E205" s="82"/>
      <c r="F205" s="86"/>
      <c r="G205" s="86"/>
    </row>
    <row r="206" spans="5:7" s="84" customFormat="1" ht="12.75" hidden="1" x14ac:dyDescent="0.25">
      <c r="E206" s="82"/>
      <c r="F206" s="86"/>
      <c r="G206" s="86"/>
    </row>
    <row r="207" spans="5:7" s="84" customFormat="1" ht="12.75" hidden="1" x14ac:dyDescent="0.25">
      <c r="E207" s="82"/>
      <c r="F207" s="86"/>
      <c r="G207" s="86"/>
    </row>
    <row r="208" spans="5:7" s="84" customFormat="1" ht="12.75" hidden="1" x14ac:dyDescent="0.25">
      <c r="E208" s="82"/>
      <c r="F208" s="86"/>
      <c r="G208" s="86"/>
    </row>
    <row r="209" spans="3:8" s="84" customFormat="1" ht="12.75" hidden="1" x14ac:dyDescent="0.25">
      <c r="E209" s="82"/>
      <c r="F209" s="86"/>
      <c r="G209" s="86"/>
    </row>
    <row r="210" spans="3:8" s="84" customFormat="1" ht="12.75" hidden="1" x14ac:dyDescent="0.25">
      <c r="E210" s="82"/>
      <c r="F210" s="86"/>
      <c r="G210" s="86"/>
    </row>
    <row r="211" spans="3:8" s="84" customFormat="1" ht="12.75" hidden="1" x14ac:dyDescent="0.25">
      <c r="E211" s="82"/>
      <c r="F211" s="86"/>
      <c r="G211" s="86"/>
    </row>
    <row r="212" spans="3:8" s="84" customFormat="1" ht="12.75" hidden="1" x14ac:dyDescent="0.25">
      <c r="E212" s="82"/>
      <c r="F212" s="86"/>
      <c r="G212" s="86"/>
    </row>
    <row r="213" spans="3:8" s="84" customFormat="1" ht="12.75" hidden="1" x14ac:dyDescent="0.25">
      <c r="E213" s="82"/>
      <c r="F213" s="86"/>
      <c r="G213" s="86"/>
    </row>
    <row r="214" spans="3:8" s="84" customFormat="1" hidden="1" x14ac:dyDescent="0.25">
      <c r="E214" s="82"/>
      <c r="F214" s="87"/>
      <c r="G214" s="58"/>
      <c r="H214" s="5"/>
    </row>
    <row r="215" spans="3:8" hidden="1" x14ac:dyDescent="0.25">
      <c r="C215" s="86"/>
      <c r="D215" s="86"/>
      <c r="F215" s="87"/>
    </row>
    <row r="216" spans="3:8" hidden="1" x14ac:dyDescent="0.25"/>
    <row r="217" spans="3:8" hidden="1" x14ac:dyDescent="0.25"/>
    <row r="218" spans="3:8" hidden="1" x14ac:dyDescent="0.25"/>
    <row r="219" spans="3:8" hidden="1" x14ac:dyDescent="0.25"/>
    <row r="220" spans="3:8" hidden="1" x14ac:dyDescent="0.25"/>
    <row r="221" spans="3:8" hidden="1" x14ac:dyDescent="0.25"/>
    <row r="222" spans="3:8" hidden="1" x14ac:dyDescent="0.25"/>
    <row r="223" spans="3:8" hidden="1" x14ac:dyDescent="0.25"/>
    <row r="224" spans="3:8"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sheetData>
  <mergeCells count="6">
    <mergeCell ref="C1:D1"/>
    <mergeCell ref="E1:F1"/>
    <mergeCell ref="C2:D2"/>
    <mergeCell ref="E2:F2"/>
    <mergeCell ref="C3:D3"/>
    <mergeCell ref="E3:F3"/>
  </mergeCells>
  <conditionalFormatting sqref="D7:D12">
    <cfRule type="cellIs" dxfId="261" priority="2" stopIfTrue="1" operator="greaterThan">
      <formula>50</formula>
    </cfRule>
    <cfRule type="cellIs" dxfId="260" priority="11" stopIfTrue="1" operator="equal">
      <formula>0</formula>
    </cfRule>
  </conditionalFormatting>
  <conditionalFormatting sqref="D7:D61">
    <cfRule type="cellIs" dxfId="259" priority="9" stopIfTrue="1" operator="between">
      <formula>-0.1</formula>
      <formula>-50</formula>
    </cfRule>
    <cfRule type="cellIs" dxfId="258" priority="10" stopIfTrue="1" operator="between">
      <formula>0.1</formula>
      <formula>50</formula>
    </cfRule>
  </conditionalFormatting>
  <conditionalFormatting sqref="G152:G181 G7:G150">
    <cfRule type="cellIs" dxfId="257" priority="7" stopIfTrue="1" operator="between">
      <formula>-0.1</formula>
      <formula>-50</formula>
    </cfRule>
    <cfRule type="cellIs" dxfId="256" priority="8" stopIfTrue="1" operator="between">
      <formula>0.1</formula>
      <formula>50</formula>
    </cfRule>
  </conditionalFormatting>
  <conditionalFormatting sqref="D111:D155">
    <cfRule type="cellIs" dxfId="255" priority="5" stopIfTrue="1" operator="between">
      <formula>-0.1</formula>
      <formula>-50</formula>
    </cfRule>
    <cfRule type="cellIs" dxfId="254" priority="6" stopIfTrue="1" operator="between">
      <formula>0.1</formula>
      <formula>50</formula>
    </cfRule>
  </conditionalFormatting>
  <conditionalFormatting sqref="G165">
    <cfRule type="expression" dxfId="253" priority="4" stopIfTrue="1">
      <formula>AND($G$165&gt;0,$G$151&gt;0)</formula>
    </cfRule>
  </conditionalFormatting>
  <conditionalFormatting sqref="G151">
    <cfRule type="expression" dxfId="252" priority="1" stopIfTrue="1">
      <formula>AND($G$151&gt;0,$G$165&gt;0)</formula>
    </cfRule>
  </conditionalFormatting>
  <dataValidations count="11">
    <dataValidation type="custom" operator="greaterThan" showInputMessage="1" showErrorMessage="1" errorTitle="RDM" error="No se admite ingresar RDM como ingresos y egresos a la vez. Tampoco se admiten valores menores a $50._x000a_" sqref="G151">
      <formula1>AND(OR(G151=0, G151&gt;50),G165=0)</formula1>
    </dataValidation>
    <dataValidation type="whole" operator="greaterThan" allowBlank="1" showInputMessage="1" showErrorMessage="1" sqref="D8:D12">
      <formula1>50</formula1>
    </dataValidation>
    <dataValidation type="whole" operator="greaterThan" showInputMessage="1" showErrorMessage="1" errorTitle="eee" error="Valores mayores a $50" sqref="D7">
      <formula1>50</formula1>
    </dataValidation>
    <dataValidation type="custom" operator="greaterThan" showInputMessage="1" showErrorMessage="1" errorTitle="eee" sqref="D56">
      <formula1>OR(D56=0, D56&lt;50)</formula1>
    </dataValidation>
    <dataValidation type="custom" operator="greaterThan" showInputMessage="1" showErrorMessage="1" errorTitle="eee" sqref="D57:D61">
      <formula1>OR(D57=0, D57&lt;0)</formula1>
    </dataValidation>
    <dataValidation type="custom" operator="greaterThan" showInputMessage="1" showErrorMessage="1" errorTitle="eee" sqref="G7:G140 D62:D155 G152:G164 G166:G181 G144:G150 D13:D55">
      <formula1>OR(D7=0, D7&gt;50)</formula1>
    </dataValidation>
    <dataValidation type="whole" allowBlank="1" showErrorMessage="1" errorTitle="Error de datos" error="Debe ingresar un valor entre 1 y 12" sqref="G1:G3">
      <formula1>1</formula1>
      <formula2>12</formula2>
    </dataValidation>
    <dataValidation allowBlank="1" errorTitle="Error de datos" error="Debe introducir una fecha válida" sqref="E3"/>
    <dataValidation allowBlank="1" sqref="G204"/>
    <dataValidation operator="greaterThanOrEqual" allowBlank="1" errorTitle="Error de datos" error="Debe ingresar un valor entero positivo" sqref="F6:F107 F203 C13:C47 C106:C153 F171 F174:F178 F180 F111:F119 C7:C10 F121:F140 F143:F169 C49:C62 C155 F109"/>
    <dataValidation type="custom" operator="greaterThan" showInputMessage="1" showErrorMessage="1" errorTitle="rdm2" error="No se admite ingresar a la vez RDM como ingresos y como egresos. Tampoco se admiten valores negattivos o positivos menores de 50" sqref="G165">
      <formula1>AND(OR(G165=0, G165&gt;50),G151=0)</formula1>
    </dataValidation>
  </dataValidations>
  <pageMargins left="0.7" right="0.7" top="0.75" bottom="0.75" header="0.3" footer="0.3"/>
  <ignoredErrors>
    <ignoredError sqref="E7:E181" numberStoredAsText="1"/>
    <ignoredError sqref="G40" formulaRange="1"/>
  </ignoredErrors>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15"/>
  <sheetViews>
    <sheetView showGridLines="0" workbookViewId="0">
      <selection activeCell="F4" sqref="F4"/>
    </sheetView>
  </sheetViews>
  <sheetFormatPr baseColWidth="10" defaultColWidth="0" defaultRowHeight="15" zeroHeight="1" x14ac:dyDescent="0.25"/>
  <cols>
    <col min="1" max="1" width="3.7109375" style="1" customWidth="1"/>
    <col min="2" max="2" width="14.28515625" style="7" hidden="1" customWidth="1"/>
    <col min="3" max="3" width="58.5703125" style="58" customWidth="1"/>
    <col min="4" max="4" width="25.140625" style="58" customWidth="1"/>
    <col min="5" max="5" width="5.85546875" style="82" customWidth="1"/>
    <col min="6" max="6" width="57.28515625" style="58" customWidth="1"/>
    <col min="7" max="7" width="24.7109375" style="58" customWidth="1"/>
    <col min="8" max="8" width="5.42578125" style="5" customWidth="1"/>
    <col min="9" max="16384" width="0" style="5" hidden="1"/>
  </cols>
  <sheetData>
    <row r="1" spans="1:9" ht="15.75" x14ac:dyDescent="0.25">
      <c r="B1" s="2"/>
      <c r="C1" s="313" t="s">
        <v>0</v>
      </c>
      <c r="D1" s="314"/>
      <c r="E1" s="315" t="str">
        <f>[14]Presentacion!C2</f>
        <v>COMECA</v>
      </c>
      <c r="F1" s="315"/>
      <c r="G1" s="3"/>
      <c r="H1" s="4"/>
    </row>
    <row r="2" spans="1:9" ht="15.75" x14ac:dyDescent="0.25">
      <c r="B2" s="6"/>
      <c r="C2" s="313" t="s">
        <v>1</v>
      </c>
      <c r="D2" s="314"/>
      <c r="E2" s="315" t="str">
        <f>[14]Presentacion!C3</f>
        <v>Canelones</v>
      </c>
      <c r="F2" s="315"/>
      <c r="G2" s="3"/>
      <c r="H2" s="4"/>
    </row>
    <row r="3" spans="1:9" ht="15.75" x14ac:dyDescent="0.25">
      <c r="B3" s="6"/>
      <c r="C3" s="313" t="s">
        <v>2</v>
      </c>
      <c r="D3" s="316"/>
      <c r="E3" s="317" t="s">
        <v>3</v>
      </c>
      <c r="F3" s="317"/>
      <c r="G3" s="3"/>
      <c r="H3" s="4"/>
    </row>
    <row r="4" spans="1:9" ht="15.75" thickBot="1" x14ac:dyDescent="0.3">
      <c r="C4" s="287"/>
      <c r="D4" s="8"/>
      <c r="E4" s="9"/>
      <c r="F4" s="10"/>
      <c r="G4" s="11"/>
    </row>
    <row r="5" spans="1:9" ht="16.5" thickBot="1" x14ac:dyDescent="0.3">
      <c r="B5" s="12"/>
      <c r="C5" s="13" t="s">
        <v>4</v>
      </c>
      <c r="D5" s="284" t="s">
        <v>5</v>
      </c>
      <c r="E5" s="14"/>
      <c r="F5" s="13" t="s">
        <v>6</v>
      </c>
      <c r="G5" s="284" t="s">
        <v>5</v>
      </c>
      <c r="I5" s="15"/>
    </row>
    <row r="6" spans="1:9" ht="16.5" thickBot="1" x14ac:dyDescent="0.3">
      <c r="B6" s="12"/>
      <c r="C6" s="16" t="s">
        <v>7</v>
      </c>
      <c r="D6" s="290">
        <f>+[14]E.S.P.!D6</f>
        <v>2020</v>
      </c>
      <c r="E6" s="18"/>
      <c r="F6" s="16" t="s">
        <v>8</v>
      </c>
      <c r="G6" s="290">
        <f>+D6</f>
        <v>2020</v>
      </c>
      <c r="H6" s="15"/>
    </row>
    <row r="7" spans="1:9" x14ac:dyDescent="0.25">
      <c r="B7" s="6" t="s">
        <v>9</v>
      </c>
      <c r="C7" s="19" t="s">
        <v>10</v>
      </c>
      <c r="D7" s="20">
        <v>33440243</v>
      </c>
      <c r="E7" s="21" t="s">
        <v>11</v>
      </c>
      <c r="F7" s="22" t="s">
        <v>12</v>
      </c>
      <c r="G7" s="23"/>
    </row>
    <row r="8" spans="1:9" x14ac:dyDescent="0.25">
      <c r="B8" s="6" t="s">
        <v>13</v>
      </c>
      <c r="C8" s="19" t="s">
        <v>14</v>
      </c>
      <c r="D8" s="20">
        <v>88443210</v>
      </c>
      <c r="E8" s="21" t="s">
        <v>15</v>
      </c>
      <c r="F8" s="19" t="s">
        <v>16</v>
      </c>
      <c r="G8" s="24">
        <f>199469453</f>
        <v>199469453</v>
      </c>
    </row>
    <row r="9" spans="1:9" x14ac:dyDescent="0.25">
      <c r="B9" s="6" t="s">
        <v>17</v>
      </c>
      <c r="C9" s="19" t="s">
        <v>18</v>
      </c>
      <c r="D9" s="20">
        <v>1423593610</v>
      </c>
      <c r="E9" s="21" t="s">
        <v>19</v>
      </c>
      <c r="F9" s="19" t="s">
        <v>20</v>
      </c>
      <c r="G9" s="20"/>
    </row>
    <row r="10" spans="1:9" x14ac:dyDescent="0.25">
      <c r="B10" s="6" t="s">
        <v>21</v>
      </c>
      <c r="C10" s="19" t="s">
        <v>22</v>
      </c>
      <c r="D10" s="20">
        <v>148386643</v>
      </c>
      <c r="E10" s="21" t="s">
        <v>23</v>
      </c>
      <c r="F10" s="19" t="s">
        <v>24</v>
      </c>
      <c r="G10" s="20">
        <f>354097593+2265628+6994286+2467519</f>
        <v>365825026</v>
      </c>
    </row>
    <row r="11" spans="1:9" x14ac:dyDescent="0.25">
      <c r="B11" s="6" t="s">
        <v>25</v>
      </c>
      <c r="C11" s="19" t="s">
        <v>26</v>
      </c>
      <c r="D11" s="20">
        <v>34436424</v>
      </c>
      <c r="E11" s="21" t="s">
        <v>27</v>
      </c>
      <c r="F11" s="19" t="s">
        <v>28</v>
      </c>
      <c r="G11" s="20"/>
    </row>
    <row r="12" spans="1:9" x14ac:dyDescent="0.25">
      <c r="B12" s="6" t="s">
        <v>29</v>
      </c>
      <c r="C12" s="19" t="s">
        <v>30</v>
      </c>
      <c r="D12" s="20">
        <v>34938509</v>
      </c>
      <c r="E12" s="21" t="s">
        <v>31</v>
      </c>
      <c r="F12" s="19" t="s">
        <v>32</v>
      </c>
      <c r="G12" s="20">
        <v>60486523</v>
      </c>
    </row>
    <row r="13" spans="1:9" x14ac:dyDescent="0.25">
      <c r="B13" s="6" t="s">
        <v>33</v>
      </c>
      <c r="C13" s="19" t="s">
        <v>34</v>
      </c>
      <c r="D13" s="20"/>
      <c r="E13" s="21" t="s">
        <v>35</v>
      </c>
      <c r="F13" s="19" t="s">
        <v>36</v>
      </c>
      <c r="G13" s="20"/>
    </row>
    <row r="14" spans="1:9" x14ac:dyDescent="0.25">
      <c r="A14" s="25"/>
      <c r="B14" s="6" t="s">
        <v>37</v>
      </c>
      <c r="C14" s="19" t="s">
        <v>38</v>
      </c>
      <c r="D14" s="20">
        <v>36105363</v>
      </c>
      <c r="E14" s="21" t="s">
        <v>39</v>
      </c>
      <c r="F14" s="19" t="s">
        <v>40</v>
      </c>
      <c r="G14" s="20">
        <v>268880189</v>
      </c>
    </row>
    <row r="15" spans="1:9" x14ac:dyDescent="0.25">
      <c r="B15" s="6" t="s">
        <v>41</v>
      </c>
      <c r="C15" s="26" t="s">
        <v>42</v>
      </c>
      <c r="D15" s="20"/>
      <c r="E15" s="21" t="s">
        <v>43</v>
      </c>
      <c r="F15" s="19" t="s">
        <v>44</v>
      </c>
      <c r="G15" s="20">
        <v>111796238</v>
      </c>
    </row>
    <row r="16" spans="1:9" x14ac:dyDescent="0.25">
      <c r="B16" s="6" t="s">
        <v>45</v>
      </c>
      <c r="C16" s="19" t="s">
        <v>46</v>
      </c>
      <c r="D16" s="20"/>
      <c r="E16" s="21" t="s">
        <v>47</v>
      </c>
      <c r="F16" s="19" t="s">
        <v>48</v>
      </c>
      <c r="G16" s="20">
        <v>110818705</v>
      </c>
    </row>
    <row r="17" spans="1:7" x14ac:dyDescent="0.25">
      <c r="B17" s="6" t="s">
        <v>49</v>
      </c>
      <c r="C17" s="19" t="s">
        <v>50</v>
      </c>
      <c r="D17" s="20"/>
      <c r="E17" s="21" t="s">
        <v>51</v>
      </c>
      <c r="F17" s="19" t="s">
        <v>52</v>
      </c>
      <c r="G17" s="20">
        <v>12238854</v>
      </c>
    </row>
    <row r="18" spans="1:7" x14ac:dyDescent="0.25">
      <c r="A18" s="25"/>
      <c r="B18" s="6" t="s">
        <v>53</v>
      </c>
      <c r="C18" s="19" t="s">
        <v>54</v>
      </c>
      <c r="D18" s="20">
        <v>27601994</v>
      </c>
      <c r="E18" s="21" t="s">
        <v>55</v>
      </c>
      <c r="F18" s="19" t="s">
        <v>56</v>
      </c>
      <c r="G18" s="27">
        <v>47197125</v>
      </c>
    </row>
    <row r="19" spans="1:7" ht="15.75" thickBot="1" x14ac:dyDescent="0.3">
      <c r="A19" s="25"/>
      <c r="B19" s="6" t="s">
        <v>57</v>
      </c>
      <c r="C19" s="19" t="s">
        <v>58</v>
      </c>
      <c r="D19" s="20">
        <v>76811197</v>
      </c>
      <c r="E19" s="21"/>
      <c r="F19" s="28" t="s">
        <v>59</v>
      </c>
      <c r="G19" s="29">
        <f>SUM(G7:G18)</f>
        <v>1176712113</v>
      </c>
    </row>
    <row r="20" spans="1:7" ht="15.75" thickBot="1" x14ac:dyDescent="0.3">
      <c r="B20" s="6"/>
      <c r="C20" s="28" t="s">
        <v>60</v>
      </c>
      <c r="D20" s="29">
        <f>SUM(D7:D19)</f>
        <v>1903757193</v>
      </c>
      <c r="E20" s="21" t="s">
        <v>61</v>
      </c>
      <c r="F20" s="22" t="s">
        <v>62</v>
      </c>
      <c r="G20" s="23"/>
    </row>
    <row r="21" spans="1:7" x14ac:dyDescent="0.25">
      <c r="B21" s="6"/>
      <c r="C21" s="30" t="s">
        <v>63</v>
      </c>
      <c r="D21" s="31">
        <f>SUM(D22:D28)</f>
        <v>34311492</v>
      </c>
      <c r="E21" s="21" t="s">
        <v>64</v>
      </c>
      <c r="F21" s="19" t="s">
        <v>65</v>
      </c>
      <c r="G21" s="20">
        <v>25338531</v>
      </c>
    </row>
    <row r="22" spans="1:7" x14ac:dyDescent="0.25">
      <c r="B22" s="6" t="s">
        <v>66</v>
      </c>
      <c r="C22" s="19" t="s">
        <v>67</v>
      </c>
      <c r="D22" s="20">
        <v>17144900</v>
      </c>
      <c r="E22" s="21" t="s">
        <v>68</v>
      </c>
      <c r="F22" s="19" t="s">
        <v>69</v>
      </c>
      <c r="G22" s="20">
        <v>5367088</v>
      </c>
    </row>
    <row r="23" spans="1:7" x14ac:dyDescent="0.25">
      <c r="B23" s="6" t="s">
        <v>70</v>
      </c>
      <c r="C23" s="19" t="s">
        <v>71</v>
      </c>
      <c r="D23" s="20">
        <v>1817653</v>
      </c>
      <c r="E23" s="21" t="s">
        <v>72</v>
      </c>
      <c r="F23" s="19" t="s">
        <v>73</v>
      </c>
      <c r="G23" s="20">
        <f>42715087-2467519</f>
        <v>40247568</v>
      </c>
    </row>
    <row r="24" spans="1:7" x14ac:dyDescent="0.25">
      <c r="B24" s="6" t="s">
        <v>74</v>
      </c>
      <c r="C24" s="19" t="s">
        <v>75</v>
      </c>
      <c r="D24" s="20">
        <v>6721725</v>
      </c>
      <c r="E24" s="21" t="s">
        <v>76</v>
      </c>
      <c r="F24" s="19" t="s">
        <v>77</v>
      </c>
      <c r="G24" s="20"/>
    </row>
    <row r="25" spans="1:7" x14ac:dyDescent="0.25">
      <c r="B25" s="6" t="s">
        <v>78</v>
      </c>
      <c r="C25" s="19" t="s">
        <v>79</v>
      </c>
      <c r="D25" s="20">
        <v>167505</v>
      </c>
      <c r="E25" s="21" t="s">
        <v>80</v>
      </c>
      <c r="F25" s="19" t="s">
        <v>81</v>
      </c>
      <c r="G25" s="20">
        <v>9001852</v>
      </c>
    </row>
    <row r="26" spans="1:7" x14ac:dyDescent="0.25">
      <c r="B26" s="6" t="s">
        <v>82</v>
      </c>
      <c r="C26" s="19" t="s">
        <v>83</v>
      </c>
      <c r="D26" s="20">
        <v>6935302</v>
      </c>
      <c r="E26" s="21" t="s">
        <v>84</v>
      </c>
      <c r="F26" s="19" t="s">
        <v>85</v>
      </c>
      <c r="G26" s="27">
        <v>3247855</v>
      </c>
    </row>
    <row r="27" spans="1:7" ht="15.75" thickBot="1" x14ac:dyDescent="0.3">
      <c r="B27" s="6" t="s">
        <v>86</v>
      </c>
      <c r="C27" s="19" t="s">
        <v>87</v>
      </c>
      <c r="D27" s="20"/>
      <c r="E27" s="21"/>
      <c r="F27" s="28" t="s">
        <v>88</v>
      </c>
      <c r="G27" s="29">
        <f>SUM(G20:G26)</f>
        <v>83202894</v>
      </c>
    </row>
    <row r="28" spans="1:7" x14ac:dyDescent="0.25">
      <c r="B28" s="6" t="s">
        <v>89</v>
      </c>
      <c r="C28" s="19" t="s">
        <v>90</v>
      </c>
      <c r="D28" s="20">
        <v>1524407</v>
      </c>
      <c r="E28" s="21" t="s">
        <v>91</v>
      </c>
      <c r="F28" s="22" t="s">
        <v>92</v>
      </c>
      <c r="G28" s="23">
        <v>65060269</v>
      </c>
    </row>
    <row r="29" spans="1:7" x14ac:dyDescent="0.25">
      <c r="B29" s="6"/>
      <c r="C29" s="32" t="s">
        <v>93</v>
      </c>
      <c r="D29" s="31">
        <f>SUM(D30:D34)</f>
        <v>153772315</v>
      </c>
      <c r="E29" s="21" t="s">
        <v>94</v>
      </c>
      <c r="F29" s="19" t="s">
        <v>95</v>
      </c>
      <c r="G29" s="20">
        <v>70935135</v>
      </c>
    </row>
    <row r="30" spans="1:7" x14ac:dyDescent="0.25">
      <c r="B30" s="6" t="s">
        <v>96</v>
      </c>
      <c r="C30" s="19" t="s">
        <v>97</v>
      </c>
      <c r="D30" s="20">
        <v>120914043</v>
      </c>
      <c r="E30" s="21" t="s">
        <v>98</v>
      </c>
      <c r="F30" s="19" t="s">
        <v>99</v>
      </c>
      <c r="G30" s="20">
        <v>19165279</v>
      </c>
    </row>
    <row r="31" spans="1:7" x14ac:dyDescent="0.25">
      <c r="B31" s="6" t="s">
        <v>100</v>
      </c>
      <c r="C31" s="19" t="s">
        <v>101</v>
      </c>
      <c r="D31" s="20">
        <v>7254592</v>
      </c>
      <c r="E31" s="21" t="s">
        <v>102</v>
      </c>
      <c r="F31" s="19" t="s">
        <v>103</v>
      </c>
      <c r="G31" s="27">
        <v>6799907</v>
      </c>
    </row>
    <row r="32" spans="1:7" ht="15.75" thickBot="1" x14ac:dyDescent="0.3">
      <c r="B32" s="6" t="s">
        <v>104</v>
      </c>
      <c r="C32" s="19" t="s">
        <v>105</v>
      </c>
      <c r="D32" s="20">
        <v>19284300</v>
      </c>
      <c r="E32" s="21"/>
      <c r="F32" s="28" t="s">
        <v>106</v>
      </c>
      <c r="G32" s="29">
        <f>SUM(G28:G31)</f>
        <v>161960590</v>
      </c>
    </row>
    <row r="33" spans="2:7" x14ac:dyDescent="0.25">
      <c r="B33" s="6" t="s">
        <v>107</v>
      </c>
      <c r="C33" s="19" t="s">
        <v>108</v>
      </c>
      <c r="D33" s="20"/>
      <c r="E33" s="21"/>
      <c r="F33" s="32" t="s">
        <v>109</v>
      </c>
      <c r="G33" s="31">
        <f>SUM(G34:G39)</f>
        <v>118981800</v>
      </c>
    </row>
    <row r="34" spans="2:7" x14ac:dyDescent="0.25">
      <c r="B34" s="6" t="s">
        <v>110</v>
      </c>
      <c r="C34" s="19" t="s">
        <v>111</v>
      </c>
      <c r="D34" s="20">
        <v>6319380</v>
      </c>
      <c r="E34" s="21" t="s">
        <v>112</v>
      </c>
      <c r="F34" s="19" t="s">
        <v>113</v>
      </c>
      <c r="G34" s="20">
        <v>2931526</v>
      </c>
    </row>
    <row r="35" spans="2:7" ht="15.75" thickBot="1" x14ac:dyDescent="0.3">
      <c r="B35" s="6"/>
      <c r="C35" s="28" t="s">
        <v>114</v>
      </c>
      <c r="D35" s="29">
        <f>+D21+D29</f>
        <v>188083807</v>
      </c>
      <c r="E35" s="21" t="s">
        <v>115</v>
      </c>
      <c r="F35" s="19" t="s">
        <v>116</v>
      </c>
      <c r="G35" s="20">
        <v>797126</v>
      </c>
    </row>
    <row r="36" spans="2:7" x14ac:dyDescent="0.25">
      <c r="B36" s="6" t="s">
        <v>117</v>
      </c>
      <c r="C36" s="19" t="s">
        <v>118</v>
      </c>
      <c r="D36" s="20">
        <v>17263361</v>
      </c>
      <c r="E36" s="21" t="s">
        <v>119</v>
      </c>
      <c r="F36" s="19" t="s">
        <v>120</v>
      </c>
      <c r="G36" s="20">
        <v>2935738</v>
      </c>
    </row>
    <row r="37" spans="2:7" x14ac:dyDescent="0.25">
      <c r="B37" s="6" t="s">
        <v>121</v>
      </c>
      <c r="C37" s="19" t="s">
        <v>122</v>
      </c>
      <c r="D37" s="20">
        <v>32348403</v>
      </c>
      <c r="E37" s="21" t="s">
        <v>123</v>
      </c>
      <c r="F37" s="19" t="s">
        <v>124</v>
      </c>
      <c r="G37" s="20">
        <v>8090309</v>
      </c>
    </row>
    <row r="38" spans="2:7" x14ac:dyDescent="0.25">
      <c r="B38" s="6" t="s">
        <v>125</v>
      </c>
      <c r="C38" s="19" t="s">
        <v>126</v>
      </c>
      <c r="D38" s="20">
        <v>39970601</v>
      </c>
      <c r="E38" s="21" t="s">
        <v>127</v>
      </c>
      <c r="F38" s="19" t="s">
        <v>128</v>
      </c>
      <c r="G38" s="20">
        <v>11785537</v>
      </c>
    </row>
    <row r="39" spans="2:7" x14ac:dyDescent="0.25">
      <c r="B39" s="6" t="s">
        <v>129</v>
      </c>
      <c r="C39" s="19" t="s">
        <v>130</v>
      </c>
      <c r="D39" s="20">
        <f>6830859+11823888</f>
        <v>18654747</v>
      </c>
      <c r="E39" s="21" t="s">
        <v>131</v>
      </c>
      <c r="F39" s="19" t="s">
        <v>132</v>
      </c>
      <c r="G39" s="20">
        <v>92441564</v>
      </c>
    </row>
    <row r="40" spans="2:7" x14ac:dyDescent="0.25">
      <c r="B40" s="6" t="s">
        <v>133</v>
      </c>
      <c r="C40" s="19" t="s">
        <v>134</v>
      </c>
      <c r="D40" s="20">
        <v>10716654</v>
      </c>
      <c r="E40" s="21"/>
      <c r="F40" s="33" t="s">
        <v>135</v>
      </c>
      <c r="G40" s="34">
        <f>SUM(G41:G46)</f>
        <v>43824396</v>
      </c>
    </row>
    <row r="41" spans="2:7" x14ac:dyDescent="0.25">
      <c r="B41" s="6" t="s">
        <v>136</v>
      </c>
      <c r="C41" s="19" t="s">
        <v>137</v>
      </c>
      <c r="D41" s="20">
        <v>53345764</v>
      </c>
      <c r="E41" s="21" t="s">
        <v>138</v>
      </c>
      <c r="F41" s="19" t="s">
        <v>139</v>
      </c>
      <c r="G41" s="20">
        <v>8189863</v>
      </c>
    </row>
    <row r="42" spans="2:7" x14ac:dyDescent="0.25">
      <c r="B42" s="6" t="s">
        <v>140</v>
      </c>
      <c r="C42" s="19" t="s">
        <v>141</v>
      </c>
      <c r="D42" s="20">
        <v>20210038</v>
      </c>
      <c r="E42" s="21" t="s">
        <v>142</v>
      </c>
      <c r="F42" s="19" t="s">
        <v>143</v>
      </c>
      <c r="G42" s="20">
        <v>3690</v>
      </c>
    </row>
    <row r="43" spans="2:7" x14ac:dyDescent="0.25">
      <c r="B43" s="6" t="s">
        <v>144</v>
      </c>
      <c r="C43" s="19" t="s">
        <v>145</v>
      </c>
      <c r="D43" s="20"/>
      <c r="E43" s="21" t="s">
        <v>146</v>
      </c>
      <c r="F43" s="19" t="s">
        <v>147</v>
      </c>
      <c r="G43" s="20">
        <v>3438646</v>
      </c>
    </row>
    <row r="44" spans="2:7" x14ac:dyDescent="0.25">
      <c r="B44" s="6" t="s">
        <v>148</v>
      </c>
      <c r="C44" s="19" t="s">
        <v>149</v>
      </c>
      <c r="D44" s="20"/>
      <c r="E44" s="21" t="s">
        <v>150</v>
      </c>
      <c r="F44" s="19" t="s">
        <v>151</v>
      </c>
      <c r="G44" s="20">
        <v>1012850</v>
      </c>
    </row>
    <row r="45" spans="2:7" x14ac:dyDescent="0.25">
      <c r="B45" s="6" t="s">
        <v>152</v>
      </c>
      <c r="C45" s="19" t="s">
        <v>153</v>
      </c>
      <c r="D45" s="20">
        <v>101706033</v>
      </c>
      <c r="E45" s="21" t="s">
        <v>154</v>
      </c>
      <c r="F45" s="19" t="s">
        <v>155</v>
      </c>
      <c r="G45" s="20">
        <v>821202</v>
      </c>
    </row>
    <row r="46" spans="2:7" x14ac:dyDescent="0.25">
      <c r="B46" s="6" t="s">
        <v>156</v>
      </c>
      <c r="C46" s="19" t="s">
        <v>157</v>
      </c>
      <c r="D46" s="20">
        <v>12237363</v>
      </c>
      <c r="E46" s="21" t="s">
        <v>158</v>
      </c>
      <c r="F46" s="19" t="s">
        <v>159</v>
      </c>
      <c r="G46" s="20">
        <v>30358145</v>
      </c>
    </row>
    <row r="47" spans="2:7" ht="15.75" thickBot="1" x14ac:dyDescent="0.3">
      <c r="B47" s="6"/>
      <c r="C47" s="28" t="s">
        <v>160</v>
      </c>
      <c r="D47" s="29">
        <f>SUM(D36:D46)</f>
        <v>306452964</v>
      </c>
      <c r="E47" s="21" t="s">
        <v>161</v>
      </c>
      <c r="F47" s="19" t="s">
        <v>162</v>
      </c>
      <c r="G47" s="27">
        <v>8789188</v>
      </c>
    </row>
    <row r="48" spans="2:7" ht="15.75" thickBot="1" x14ac:dyDescent="0.3">
      <c r="B48" s="6"/>
      <c r="C48" s="35" t="s">
        <v>163</v>
      </c>
      <c r="D48" s="36"/>
      <c r="E48" s="21"/>
      <c r="F48" s="28" t="s">
        <v>164</v>
      </c>
      <c r="G48" s="37">
        <f>+G33+G40+G47</f>
        <v>171595384</v>
      </c>
    </row>
    <row r="49" spans="2:7" x14ac:dyDescent="0.25">
      <c r="B49" s="6" t="s">
        <v>165</v>
      </c>
      <c r="C49" s="38" t="s">
        <v>166</v>
      </c>
      <c r="D49" s="39"/>
      <c r="E49" s="21" t="s">
        <v>167</v>
      </c>
      <c r="F49" s="22" t="s">
        <v>168</v>
      </c>
      <c r="G49" s="23">
        <v>24560112</v>
      </c>
    </row>
    <row r="50" spans="2:7" x14ac:dyDescent="0.25">
      <c r="B50" s="6" t="s">
        <v>169</v>
      </c>
      <c r="C50" s="19" t="s">
        <v>163</v>
      </c>
      <c r="D50" s="20"/>
      <c r="E50" s="21" t="s">
        <v>170</v>
      </c>
      <c r="F50" s="19" t="s">
        <v>171</v>
      </c>
      <c r="G50" s="20">
        <v>79671644</v>
      </c>
    </row>
    <row r="51" spans="2:7" x14ac:dyDescent="0.25">
      <c r="B51" s="6" t="s">
        <v>172</v>
      </c>
      <c r="C51" s="19" t="s">
        <v>173</v>
      </c>
      <c r="D51" s="27"/>
      <c r="E51" s="21" t="s">
        <v>174</v>
      </c>
      <c r="F51" s="19" t="s">
        <v>175</v>
      </c>
      <c r="G51" s="20">
        <v>1488932</v>
      </c>
    </row>
    <row r="52" spans="2:7" ht="15.75" thickBot="1" x14ac:dyDescent="0.3">
      <c r="B52" s="12"/>
      <c r="C52" s="28" t="s">
        <v>176</v>
      </c>
      <c r="D52" s="29">
        <f>SUM(D49:D51)</f>
        <v>0</v>
      </c>
      <c r="E52" s="21" t="s">
        <v>177</v>
      </c>
      <c r="F52" s="19" t="s">
        <v>178</v>
      </c>
      <c r="G52" s="20">
        <v>8505269</v>
      </c>
    </row>
    <row r="53" spans="2:7" ht="15.75" thickBot="1" x14ac:dyDescent="0.3">
      <c r="B53" s="6"/>
      <c r="C53" s="40" t="s">
        <v>179</v>
      </c>
      <c r="D53" s="41">
        <f>D20+D35+D47+D52</f>
        <v>2398293964</v>
      </c>
      <c r="E53" s="21" t="s">
        <v>180</v>
      </c>
      <c r="F53" s="19" t="s">
        <v>181</v>
      </c>
      <c r="G53" s="20">
        <v>10414163</v>
      </c>
    </row>
    <row r="54" spans="2:7" x14ac:dyDescent="0.25">
      <c r="C54" s="42"/>
      <c r="D54" s="43"/>
      <c r="E54" s="21" t="s">
        <v>182</v>
      </c>
      <c r="F54" s="19" t="s">
        <v>183</v>
      </c>
      <c r="G54" s="20">
        <v>2900806</v>
      </c>
    </row>
    <row r="55" spans="2:7" x14ac:dyDescent="0.25">
      <c r="C55" s="44" t="s">
        <v>184</v>
      </c>
      <c r="D55" s="45"/>
      <c r="E55" s="21" t="s">
        <v>185</v>
      </c>
      <c r="F55" s="19" t="s">
        <v>186</v>
      </c>
      <c r="G55" s="20">
        <v>3400320</v>
      </c>
    </row>
    <row r="56" spans="2:7" x14ac:dyDescent="0.25">
      <c r="B56" s="6" t="s">
        <v>187</v>
      </c>
      <c r="C56" s="46" t="s">
        <v>188</v>
      </c>
      <c r="D56" s="20"/>
      <c r="E56" s="21" t="s">
        <v>189</v>
      </c>
      <c r="F56" s="19" t="s">
        <v>190</v>
      </c>
      <c r="G56" s="27">
        <v>5128961</v>
      </c>
    </row>
    <row r="57" spans="2:7" ht="15.75" thickBot="1" x14ac:dyDescent="0.3">
      <c r="B57" s="6" t="s">
        <v>191</v>
      </c>
      <c r="C57" s="46" t="s">
        <v>192</v>
      </c>
      <c r="D57" s="20"/>
      <c r="E57" s="21"/>
      <c r="F57" s="28" t="s">
        <v>193</v>
      </c>
      <c r="G57" s="29">
        <f>SUM(G49:G56)</f>
        <v>136070207</v>
      </c>
    </row>
    <row r="58" spans="2:7" x14ac:dyDescent="0.25">
      <c r="B58" s="6" t="s">
        <v>194</v>
      </c>
      <c r="C58" s="46" t="s">
        <v>195</v>
      </c>
      <c r="D58" s="20"/>
      <c r="E58" s="21" t="s">
        <v>196</v>
      </c>
      <c r="F58" s="22" t="s">
        <v>197</v>
      </c>
      <c r="G58" s="23">
        <v>129300182</v>
      </c>
    </row>
    <row r="59" spans="2:7" x14ac:dyDescent="0.25">
      <c r="B59" s="6" t="s">
        <v>198</v>
      </c>
      <c r="C59" s="19" t="s">
        <v>199</v>
      </c>
      <c r="D59" s="27"/>
      <c r="E59" s="21" t="s">
        <v>200</v>
      </c>
      <c r="F59" s="19" t="s">
        <v>201</v>
      </c>
      <c r="G59" s="20">
        <v>6105637</v>
      </c>
    </row>
    <row r="60" spans="2:7" ht="15.75" thickBot="1" x14ac:dyDescent="0.3">
      <c r="B60" s="6"/>
      <c r="C60" s="28" t="s">
        <v>202</v>
      </c>
      <c r="D60" s="29">
        <f>SUM(D56:D59)</f>
        <v>0</v>
      </c>
      <c r="E60" s="21" t="s">
        <v>203</v>
      </c>
      <c r="F60" s="19" t="s">
        <v>204</v>
      </c>
      <c r="G60" s="20">
        <v>365870</v>
      </c>
    </row>
    <row r="61" spans="2:7" ht="16.5" thickBot="1" x14ac:dyDescent="0.3">
      <c r="B61" s="47"/>
      <c r="C61" s="48" t="s">
        <v>205</v>
      </c>
      <c r="D61" s="49">
        <f>D53+D60</f>
        <v>2398293964</v>
      </c>
      <c r="E61" s="21" t="s">
        <v>206</v>
      </c>
      <c r="F61" s="19" t="s">
        <v>207</v>
      </c>
      <c r="G61" s="20">
        <v>5215610</v>
      </c>
    </row>
    <row r="62" spans="2:7" x14ac:dyDescent="0.25">
      <c r="B62" s="50"/>
      <c r="C62" s="51"/>
      <c r="D62" s="51"/>
      <c r="E62" s="21" t="s">
        <v>208</v>
      </c>
      <c r="F62" s="19" t="s">
        <v>209</v>
      </c>
      <c r="G62" s="20"/>
    </row>
    <row r="63" spans="2:7" x14ac:dyDescent="0.25">
      <c r="B63" s="52"/>
      <c r="C63" s="53" t="s">
        <v>8</v>
      </c>
      <c r="D63" s="53"/>
      <c r="E63" s="21" t="s">
        <v>210</v>
      </c>
      <c r="F63" s="19" t="s">
        <v>211</v>
      </c>
      <c r="G63" s="20">
        <v>5768709</v>
      </c>
    </row>
    <row r="64" spans="2:7" x14ac:dyDescent="0.25">
      <c r="B64" s="54" t="s">
        <v>212</v>
      </c>
      <c r="C64" s="55" t="s">
        <v>213</v>
      </c>
      <c r="D64" s="55">
        <f>[14]Amortizaciones!D6</f>
        <v>32041298</v>
      </c>
      <c r="E64" s="21" t="s">
        <v>214</v>
      </c>
      <c r="F64" s="19" t="s">
        <v>215</v>
      </c>
      <c r="G64" s="20">
        <v>10754739</v>
      </c>
    </row>
    <row r="65" spans="2:7" x14ac:dyDescent="0.25">
      <c r="B65" s="54" t="s">
        <v>216</v>
      </c>
      <c r="C65" s="55" t="s">
        <v>217</v>
      </c>
      <c r="D65" s="55">
        <f>[14]Amortizaciones!D7</f>
        <v>0</v>
      </c>
      <c r="E65" s="21" t="s">
        <v>218</v>
      </c>
      <c r="F65" s="19" t="s">
        <v>219</v>
      </c>
      <c r="G65" s="20">
        <v>29395229</v>
      </c>
    </row>
    <row r="66" spans="2:7" x14ac:dyDescent="0.25">
      <c r="B66" s="54" t="s">
        <v>220</v>
      </c>
      <c r="C66" s="55" t="s">
        <v>221</v>
      </c>
      <c r="D66" s="55">
        <f>[14]Amortizaciones!D8</f>
        <v>17709861</v>
      </c>
      <c r="E66" s="21" t="s">
        <v>222</v>
      </c>
      <c r="F66" s="19" t="s">
        <v>223</v>
      </c>
      <c r="G66" s="20">
        <v>267698</v>
      </c>
    </row>
    <row r="67" spans="2:7" x14ac:dyDescent="0.25">
      <c r="B67" s="54" t="s">
        <v>224</v>
      </c>
      <c r="C67" s="55" t="s">
        <v>225</v>
      </c>
      <c r="D67" s="55">
        <f>[14]Amortizaciones!D9</f>
        <v>0</v>
      </c>
      <c r="E67" s="21" t="s">
        <v>226</v>
      </c>
      <c r="F67" s="19" t="s">
        <v>227</v>
      </c>
      <c r="G67" s="20">
        <v>7737464</v>
      </c>
    </row>
    <row r="68" spans="2:7" x14ac:dyDescent="0.25">
      <c r="B68" s="54" t="s">
        <v>228</v>
      </c>
      <c r="C68" s="55" t="s">
        <v>229</v>
      </c>
      <c r="D68" s="55">
        <f>[14]Amortizaciones!D10</f>
        <v>627111</v>
      </c>
      <c r="E68" s="21" t="s">
        <v>230</v>
      </c>
      <c r="F68" s="19" t="s">
        <v>231</v>
      </c>
      <c r="G68" s="20"/>
    </row>
    <row r="69" spans="2:7" x14ac:dyDescent="0.25">
      <c r="B69" s="54" t="s">
        <v>232</v>
      </c>
      <c r="C69" s="55" t="s">
        <v>233</v>
      </c>
      <c r="D69" s="55">
        <f>[14]Amortizaciones!D11</f>
        <v>163650</v>
      </c>
      <c r="E69" s="21" t="s">
        <v>234</v>
      </c>
      <c r="F69" s="19" t="s">
        <v>235</v>
      </c>
      <c r="G69" s="20">
        <v>1570174</v>
      </c>
    </row>
    <row r="70" spans="2:7" x14ac:dyDescent="0.25">
      <c r="B70" s="54" t="s">
        <v>236</v>
      </c>
      <c r="C70" s="55" t="s">
        <v>237</v>
      </c>
      <c r="D70" s="55">
        <f>[14]Amortizaciones!D12</f>
        <v>1272450</v>
      </c>
      <c r="E70" s="21" t="s">
        <v>238</v>
      </c>
      <c r="F70" s="19" t="s">
        <v>239</v>
      </c>
      <c r="G70" s="20"/>
    </row>
    <row r="71" spans="2:7" x14ac:dyDescent="0.25">
      <c r="B71" s="54" t="s">
        <v>240</v>
      </c>
      <c r="C71" s="55" t="s">
        <v>241</v>
      </c>
      <c r="D71" s="55">
        <f>[14]Amortizaciones!D13</f>
        <v>2306437</v>
      </c>
      <c r="E71" s="21" t="s">
        <v>242</v>
      </c>
      <c r="F71" s="19" t="s">
        <v>243</v>
      </c>
      <c r="G71" s="20"/>
    </row>
    <row r="72" spans="2:7" x14ac:dyDescent="0.25">
      <c r="B72" s="54" t="s">
        <v>244</v>
      </c>
      <c r="C72" s="55" t="s">
        <v>245</v>
      </c>
      <c r="D72" s="55">
        <f>[14]Amortizaciones!D14</f>
        <v>3113211</v>
      </c>
      <c r="E72" s="21" t="s">
        <v>246</v>
      </c>
      <c r="F72" s="19" t="s">
        <v>247</v>
      </c>
      <c r="G72" s="20"/>
    </row>
    <row r="73" spans="2:7" x14ac:dyDescent="0.25">
      <c r="B73" s="54" t="s">
        <v>248</v>
      </c>
      <c r="C73" s="55" t="s">
        <v>249</v>
      </c>
      <c r="D73" s="55">
        <f>[14]Amortizaciones!D15</f>
        <v>0</v>
      </c>
      <c r="E73" s="21" t="s">
        <v>250</v>
      </c>
      <c r="F73" s="19" t="s">
        <v>251</v>
      </c>
      <c r="G73" s="20">
        <v>2738083</v>
      </c>
    </row>
    <row r="74" spans="2:7" x14ac:dyDescent="0.25">
      <c r="B74" s="54" t="s">
        <v>252</v>
      </c>
      <c r="C74" s="55" t="s">
        <v>253</v>
      </c>
      <c r="D74" s="55">
        <f>[14]Amortizaciones!D16</f>
        <v>2726824</v>
      </c>
      <c r="E74" s="21" t="s">
        <v>254</v>
      </c>
      <c r="F74" s="19" t="s">
        <v>255</v>
      </c>
      <c r="G74" s="20"/>
    </row>
    <row r="75" spans="2:7" x14ac:dyDescent="0.25">
      <c r="B75" s="54" t="s">
        <v>256</v>
      </c>
      <c r="C75" s="55" t="s">
        <v>257</v>
      </c>
      <c r="D75" s="55">
        <f>[14]Amortizaciones!D17</f>
        <v>0</v>
      </c>
      <c r="E75" s="21" t="s">
        <v>258</v>
      </c>
      <c r="F75" s="19" t="s">
        <v>259</v>
      </c>
      <c r="G75" s="20">
        <v>8795241</v>
      </c>
    </row>
    <row r="76" spans="2:7" x14ac:dyDescent="0.25">
      <c r="B76" s="54" t="s">
        <v>260</v>
      </c>
      <c r="C76" s="55" t="s">
        <v>261</v>
      </c>
      <c r="D76" s="55">
        <f>[14]Amortizaciones!D18</f>
        <v>0</v>
      </c>
      <c r="E76" s="21" t="s">
        <v>262</v>
      </c>
      <c r="F76" s="19" t="s">
        <v>263</v>
      </c>
      <c r="G76" s="20">
        <v>5783030</v>
      </c>
    </row>
    <row r="77" spans="2:7" x14ac:dyDescent="0.25">
      <c r="B77" s="54" t="s">
        <v>264</v>
      </c>
      <c r="C77" s="55" t="s">
        <v>265</v>
      </c>
      <c r="D77" s="55">
        <f>SUM(D64:D76)</f>
        <v>59960842</v>
      </c>
      <c r="E77" s="21" t="s">
        <v>266</v>
      </c>
      <c r="F77" s="19" t="s">
        <v>267</v>
      </c>
      <c r="G77" s="20">
        <v>105412149</v>
      </c>
    </row>
    <row r="78" spans="2:7" x14ac:dyDescent="0.25">
      <c r="B78" s="54"/>
      <c r="C78" s="55"/>
      <c r="D78" s="55"/>
      <c r="E78" s="21" t="s">
        <v>268</v>
      </c>
      <c r="F78" s="19" t="s">
        <v>269</v>
      </c>
      <c r="G78" s="27">
        <v>12606426</v>
      </c>
    </row>
    <row r="79" spans="2:7" ht="15.75" thickBot="1" x14ac:dyDescent="0.3">
      <c r="B79" s="54"/>
      <c r="C79" s="53" t="s">
        <v>270</v>
      </c>
      <c r="D79" s="56"/>
      <c r="E79" s="21"/>
      <c r="F79" s="28" t="s">
        <v>271</v>
      </c>
      <c r="G79" s="29">
        <f>SUM(G58:G78)</f>
        <v>331816241</v>
      </c>
    </row>
    <row r="80" spans="2:7" x14ac:dyDescent="0.25">
      <c r="B80" s="54" t="s">
        <v>272</v>
      </c>
      <c r="C80" s="55" t="s">
        <v>237</v>
      </c>
      <c r="D80" s="55">
        <f>[14]Amortizaciones!D22</f>
        <v>0</v>
      </c>
      <c r="E80" s="21" t="s">
        <v>273</v>
      </c>
      <c r="F80" s="22" t="s">
        <v>274</v>
      </c>
      <c r="G80" s="23"/>
    </row>
    <row r="81" spans="2:7" x14ac:dyDescent="0.25">
      <c r="B81" s="54" t="s">
        <v>275</v>
      </c>
      <c r="C81" s="55" t="s">
        <v>241</v>
      </c>
      <c r="D81" s="55">
        <f>[14]Amortizaciones!D23</f>
        <v>0</v>
      </c>
      <c r="E81" s="21" t="s">
        <v>276</v>
      </c>
      <c r="F81" s="19" t="s">
        <v>277</v>
      </c>
      <c r="G81" s="20">
        <v>27609990</v>
      </c>
    </row>
    <row r="82" spans="2:7" x14ac:dyDescent="0.25">
      <c r="B82" s="54" t="s">
        <v>278</v>
      </c>
      <c r="C82" s="55" t="s">
        <v>245</v>
      </c>
      <c r="D82" s="55">
        <f>[14]Amortizaciones!D24</f>
        <v>0</v>
      </c>
      <c r="E82" s="21" t="s">
        <v>279</v>
      </c>
      <c r="F82" s="19" t="s">
        <v>280</v>
      </c>
      <c r="G82" s="20">
        <v>5475007</v>
      </c>
    </row>
    <row r="83" spans="2:7" x14ac:dyDescent="0.25">
      <c r="B83" s="54" t="s">
        <v>281</v>
      </c>
      <c r="C83" s="55" t="s">
        <v>249</v>
      </c>
      <c r="D83" s="55">
        <f>[14]Amortizaciones!D25</f>
        <v>0</v>
      </c>
      <c r="E83" s="21" t="s">
        <v>282</v>
      </c>
      <c r="F83" s="19" t="s">
        <v>283</v>
      </c>
      <c r="G83" s="20">
        <v>5618002</v>
      </c>
    </row>
    <row r="84" spans="2:7" x14ac:dyDescent="0.25">
      <c r="B84" s="54" t="s">
        <v>284</v>
      </c>
      <c r="C84" s="55" t="s">
        <v>285</v>
      </c>
      <c r="D84" s="55">
        <v>0</v>
      </c>
      <c r="E84" s="21" t="s">
        <v>286</v>
      </c>
      <c r="F84" s="19" t="s">
        <v>287</v>
      </c>
      <c r="G84" s="20">
        <v>14113801</v>
      </c>
    </row>
    <row r="85" spans="2:7" x14ac:dyDescent="0.25">
      <c r="B85" s="54" t="s">
        <v>288</v>
      </c>
      <c r="C85" s="55" t="s">
        <v>289</v>
      </c>
      <c r="D85" s="55">
        <f>[14]Amortizaciones!D27</f>
        <v>0</v>
      </c>
      <c r="E85" s="21" t="s">
        <v>290</v>
      </c>
      <c r="F85" s="19" t="s">
        <v>291</v>
      </c>
      <c r="G85" s="20">
        <v>10398875</v>
      </c>
    </row>
    <row r="86" spans="2:7" x14ac:dyDescent="0.25">
      <c r="B86" s="54" t="s">
        <v>292</v>
      </c>
      <c r="C86" s="55" t="s">
        <v>293</v>
      </c>
      <c r="D86" s="55">
        <f>[14]Amortizaciones!D28</f>
        <v>0</v>
      </c>
      <c r="E86" s="21" t="s">
        <v>294</v>
      </c>
      <c r="F86" s="19" t="s">
        <v>295</v>
      </c>
      <c r="G86" s="20">
        <v>408133</v>
      </c>
    </row>
    <row r="87" spans="2:7" x14ac:dyDescent="0.25">
      <c r="B87" s="54" t="s">
        <v>296</v>
      </c>
      <c r="C87" s="55" t="s">
        <v>297</v>
      </c>
      <c r="D87" s="55">
        <f>[14]Amortizaciones!D29</f>
        <v>0</v>
      </c>
      <c r="E87" s="21" t="s">
        <v>298</v>
      </c>
      <c r="F87" s="19" t="s">
        <v>299</v>
      </c>
      <c r="G87" s="20">
        <v>4950224</v>
      </c>
    </row>
    <row r="88" spans="2:7" x14ac:dyDescent="0.25">
      <c r="B88" s="54" t="s">
        <v>300</v>
      </c>
      <c r="C88" s="55" t="s">
        <v>301</v>
      </c>
      <c r="D88" s="55">
        <f>[14]Amortizaciones!D30</f>
        <v>0</v>
      </c>
      <c r="E88" s="21" t="s">
        <v>302</v>
      </c>
      <c r="F88" s="19" t="s">
        <v>303</v>
      </c>
      <c r="G88" s="20">
        <v>6999850</v>
      </c>
    </row>
    <row r="89" spans="2:7" x14ac:dyDescent="0.25">
      <c r="B89" s="54" t="s">
        <v>304</v>
      </c>
      <c r="C89" s="55" t="s">
        <v>213</v>
      </c>
      <c r="D89" s="55">
        <f>[14]Amortizaciones!D31</f>
        <v>0</v>
      </c>
      <c r="E89" s="21" t="s">
        <v>305</v>
      </c>
      <c r="F89" s="19" t="s">
        <v>306</v>
      </c>
      <c r="G89" s="20">
        <v>20385136</v>
      </c>
    </row>
    <row r="90" spans="2:7" x14ac:dyDescent="0.25">
      <c r="B90" s="54" t="s">
        <v>307</v>
      </c>
      <c r="C90" s="55" t="s">
        <v>229</v>
      </c>
      <c r="D90" s="55">
        <f>[14]Amortizaciones!D32</f>
        <v>0</v>
      </c>
      <c r="E90" s="21" t="s">
        <v>308</v>
      </c>
      <c r="F90" s="19" t="s">
        <v>309</v>
      </c>
      <c r="G90" s="20"/>
    </row>
    <row r="91" spans="2:7" x14ac:dyDescent="0.25">
      <c r="B91" s="54" t="s">
        <v>310</v>
      </c>
      <c r="C91" s="55" t="s">
        <v>311</v>
      </c>
      <c r="D91" s="55">
        <f>SUM(D80:D90)</f>
        <v>0</v>
      </c>
      <c r="E91" s="52" t="s">
        <v>312</v>
      </c>
      <c r="F91" s="19" t="s">
        <v>313</v>
      </c>
      <c r="G91" s="20"/>
    </row>
    <row r="92" spans="2:7" x14ac:dyDescent="0.25">
      <c r="B92" s="54"/>
      <c r="C92" s="57" t="s">
        <v>314</v>
      </c>
      <c r="D92" s="55">
        <f>D77+D91</f>
        <v>59960842</v>
      </c>
      <c r="E92" s="52" t="s">
        <v>315</v>
      </c>
      <c r="F92" s="19" t="s">
        <v>316</v>
      </c>
      <c r="G92" s="20"/>
    </row>
    <row r="93" spans="2:7" x14ac:dyDescent="0.25">
      <c r="E93" s="52" t="s">
        <v>317</v>
      </c>
      <c r="F93" s="19" t="s">
        <v>318</v>
      </c>
      <c r="G93" s="20">
        <v>634303</v>
      </c>
    </row>
    <row r="94" spans="2:7" x14ac:dyDescent="0.25">
      <c r="E94" s="52" t="s">
        <v>319</v>
      </c>
      <c r="F94" s="19" t="s">
        <v>320</v>
      </c>
      <c r="G94" s="27">
        <v>3660937</v>
      </c>
    </row>
    <row r="95" spans="2:7" ht="13.5" customHeight="1" thickBot="1" x14ac:dyDescent="0.3">
      <c r="E95" s="21"/>
      <c r="F95" s="28" t="s">
        <v>321</v>
      </c>
      <c r="G95" s="29">
        <f>SUM(G80:G94)</f>
        <v>100254258</v>
      </c>
    </row>
    <row r="96" spans="2:7" x14ac:dyDescent="0.25">
      <c r="E96" s="52" t="s">
        <v>322</v>
      </c>
      <c r="F96" s="22" t="s">
        <v>323</v>
      </c>
      <c r="G96" s="23">
        <v>13944372</v>
      </c>
    </row>
    <row r="97" spans="2:7" x14ac:dyDescent="0.25">
      <c r="E97" s="52" t="s">
        <v>324</v>
      </c>
      <c r="F97" s="19" t="s">
        <v>325</v>
      </c>
      <c r="G97" s="20">
        <v>3789755</v>
      </c>
    </row>
    <row r="98" spans="2:7" x14ac:dyDescent="0.25">
      <c r="E98" s="52" t="s">
        <v>326</v>
      </c>
      <c r="F98" s="19" t="s">
        <v>327</v>
      </c>
      <c r="G98" s="20">
        <v>2207597</v>
      </c>
    </row>
    <row r="99" spans="2:7" x14ac:dyDescent="0.25">
      <c r="E99" s="52" t="s">
        <v>328</v>
      </c>
      <c r="F99" s="19" t="s">
        <v>329</v>
      </c>
      <c r="G99" s="20">
        <v>4141751</v>
      </c>
    </row>
    <row r="100" spans="2:7" x14ac:dyDescent="0.25">
      <c r="E100" s="52" t="s">
        <v>330</v>
      </c>
      <c r="F100" s="19" t="s">
        <v>331</v>
      </c>
      <c r="G100" s="27">
        <v>896065</v>
      </c>
    </row>
    <row r="101" spans="2:7" ht="15.75" thickBot="1" x14ac:dyDescent="0.3">
      <c r="E101" s="21"/>
      <c r="F101" s="28" t="s">
        <v>332</v>
      </c>
      <c r="G101" s="29">
        <f>SUM(G96:G100)</f>
        <v>24979540</v>
      </c>
    </row>
    <row r="102" spans="2:7" ht="15.75" thickBot="1" x14ac:dyDescent="0.3">
      <c r="E102" s="52"/>
      <c r="F102" s="59" t="s">
        <v>333</v>
      </c>
      <c r="G102" s="60">
        <f>[14]Amortizaciones!D19</f>
        <v>59960842</v>
      </c>
    </row>
    <row r="103" spans="2:7" x14ac:dyDescent="0.25">
      <c r="E103" s="52" t="s">
        <v>334</v>
      </c>
      <c r="F103" s="19" t="s">
        <v>335</v>
      </c>
      <c r="G103" s="23"/>
    </row>
    <row r="104" spans="2:7" x14ac:dyDescent="0.25">
      <c r="E104" s="52" t="s">
        <v>336</v>
      </c>
      <c r="F104" s="61" t="s">
        <v>337</v>
      </c>
      <c r="G104" s="20"/>
    </row>
    <row r="105" spans="2:7" ht="15.75" thickBot="1" x14ac:dyDescent="0.3">
      <c r="E105" s="21"/>
      <c r="F105" s="28" t="s">
        <v>338</v>
      </c>
      <c r="G105" s="29">
        <f>SUM(G103:G104)</f>
        <v>0</v>
      </c>
    </row>
    <row r="106" spans="2:7" ht="13.7" customHeight="1" thickBot="1" x14ac:dyDescent="0.3">
      <c r="B106" s="6"/>
      <c r="C106" s="62"/>
      <c r="D106" s="62"/>
      <c r="E106" s="52"/>
      <c r="F106" s="48" t="s">
        <v>339</v>
      </c>
      <c r="G106" s="49">
        <f>G19+G27+G32+G48+G57+G79+G95+G101+G102+G105</f>
        <v>2246552069</v>
      </c>
    </row>
    <row r="107" spans="2:7" ht="13.7" customHeight="1" x14ac:dyDescent="0.25">
      <c r="B107" s="6"/>
      <c r="C107" s="62"/>
      <c r="D107" s="62"/>
      <c r="E107" s="21"/>
      <c r="F107" s="63"/>
      <c r="G107" s="64"/>
    </row>
    <row r="108" spans="2:7" ht="13.7" customHeight="1" thickBot="1" x14ac:dyDescent="0.3">
      <c r="B108" s="6"/>
      <c r="C108" s="62"/>
      <c r="D108" s="62"/>
      <c r="E108" s="21"/>
    </row>
    <row r="109" spans="2:7" ht="13.7" customHeight="1" thickBot="1" x14ac:dyDescent="0.3">
      <c r="B109" s="6"/>
      <c r="C109" s="62"/>
      <c r="D109" s="62"/>
      <c r="E109" s="21"/>
      <c r="F109" s="13" t="s">
        <v>340</v>
      </c>
      <c r="G109" s="65">
        <f>D61-G106</f>
        <v>151741895</v>
      </c>
    </row>
    <row r="110" spans="2:7" ht="13.7" customHeight="1" thickBot="1" x14ac:dyDescent="0.3">
      <c r="B110" s="6"/>
      <c r="C110" s="62"/>
      <c r="D110" s="62"/>
      <c r="E110" s="21"/>
    </row>
    <row r="111" spans="2:7" ht="13.7" customHeight="1" thickBot="1" x14ac:dyDescent="0.3">
      <c r="C111" s="48" t="s">
        <v>270</v>
      </c>
      <c r="D111" s="17">
        <f>+[14]E.S.P.!D6</f>
        <v>2020</v>
      </c>
      <c r="E111" s="52"/>
      <c r="F111" s="48" t="s">
        <v>341</v>
      </c>
      <c r="G111" s="17">
        <f>+[14]E.S.P.!D6</f>
        <v>2020</v>
      </c>
    </row>
    <row r="112" spans="2:7" ht="13.7" customHeight="1" x14ac:dyDescent="0.25">
      <c r="B112" s="6" t="s">
        <v>342</v>
      </c>
      <c r="C112" s="66" t="s">
        <v>343</v>
      </c>
      <c r="D112" s="67">
        <v>10877116</v>
      </c>
      <c r="E112" s="21" t="s">
        <v>344</v>
      </c>
      <c r="F112" s="66" t="s">
        <v>309</v>
      </c>
      <c r="G112" s="67"/>
    </row>
    <row r="113" spans="2:7" ht="13.7" customHeight="1" x14ac:dyDescent="0.25">
      <c r="B113" s="6" t="s">
        <v>345</v>
      </c>
      <c r="C113" s="68" t="s">
        <v>346</v>
      </c>
      <c r="D113" s="69">
        <v>64171505</v>
      </c>
      <c r="E113" s="21" t="s">
        <v>347</v>
      </c>
      <c r="F113" s="68" t="s">
        <v>348</v>
      </c>
      <c r="G113" s="69"/>
    </row>
    <row r="114" spans="2:7" ht="13.7" customHeight="1" x14ac:dyDescent="0.25">
      <c r="B114" s="6" t="s">
        <v>349</v>
      </c>
      <c r="C114" s="68" t="s">
        <v>48</v>
      </c>
      <c r="D114" s="69">
        <v>13423406</v>
      </c>
      <c r="E114" s="21" t="s">
        <v>350</v>
      </c>
      <c r="F114" s="68" t="s">
        <v>351</v>
      </c>
      <c r="G114" s="69"/>
    </row>
    <row r="115" spans="2:7" ht="13.7" customHeight="1" x14ac:dyDescent="0.25">
      <c r="B115" s="6" t="s">
        <v>352</v>
      </c>
      <c r="C115" s="68" t="s">
        <v>353</v>
      </c>
      <c r="D115" s="69"/>
      <c r="E115" s="21" t="s">
        <v>354</v>
      </c>
      <c r="F115" s="68" t="s">
        <v>355</v>
      </c>
      <c r="G115" s="69">
        <v>1303473</v>
      </c>
    </row>
    <row r="116" spans="2:7" ht="13.7" customHeight="1" x14ac:dyDescent="0.25">
      <c r="B116" s="6" t="s">
        <v>356</v>
      </c>
      <c r="C116" s="68" t="s">
        <v>357</v>
      </c>
      <c r="D116" s="69"/>
      <c r="E116" s="21" t="s">
        <v>358</v>
      </c>
      <c r="F116" s="68" t="s">
        <v>359</v>
      </c>
      <c r="G116" s="69">
        <v>5948341</v>
      </c>
    </row>
    <row r="117" spans="2:7" ht="13.7" customHeight="1" x14ac:dyDescent="0.25">
      <c r="B117" s="6" t="s">
        <v>360</v>
      </c>
      <c r="C117" s="68" t="s">
        <v>361</v>
      </c>
      <c r="D117" s="69"/>
      <c r="E117" s="21" t="s">
        <v>362</v>
      </c>
      <c r="F117" s="68" t="s">
        <v>363</v>
      </c>
      <c r="G117" s="69">
        <v>2382200</v>
      </c>
    </row>
    <row r="118" spans="2:7" ht="13.7" customHeight="1" x14ac:dyDescent="0.25">
      <c r="B118" s="6" t="s">
        <v>364</v>
      </c>
      <c r="C118" s="68" t="s">
        <v>365</v>
      </c>
      <c r="D118" s="69"/>
      <c r="E118" s="21" t="s">
        <v>366</v>
      </c>
      <c r="F118" s="68" t="s">
        <v>367</v>
      </c>
      <c r="G118" s="69"/>
    </row>
    <row r="119" spans="2:7" ht="13.7" customHeight="1" x14ac:dyDescent="0.25">
      <c r="B119" s="6" t="s">
        <v>368</v>
      </c>
      <c r="C119" s="68" t="s">
        <v>369</v>
      </c>
      <c r="D119" s="69"/>
      <c r="E119" s="21" t="s">
        <v>370</v>
      </c>
      <c r="F119" s="68" t="s">
        <v>371</v>
      </c>
      <c r="G119" s="69"/>
    </row>
    <row r="120" spans="2:7" ht="13.7" customHeight="1" x14ac:dyDescent="0.25">
      <c r="B120" s="6" t="s">
        <v>372</v>
      </c>
      <c r="C120" s="68" t="s">
        <v>373</v>
      </c>
      <c r="D120" s="69"/>
      <c r="E120" s="21" t="s">
        <v>374</v>
      </c>
      <c r="F120" s="68" t="s">
        <v>375</v>
      </c>
      <c r="G120" s="69"/>
    </row>
    <row r="121" spans="2:7" ht="13.7" customHeight="1" x14ac:dyDescent="0.25">
      <c r="B121" s="6" t="s">
        <v>376</v>
      </c>
      <c r="C121" s="19" t="s">
        <v>377</v>
      </c>
      <c r="D121" s="69">
        <v>3479259</v>
      </c>
      <c r="E121" s="21" t="s">
        <v>378</v>
      </c>
      <c r="F121" s="68" t="s">
        <v>379</v>
      </c>
      <c r="G121" s="69">
        <v>4801432</v>
      </c>
    </row>
    <row r="122" spans="2:7" ht="13.7" customHeight="1" thickBot="1" x14ac:dyDescent="0.3">
      <c r="B122" s="6"/>
      <c r="C122" s="28" t="s">
        <v>380</v>
      </c>
      <c r="D122" s="37">
        <f>SUM(D112:D121)</f>
        <v>91951286</v>
      </c>
      <c r="E122" s="21" t="s">
        <v>381</v>
      </c>
      <c r="F122" s="19" t="s">
        <v>382</v>
      </c>
      <c r="G122" s="20">
        <v>263635</v>
      </c>
    </row>
    <row r="123" spans="2:7" ht="13.7" customHeight="1" thickBot="1" x14ac:dyDescent="0.3">
      <c r="B123" s="6" t="s">
        <v>383</v>
      </c>
      <c r="C123" s="70" t="s">
        <v>309</v>
      </c>
      <c r="D123" s="67">
        <v>394132</v>
      </c>
      <c r="E123" s="52"/>
      <c r="F123" s="28" t="s">
        <v>384</v>
      </c>
      <c r="G123" s="37">
        <f>SUM(G112:G122)</f>
        <v>14699081</v>
      </c>
    </row>
    <row r="124" spans="2:7" ht="13.7" customHeight="1" x14ac:dyDescent="0.25">
      <c r="B124" s="6" t="s">
        <v>385</v>
      </c>
      <c r="C124" s="68" t="s">
        <v>313</v>
      </c>
      <c r="D124" s="69">
        <v>967918</v>
      </c>
      <c r="E124" s="21" t="s">
        <v>386</v>
      </c>
      <c r="F124" s="68" t="s">
        <v>387</v>
      </c>
      <c r="G124" s="69">
        <v>32848</v>
      </c>
    </row>
    <row r="125" spans="2:7" ht="13.7" customHeight="1" x14ac:dyDescent="0.25">
      <c r="B125" s="6" t="s">
        <v>388</v>
      </c>
      <c r="C125" s="19" t="s">
        <v>389</v>
      </c>
      <c r="D125" s="69">
        <v>48397</v>
      </c>
      <c r="E125" s="21" t="s">
        <v>390</v>
      </c>
      <c r="F125" s="68" t="s">
        <v>391</v>
      </c>
      <c r="G125" s="69">
        <v>216161</v>
      </c>
    </row>
    <row r="126" spans="2:7" ht="13.7" customHeight="1" thickBot="1" x14ac:dyDescent="0.3">
      <c r="B126" s="6"/>
      <c r="C126" s="28" t="s">
        <v>392</v>
      </c>
      <c r="D126" s="37">
        <f>SUM(D123:D125)</f>
        <v>1410447</v>
      </c>
      <c r="E126" s="21" t="s">
        <v>393</v>
      </c>
      <c r="F126" s="68" t="s">
        <v>394</v>
      </c>
      <c r="G126" s="69">
        <v>2317336</v>
      </c>
    </row>
    <row r="127" spans="2:7" ht="13.7" customHeight="1" x14ac:dyDescent="0.25">
      <c r="B127" s="6" t="s">
        <v>395</v>
      </c>
      <c r="C127" s="66" t="s">
        <v>274</v>
      </c>
      <c r="D127" s="67">
        <v>3181919</v>
      </c>
      <c r="E127" s="21" t="s">
        <v>396</v>
      </c>
      <c r="F127" s="68" t="s">
        <v>397</v>
      </c>
      <c r="G127" s="69"/>
    </row>
    <row r="128" spans="2:7" ht="13.7" customHeight="1" x14ac:dyDescent="0.25">
      <c r="B128" s="6" t="s">
        <v>398</v>
      </c>
      <c r="C128" s="68" t="s">
        <v>399</v>
      </c>
      <c r="D128" s="69">
        <v>5817227</v>
      </c>
      <c r="E128" s="21" t="s">
        <v>400</v>
      </c>
      <c r="F128" s="68" t="s">
        <v>401</v>
      </c>
      <c r="G128" s="69"/>
    </row>
    <row r="129" spans="2:7" ht="13.7" customHeight="1" x14ac:dyDescent="0.25">
      <c r="B129" s="6" t="s">
        <v>402</v>
      </c>
      <c r="C129" s="68" t="s">
        <v>277</v>
      </c>
      <c r="D129" s="69">
        <v>0</v>
      </c>
      <c r="E129" s="21" t="s">
        <v>403</v>
      </c>
      <c r="F129" s="68" t="s">
        <v>404</v>
      </c>
      <c r="G129" s="69">
        <v>3802544</v>
      </c>
    </row>
    <row r="130" spans="2:7" ht="13.7" customHeight="1" x14ac:dyDescent="0.25">
      <c r="B130" s="6" t="s">
        <v>405</v>
      </c>
      <c r="C130" s="68" t="s">
        <v>283</v>
      </c>
      <c r="D130" s="69">
        <v>0</v>
      </c>
      <c r="E130" s="21" t="s">
        <v>406</v>
      </c>
      <c r="F130" s="68" t="s">
        <v>407</v>
      </c>
      <c r="G130" s="69"/>
    </row>
    <row r="131" spans="2:7" ht="13.7" customHeight="1" x14ac:dyDescent="0.25">
      <c r="B131" s="6" t="s">
        <v>408</v>
      </c>
      <c r="C131" s="68" t="s">
        <v>287</v>
      </c>
      <c r="D131" s="69">
        <v>0</v>
      </c>
      <c r="E131" s="21" t="s">
        <v>409</v>
      </c>
      <c r="F131" s="68" t="s">
        <v>410</v>
      </c>
      <c r="G131" s="69"/>
    </row>
    <row r="132" spans="2:7" ht="13.7" customHeight="1" x14ac:dyDescent="0.25">
      <c r="B132" s="6" t="s">
        <v>411</v>
      </c>
      <c r="C132" s="68" t="s">
        <v>291</v>
      </c>
      <c r="D132" s="69">
        <v>0</v>
      </c>
      <c r="E132" s="21" t="s">
        <v>412</v>
      </c>
      <c r="F132" s="68" t="s">
        <v>413</v>
      </c>
      <c r="G132" s="69">
        <v>5516442</v>
      </c>
    </row>
    <row r="133" spans="2:7" ht="13.7" customHeight="1" x14ac:dyDescent="0.25">
      <c r="B133" s="6" t="s">
        <v>414</v>
      </c>
      <c r="C133" s="68" t="s">
        <v>295</v>
      </c>
      <c r="D133" s="69">
        <v>0</v>
      </c>
      <c r="E133" s="21" t="s">
        <v>415</v>
      </c>
      <c r="F133" s="68" t="s">
        <v>416</v>
      </c>
      <c r="G133" s="69"/>
    </row>
    <row r="134" spans="2:7" ht="13.7" customHeight="1" x14ac:dyDescent="0.25">
      <c r="B134" s="6" t="s">
        <v>417</v>
      </c>
      <c r="C134" s="68" t="s">
        <v>418</v>
      </c>
      <c r="D134" s="69">
        <v>2683219</v>
      </c>
      <c r="E134" s="21" t="s">
        <v>419</v>
      </c>
      <c r="F134" s="68" t="s">
        <v>420</v>
      </c>
      <c r="G134" s="69"/>
    </row>
    <row r="135" spans="2:7" ht="13.7" customHeight="1" x14ac:dyDescent="0.25">
      <c r="B135" s="6" t="s">
        <v>421</v>
      </c>
      <c r="C135" s="68" t="s">
        <v>422</v>
      </c>
      <c r="D135" s="69">
        <v>15138795</v>
      </c>
      <c r="E135" s="21" t="s">
        <v>423</v>
      </c>
      <c r="F135" s="68" t="s">
        <v>424</v>
      </c>
      <c r="G135" s="69"/>
    </row>
    <row r="136" spans="2:7" ht="13.7" customHeight="1" x14ac:dyDescent="0.25">
      <c r="B136" s="6" t="s">
        <v>425</v>
      </c>
      <c r="C136" s="68" t="s">
        <v>318</v>
      </c>
      <c r="D136" s="69">
        <f>7886583+262548</f>
        <v>8149131</v>
      </c>
      <c r="E136" s="21" t="s">
        <v>426</v>
      </c>
      <c r="F136" s="68" t="s">
        <v>427</v>
      </c>
      <c r="G136" s="69">
        <v>418594</v>
      </c>
    </row>
    <row r="137" spans="2:7" ht="13.7" customHeight="1" x14ac:dyDescent="0.25">
      <c r="B137" s="6" t="s">
        <v>428</v>
      </c>
      <c r="C137" s="19" t="s">
        <v>320</v>
      </c>
      <c r="D137" s="71">
        <v>1387954</v>
      </c>
      <c r="E137" s="21" t="s">
        <v>429</v>
      </c>
      <c r="F137" s="68" t="s">
        <v>430</v>
      </c>
      <c r="G137" s="69">
        <f>5947832+2554500</f>
        <v>8502332</v>
      </c>
    </row>
    <row r="138" spans="2:7" ht="13.7" customHeight="1" thickBot="1" x14ac:dyDescent="0.3">
      <c r="B138" s="6"/>
      <c r="C138" s="28" t="s">
        <v>321</v>
      </c>
      <c r="D138" s="37">
        <f>SUM(D127:D137)</f>
        <v>36358245</v>
      </c>
      <c r="E138" s="21" t="s">
        <v>431</v>
      </c>
      <c r="F138" s="19" t="s">
        <v>432</v>
      </c>
      <c r="G138" s="20">
        <v>528336</v>
      </c>
    </row>
    <row r="139" spans="2:7" ht="13.7" customHeight="1" thickBot="1" x14ac:dyDescent="0.3">
      <c r="B139" s="6" t="s">
        <v>433</v>
      </c>
      <c r="C139" s="66" t="s">
        <v>327</v>
      </c>
      <c r="D139" s="67"/>
      <c r="E139" s="7"/>
      <c r="F139" s="28" t="s">
        <v>434</v>
      </c>
      <c r="G139" s="37">
        <f>SUM(G124:G138)</f>
        <v>21334593</v>
      </c>
    </row>
    <row r="140" spans="2:7" ht="13.7" customHeight="1" thickBot="1" x14ac:dyDescent="0.3">
      <c r="B140" s="6" t="s">
        <v>435</v>
      </c>
      <c r="C140" s="68" t="s">
        <v>329</v>
      </c>
      <c r="D140" s="69"/>
      <c r="E140" s="7"/>
      <c r="F140" s="48" t="s">
        <v>436</v>
      </c>
      <c r="G140" s="72">
        <f>G123-G139</f>
        <v>-6635512</v>
      </c>
    </row>
    <row r="141" spans="2:7" ht="13.7" customHeight="1" x14ac:dyDescent="0.25">
      <c r="B141" s="6" t="s">
        <v>437</v>
      </c>
      <c r="C141" s="19" t="s">
        <v>331</v>
      </c>
      <c r="D141" s="71"/>
      <c r="E141" s="73"/>
    </row>
    <row r="142" spans="2:7" ht="13.7" customHeight="1" thickBot="1" x14ac:dyDescent="0.3">
      <c r="B142" s="6"/>
      <c r="C142" s="28" t="s">
        <v>332</v>
      </c>
      <c r="D142" s="37">
        <f>SUM(D139:D141)</f>
        <v>0</v>
      </c>
      <c r="E142" s="73"/>
    </row>
    <row r="143" spans="2:7" ht="13.7" customHeight="1" thickBot="1" x14ac:dyDescent="0.3">
      <c r="B143" s="6"/>
      <c r="C143" s="59" t="s">
        <v>438</v>
      </c>
      <c r="D143" s="74">
        <f>[14]Amortizaciones!D33</f>
        <v>0</v>
      </c>
      <c r="E143" s="21"/>
      <c r="F143" s="48" t="s">
        <v>439</v>
      </c>
      <c r="G143" s="17">
        <f>+[14]E.S.P.!D6</f>
        <v>2020</v>
      </c>
    </row>
    <row r="144" spans="2:7" ht="13.7" customHeight="1" x14ac:dyDescent="0.25">
      <c r="B144" s="6" t="s">
        <v>440</v>
      </c>
      <c r="C144" s="66" t="s">
        <v>441</v>
      </c>
      <c r="D144" s="67"/>
      <c r="E144" s="21" t="s">
        <v>442</v>
      </c>
      <c r="F144" s="66" t="s">
        <v>443</v>
      </c>
      <c r="G144" s="67">
        <v>28932806</v>
      </c>
    </row>
    <row r="145" spans="2:7" ht="13.7" customHeight="1" x14ac:dyDescent="0.25">
      <c r="B145" s="6" t="s">
        <v>444</v>
      </c>
      <c r="C145" s="68" t="s">
        <v>445</v>
      </c>
      <c r="D145" s="69"/>
      <c r="E145" s="21" t="s">
        <v>446</v>
      </c>
      <c r="F145" s="68" t="s">
        <v>447</v>
      </c>
      <c r="G145" s="69">
        <v>17803169</v>
      </c>
    </row>
    <row r="146" spans="2:7" ht="13.7" customHeight="1" x14ac:dyDescent="0.25">
      <c r="B146" s="6" t="s">
        <v>448</v>
      </c>
      <c r="C146" s="75" t="s">
        <v>449</v>
      </c>
      <c r="D146" s="69"/>
      <c r="E146" s="21" t="s">
        <v>450</v>
      </c>
      <c r="F146" s="68" t="s">
        <v>451</v>
      </c>
      <c r="G146" s="69">
        <f>8689334</f>
        <v>8689334</v>
      </c>
    </row>
    <row r="147" spans="2:7" ht="13.7" customHeight="1" x14ac:dyDescent="0.25">
      <c r="B147" s="6" t="s">
        <v>452</v>
      </c>
      <c r="C147" s="19" t="s">
        <v>453</v>
      </c>
      <c r="D147" s="71"/>
      <c r="E147" s="21" t="s">
        <v>454</v>
      </c>
      <c r="F147" s="68" t="s">
        <v>455</v>
      </c>
      <c r="G147" s="69">
        <f>31774774+208365</f>
        <v>31983139</v>
      </c>
    </row>
    <row r="148" spans="2:7" ht="13.7" customHeight="1" thickBot="1" x14ac:dyDescent="0.3">
      <c r="B148" s="6"/>
      <c r="C148" s="28" t="s">
        <v>456</v>
      </c>
      <c r="D148" s="37">
        <f>SUM(D144:D147)</f>
        <v>0</v>
      </c>
      <c r="E148" s="21" t="s">
        <v>457</v>
      </c>
      <c r="F148" s="68" t="s">
        <v>458</v>
      </c>
      <c r="G148" s="69"/>
    </row>
    <row r="149" spans="2:7" ht="13.7" customHeight="1" x14ac:dyDescent="0.25">
      <c r="B149" s="6" t="s">
        <v>459</v>
      </c>
      <c r="C149" s="66" t="s">
        <v>460</v>
      </c>
      <c r="D149" s="67"/>
      <c r="E149" s="21" t="s">
        <v>461</v>
      </c>
      <c r="F149" s="68" t="s">
        <v>462</v>
      </c>
      <c r="G149" s="69"/>
    </row>
    <row r="150" spans="2:7" ht="13.7" customHeight="1" x14ac:dyDescent="0.25">
      <c r="B150" s="6" t="s">
        <v>463</v>
      </c>
      <c r="C150" s="68" t="s">
        <v>464</v>
      </c>
      <c r="D150" s="69"/>
      <c r="E150" s="21" t="s">
        <v>465</v>
      </c>
      <c r="F150" s="68" t="s">
        <v>466</v>
      </c>
      <c r="G150" s="69"/>
    </row>
    <row r="151" spans="2:7" ht="13.7" customHeight="1" x14ac:dyDescent="0.25">
      <c r="B151" s="6" t="s">
        <v>467</v>
      </c>
      <c r="C151" s="19" t="s">
        <v>468</v>
      </c>
      <c r="D151" s="71"/>
      <c r="E151" s="21" t="s">
        <v>469</v>
      </c>
      <c r="F151" s="68" t="s">
        <v>470</v>
      </c>
      <c r="G151" s="69"/>
    </row>
    <row r="152" spans="2:7" ht="13.7" customHeight="1" thickBot="1" x14ac:dyDescent="0.3">
      <c r="B152" s="6"/>
      <c r="C152" s="28" t="s">
        <v>471</v>
      </c>
      <c r="D152" s="37">
        <f>SUM(D149:D151)</f>
        <v>0</v>
      </c>
      <c r="E152" s="21" t="s">
        <v>472</v>
      </c>
      <c r="F152" s="68" t="s">
        <v>473</v>
      </c>
      <c r="G152" s="69">
        <v>14232</v>
      </c>
    </row>
    <row r="153" spans="2:7" ht="13.7" customHeight="1" thickBot="1" x14ac:dyDescent="0.3">
      <c r="B153" s="6"/>
      <c r="C153" s="48" t="s">
        <v>474</v>
      </c>
      <c r="D153" s="76">
        <f>D122+D126+D138+D142+D143+D148+D152</f>
        <v>129719978</v>
      </c>
      <c r="E153" s="21" t="s">
        <v>475</v>
      </c>
      <c r="F153" s="19" t="s">
        <v>476</v>
      </c>
      <c r="G153" s="20">
        <v>1687243</v>
      </c>
    </row>
    <row r="154" spans="2:7" ht="13.7" customHeight="1" thickBot="1" x14ac:dyDescent="0.3">
      <c r="B154" s="6"/>
      <c r="E154" s="21"/>
      <c r="F154" s="28" t="s">
        <v>477</v>
      </c>
      <c r="G154" s="37">
        <f>SUM(G144:G153)</f>
        <v>89109923</v>
      </c>
    </row>
    <row r="155" spans="2:7" ht="13.7" customHeight="1" thickBot="1" x14ac:dyDescent="0.3">
      <c r="B155" s="6"/>
      <c r="C155" s="77" t="s">
        <v>478</v>
      </c>
      <c r="D155" s="65">
        <f>G109-D153</f>
        <v>22021917</v>
      </c>
      <c r="E155" s="21" t="s">
        <v>479</v>
      </c>
      <c r="F155" s="66" t="s">
        <v>480</v>
      </c>
      <c r="G155" s="67"/>
    </row>
    <row r="156" spans="2:7" ht="13.7" customHeight="1" x14ac:dyDescent="0.25">
      <c r="E156" s="21" t="s">
        <v>481</v>
      </c>
      <c r="F156" s="68" t="s">
        <v>482</v>
      </c>
      <c r="G156" s="69">
        <v>8207407</v>
      </c>
    </row>
    <row r="157" spans="2:7" ht="13.7" customHeight="1" x14ac:dyDescent="0.25">
      <c r="E157" s="21" t="s">
        <v>483</v>
      </c>
      <c r="F157" s="68" t="s">
        <v>484</v>
      </c>
      <c r="G157" s="69"/>
    </row>
    <row r="158" spans="2:7" ht="13.7" customHeight="1" x14ac:dyDescent="0.25">
      <c r="E158" s="21" t="s">
        <v>485</v>
      </c>
      <c r="F158" s="68" t="s">
        <v>486</v>
      </c>
      <c r="G158" s="69">
        <v>3708401</v>
      </c>
    </row>
    <row r="159" spans="2:7" ht="13.7" customHeight="1" x14ac:dyDescent="0.25">
      <c r="E159" s="21" t="s">
        <v>487</v>
      </c>
      <c r="F159" s="68" t="s">
        <v>488</v>
      </c>
      <c r="G159" s="69"/>
    </row>
    <row r="160" spans="2:7" ht="13.7" customHeight="1" x14ac:dyDescent="0.25">
      <c r="E160" s="21" t="s">
        <v>489</v>
      </c>
      <c r="F160" s="68" t="s">
        <v>490</v>
      </c>
      <c r="G160" s="69"/>
    </row>
    <row r="161" spans="5:7" ht="13.7" customHeight="1" x14ac:dyDescent="0.25">
      <c r="E161" s="21" t="s">
        <v>491</v>
      </c>
      <c r="F161" s="68" t="s">
        <v>492</v>
      </c>
      <c r="G161" s="69"/>
    </row>
    <row r="162" spans="5:7" ht="13.7" customHeight="1" x14ac:dyDescent="0.25">
      <c r="E162" s="21" t="s">
        <v>493</v>
      </c>
      <c r="F162" s="68" t="s">
        <v>494</v>
      </c>
      <c r="G162" s="69"/>
    </row>
    <row r="163" spans="5:7" ht="13.7" customHeight="1" x14ac:dyDescent="0.25">
      <c r="E163" s="21" t="s">
        <v>495</v>
      </c>
      <c r="F163" s="68" t="s">
        <v>496</v>
      </c>
      <c r="G163" s="69"/>
    </row>
    <row r="164" spans="5:7" ht="13.7" customHeight="1" x14ac:dyDescent="0.25">
      <c r="E164" s="21" t="s">
        <v>497</v>
      </c>
      <c r="F164" s="68" t="s">
        <v>498</v>
      </c>
      <c r="G164" s="69"/>
    </row>
    <row r="165" spans="5:7" ht="13.7" customHeight="1" x14ac:dyDescent="0.25">
      <c r="E165" s="21" t="s">
        <v>499</v>
      </c>
      <c r="F165" s="68" t="s">
        <v>500</v>
      </c>
      <c r="G165" s="69">
        <f>47145450+8253606</f>
        <v>55399056</v>
      </c>
    </row>
    <row r="166" spans="5:7" ht="13.7" customHeight="1" x14ac:dyDescent="0.25">
      <c r="E166" s="21" t="s">
        <v>501</v>
      </c>
      <c r="F166" s="68" t="s">
        <v>502</v>
      </c>
      <c r="G166" s="69">
        <v>677697</v>
      </c>
    </row>
    <row r="167" spans="5:7" ht="13.7" customHeight="1" x14ac:dyDescent="0.25">
      <c r="E167" s="21" t="s">
        <v>503</v>
      </c>
      <c r="F167" s="19" t="s">
        <v>504</v>
      </c>
      <c r="G167" s="20">
        <v>322162</v>
      </c>
    </row>
    <row r="168" spans="5:7" ht="13.7" customHeight="1" thickBot="1" x14ac:dyDescent="0.3">
      <c r="E168" s="21"/>
      <c r="F168" s="28" t="s">
        <v>505</v>
      </c>
      <c r="G168" s="37">
        <f>SUM(G155:G167)</f>
        <v>68314723</v>
      </c>
    </row>
    <row r="169" spans="5:7" ht="13.7" customHeight="1" thickBot="1" x14ac:dyDescent="0.3">
      <c r="E169" s="21"/>
      <c r="F169" s="48" t="s">
        <v>506</v>
      </c>
      <c r="G169" s="72">
        <f>G154-G168</f>
        <v>20795200</v>
      </c>
    </row>
    <row r="170" spans="5:7" ht="13.7" customHeight="1" thickBot="1" x14ac:dyDescent="0.3">
      <c r="E170" s="21"/>
      <c r="F170" s="78"/>
      <c r="G170" s="78"/>
    </row>
    <row r="171" spans="5:7" ht="13.7" customHeight="1" thickBot="1" x14ac:dyDescent="0.3">
      <c r="E171" s="21"/>
      <c r="F171" s="77" t="s">
        <v>507</v>
      </c>
      <c r="G171" s="79"/>
    </row>
    <row r="172" spans="5:7" ht="13.7" customHeight="1" thickBot="1" x14ac:dyDescent="0.3">
      <c r="E172" s="21"/>
      <c r="F172" s="80"/>
      <c r="G172" s="81">
        <f>+D155+G140+G169</f>
        <v>36181605</v>
      </c>
    </row>
    <row r="173" spans="5:7" ht="13.7" customHeight="1" thickBot="1" x14ac:dyDescent="0.3">
      <c r="E173" s="21"/>
      <c r="F173" s="5"/>
      <c r="G173" s="5"/>
    </row>
    <row r="174" spans="5:7" ht="13.7" customHeight="1" thickBot="1" x14ac:dyDescent="0.3">
      <c r="E174" s="21"/>
      <c r="F174" s="48" t="s">
        <v>508</v>
      </c>
      <c r="G174" s="17">
        <f>+G143</f>
        <v>2020</v>
      </c>
    </row>
    <row r="175" spans="5:7" ht="13.7" customHeight="1" x14ac:dyDescent="0.25">
      <c r="E175" s="21"/>
      <c r="F175" s="66" t="s">
        <v>509</v>
      </c>
      <c r="G175" s="67"/>
    </row>
    <row r="176" spans="5:7" ht="13.7" customHeight="1" x14ac:dyDescent="0.25">
      <c r="E176" s="21"/>
      <c r="F176" s="68" t="s">
        <v>510</v>
      </c>
      <c r="G176" s="69">
        <v>8253605</v>
      </c>
    </row>
    <row r="177" spans="1:8" ht="13.7" customHeight="1" thickBot="1" x14ac:dyDescent="0.3">
      <c r="F177" s="68" t="s">
        <v>511</v>
      </c>
      <c r="G177" s="69"/>
    </row>
    <row r="178" spans="1:8" ht="13.7" customHeight="1" thickBot="1" x14ac:dyDescent="0.3">
      <c r="F178" s="48" t="s">
        <v>512</v>
      </c>
      <c r="G178" s="72">
        <f>SUM(G175:G177)</f>
        <v>8253605</v>
      </c>
    </row>
    <row r="179" spans="1:8" ht="13.7" customHeight="1" thickBot="1" x14ac:dyDescent="0.3"/>
    <row r="180" spans="1:8" ht="13.7" customHeight="1" thickBot="1" x14ac:dyDescent="0.3">
      <c r="F180" s="77" t="s">
        <v>513</v>
      </c>
      <c r="G180" s="79"/>
    </row>
    <row r="181" spans="1:8" ht="13.7" customHeight="1" thickBot="1" x14ac:dyDescent="0.3">
      <c r="F181" s="83"/>
      <c r="G181" s="81">
        <f>+G172+G178</f>
        <v>44435210</v>
      </c>
    </row>
    <row r="182" spans="1:8" ht="13.7" customHeight="1" x14ac:dyDescent="0.25"/>
    <row r="183" spans="1:8" ht="13.5" customHeight="1" x14ac:dyDescent="0.25"/>
    <row r="184" spans="1:8" ht="13.7" customHeight="1" x14ac:dyDescent="0.25">
      <c r="E184" s="84"/>
      <c r="F184" s="84"/>
      <c r="G184" s="84"/>
      <c r="H184" s="84"/>
    </row>
    <row r="185" spans="1:8" s="84" customFormat="1" ht="13.7" customHeight="1" x14ac:dyDescent="0.25">
      <c r="A185" s="85"/>
      <c r="E185" s="82"/>
      <c r="F185" s="86"/>
      <c r="G185" s="86"/>
    </row>
    <row r="186" spans="1:8" s="84" customFormat="1" ht="12.75" x14ac:dyDescent="0.25">
      <c r="A186" s="85"/>
      <c r="E186" s="82"/>
      <c r="F186" s="86"/>
      <c r="G186" s="86"/>
    </row>
    <row r="187" spans="1:8" s="84" customFormat="1" ht="12.75" hidden="1" x14ac:dyDescent="0.25">
      <c r="A187" s="85"/>
      <c r="E187" s="82"/>
      <c r="F187" s="86"/>
      <c r="G187" s="86"/>
    </row>
    <row r="188" spans="1:8" s="84" customFormat="1" ht="12.75" hidden="1" x14ac:dyDescent="0.25">
      <c r="A188" s="85"/>
      <c r="E188" s="82"/>
      <c r="F188" s="86"/>
      <c r="G188" s="86"/>
    </row>
    <row r="189" spans="1:8" s="84" customFormat="1" ht="12.75" hidden="1" x14ac:dyDescent="0.25">
      <c r="A189" s="85"/>
      <c r="E189" s="82"/>
      <c r="F189" s="86"/>
      <c r="G189" s="86"/>
    </row>
    <row r="190" spans="1:8" s="84" customFormat="1" ht="12.75" hidden="1" x14ac:dyDescent="0.25">
      <c r="A190" s="85"/>
      <c r="E190" s="82"/>
      <c r="F190" s="86"/>
      <c r="G190" s="86"/>
    </row>
    <row r="191" spans="1:8" s="84" customFormat="1" ht="12.75" hidden="1" x14ac:dyDescent="0.25">
      <c r="A191" s="85"/>
      <c r="E191" s="82"/>
      <c r="F191" s="86"/>
      <c r="G191" s="86"/>
    </row>
    <row r="192" spans="1:8" s="84" customFormat="1" ht="12.75" hidden="1" x14ac:dyDescent="0.25">
      <c r="A192" s="85"/>
      <c r="E192" s="82"/>
      <c r="F192" s="86"/>
      <c r="G192" s="86"/>
    </row>
    <row r="193" spans="5:7" s="84" customFormat="1" ht="12.75" hidden="1" x14ac:dyDescent="0.25">
      <c r="E193" s="82"/>
      <c r="F193" s="86"/>
      <c r="G193" s="86"/>
    </row>
    <row r="194" spans="5:7" s="84" customFormat="1" ht="12.75" hidden="1" x14ac:dyDescent="0.25">
      <c r="E194" s="82"/>
      <c r="F194" s="86"/>
      <c r="G194" s="86"/>
    </row>
    <row r="195" spans="5:7" s="84" customFormat="1" ht="12.75" hidden="1" x14ac:dyDescent="0.25">
      <c r="E195" s="82"/>
      <c r="F195" s="86"/>
      <c r="G195" s="86"/>
    </row>
    <row r="196" spans="5:7" s="84" customFormat="1" ht="12.75" hidden="1" x14ac:dyDescent="0.25">
      <c r="E196" s="82"/>
      <c r="F196" s="86"/>
      <c r="G196" s="86"/>
    </row>
    <row r="197" spans="5:7" s="84" customFormat="1" ht="12.75" hidden="1" x14ac:dyDescent="0.25">
      <c r="E197" s="82"/>
      <c r="F197" s="86"/>
      <c r="G197" s="86"/>
    </row>
    <row r="198" spans="5:7" s="84" customFormat="1" ht="12.75" hidden="1" x14ac:dyDescent="0.25">
      <c r="E198" s="82"/>
      <c r="F198" s="86"/>
      <c r="G198" s="86"/>
    </row>
    <row r="199" spans="5:7" s="84" customFormat="1" ht="12.75" hidden="1" x14ac:dyDescent="0.25">
      <c r="E199" s="82"/>
      <c r="F199" s="86"/>
      <c r="G199" s="86"/>
    </row>
    <row r="200" spans="5:7" s="84" customFormat="1" ht="12.75" hidden="1" x14ac:dyDescent="0.25">
      <c r="E200" s="82"/>
      <c r="F200" s="86"/>
      <c r="G200" s="86"/>
    </row>
    <row r="201" spans="5:7" s="84" customFormat="1" ht="12.75" hidden="1" x14ac:dyDescent="0.25">
      <c r="E201" s="82"/>
      <c r="F201" s="86"/>
      <c r="G201" s="86"/>
    </row>
    <row r="202" spans="5:7" s="84" customFormat="1" ht="12.75" hidden="1" x14ac:dyDescent="0.25">
      <c r="E202" s="82"/>
      <c r="F202" s="86"/>
      <c r="G202" s="86"/>
    </row>
    <row r="203" spans="5:7" s="84" customFormat="1" ht="12.75" hidden="1" x14ac:dyDescent="0.25">
      <c r="E203" s="82"/>
      <c r="F203" s="86"/>
      <c r="G203" s="86"/>
    </row>
    <row r="204" spans="5:7" s="84" customFormat="1" ht="12.75" hidden="1" x14ac:dyDescent="0.25">
      <c r="E204" s="82"/>
      <c r="F204" s="86"/>
      <c r="G204" s="86"/>
    </row>
    <row r="205" spans="5:7" s="84" customFormat="1" ht="12.75" hidden="1" x14ac:dyDescent="0.25">
      <c r="E205" s="82"/>
      <c r="F205" s="86"/>
      <c r="G205" s="86"/>
    </row>
    <row r="206" spans="5:7" s="84" customFormat="1" ht="12.75" hidden="1" x14ac:dyDescent="0.25">
      <c r="E206" s="82"/>
      <c r="F206" s="86"/>
      <c r="G206" s="86"/>
    </row>
    <row r="207" spans="5:7" s="84" customFormat="1" ht="12.75" hidden="1" x14ac:dyDescent="0.25">
      <c r="E207" s="82"/>
      <c r="F207" s="86"/>
      <c r="G207" s="86"/>
    </row>
    <row r="208" spans="5:7" s="84" customFormat="1" ht="12.75" hidden="1" x14ac:dyDescent="0.25">
      <c r="E208" s="82"/>
      <c r="F208" s="86"/>
      <c r="G208" s="86"/>
    </row>
    <row r="209" spans="3:8" s="84" customFormat="1" ht="12.75" hidden="1" x14ac:dyDescent="0.25">
      <c r="E209" s="82"/>
      <c r="F209" s="86"/>
      <c r="G209" s="86"/>
    </row>
    <row r="210" spans="3:8" s="84" customFormat="1" ht="12.75" hidden="1" x14ac:dyDescent="0.25">
      <c r="E210" s="82"/>
      <c r="F210" s="86"/>
      <c r="G210" s="86"/>
    </row>
    <row r="211" spans="3:8" s="84" customFormat="1" ht="12.75" hidden="1" x14ac:dyDescent="0.25">
      <c r="E211" s="82"/>
      <c r="F211" s="86"/>
      <c r="G211" s="86"/>
    </row>
    <row r="212" spans="3:8" s="84" customFormat="1" ht="12.75" hidden="1" x14ac:dyDescent="0.25">
      <c r="E212" s="82"/>
      <c r="F212" s="86"/>
      <c r="G212" s="86"/>
    </row>
    <row r="213" spans="3:8" s="84" customFormat="1" ht="12.75" hidden="1" x14ac:dyDescent="0.25">
      <c r="E213" s="82"/>
      <c r="F213" s="86"/>
      <c r="G213" s="86"/>
    </row>
    <row r="214" spans="3:8" s="84" customFormat="1" hidden="1" x14ac:dyDescent="0.25">
      <c r="E214" s="82"/>
      <c r="F214" s="87"/>
      <c r="G214" s="58"/>
      <c r="H214" s="5"/>
    </row>
    <row r="215" spans="3:8" hidden="1" x14ac:dyDescent="0.25">
      <c r="C215" s="86"/>
      <c r="D215" s="86"/>
      <c r="F215" s="87"/>
    </row>
  </sheetData>
  <mergeCells count="6">
    <mergeCell ref="C1:D1"/>
    <mergeCell ref="E1:F1"/>
    <mergeCell ref="C2:D2"/>
    <mergeCell ref="E2:F2"/>
    <mergeCell ref="C3:D3"/>
    <mergeCell ref="E3:F3"/>
  </mergeCells>
  <conditionalFormatting sqref="D7:D12">
    <cfRule type="cellIs" dxfId="251" priority="22" stopIfTrue="1" operator="greaterThan">
      <formula>50</formula>
    </cfRule>
    <cfRule type="cellIs" dxfId="250" priority="30" stopIfTrue="1" operator="equal">
      <formula>0</formula>
    </cfRule>
  </conditionalFormatting>
  <conditionalFormatting sqref="D7:D61">
    <cfRule type="cellIs" dxfId="249" priority="28" stopIfTrue="1" operator="between">
      <formula>-0.1</formula>
      <formula>-50</formula>
    </cfRule>
    <cfRule type="cellIs" dxfId="248" priority="29" stopIfTrue="1" operator="between">
      <formula>0.1</formula>
      <formula>50</formula>
    </cfRule>
  </conditionalFormatting>
  <conditionalFormatting sqref="G7:G150 G152:G181">
    <cfRule type="cellIs" dxfId="247" priority="26" stopIfTrue="1" operator="between">
      <formula>-0.1</formula>
      <formula>-50</formula>
    </cfRule>
    <cfRule type="cellIs" dxfId="246" priority="27" stopIfTrue="1" operator="between">
      <formula>0.1</formula>
      <formula>50</formula>
    </cfRule>
  </conditionalFormatting>
  <conditionalFormatting sqref="D111:D155">
    <cfRule type="cellIs" dxfId="245" priority="24" stopIfTrue="1" operator="between">
      <formula>-0.1</formula>
      <formula>-50</formula>
    </cfRule>
    <cfRule type="cellIs" dxfId="244" priority="25" stopIfTrue="1" operator="between">
      <formula>0.1</formula>
      <formula>50</formula>
    </cfRule>
  </conditionalFormatting>
  <conditionalFormatting sqref="G165">
    <cfRule type="expression" dxfId="243" priority="23" stopIfTrue="1">
      <formula>AND($G$165&gt;0,$G$151&gt;0)</formula>
    </cfRule>
  </conditionalFormatting>
  <conditionalFormatting sqref="G151">
    <cfRule type="expression" dxfId="242" priority="21" stopIfTrue="1">
      <formula>AND($G$151&gt;0,$G$165&gt;0)</formula>
    </cfRule>
  </conditionalFormatting>
  <dataValidations count="11">
    <dataValidation type="custom" operator="greaterThan" showInputMessage="1" showErrorMessage="1" errorTitle="RDM" error="No se admite ingresar RDM como ingresos y egresos a la vez. Tampoco se admiten valores menores a $50._x000a_" sqref="G151">
      <formula1>AND(OR(G151=0, G151&gt;50),G165=0)</formula1>
    </dataValidation>
    <dataValidation type="whole" operator="greaterThan" allowBlank="1" showInputMessage="1" showErrorMessage="1" sqref="D8:D12">
      <formula1>50</formula1>
    </dataValidation>
    <dataValidation type="whole" operator="greaterThan" showInputMessage="1" showErrorMessage="1" errorTitle="eee" error="Valores mayores a $50" sqref="D7">
      <formula1>50</formula1>
    </dataValidation>
    <dataValidation type="custom" operator="greaterThan" showInputMessage="1" showErrorMessage="1" errorTitle="eee" sqref="D56">
      <formula1>OR(D56=0, D56&lt;50)</formula1>
    </dataValidation>
    <dataValidation type="custom" operator="greaterThan" showInputMessage="1" showErrorMessage="1" errorTitle="eee" sqref="D57:D61">
      <formula1>OR(D57=0, D57&lt;0)</formula1>
    </dataValidation>
    <dataValidation type="custom" operator="greaterThan" showInputMessage="1" showErrorMessage="1" errorTitle="eee" sqref="G7:G140 D62:D155 G152:G164 G166:G181 G144:G150 D13:D55">
      <formula1>OR(D7=0, D7&gt;50)</formula1>
    </dataValidation>
    <dataValidation type="whole" allowBlank="1" showErrorMessage="1" errorTitle="Error de datos" error="Debe ingresar un valor entre 1 y 12" sqref="G1:G3">
      <formula1>1</formula1>
      <formula2>12</formula2>
    </dataValidation>
    <dataValidation allowBlank="1" errorTitle="Error de datos" error="Debe introducir una fecha válida" sqref="E3"/>
    <dataValidation allowBlank="1" sqref="G204"/>
    <dataValidation operator="greaterThanOrEqual" allowBlank="1" errorTitle="Error de datos" error="Debe ingresar un valor entero positivo" sqref="F6:F107 F203 C13:C47 C106:C153 F171 F174:F178 F180 F111:F119 C7:C10 F121:F140 F143:F169 C49:C62 C155 F109"/>
    <dataValidation type="custom" operator="greaterThan" showInputMessage="1" showErrorMessage="1" errorTitle="rdm2" error="No se admite ingresar a la vez RDM como ingresos y como egresos. Tampoco se admiten valores negattivos o positivos menores de 50" sqref="G165">
      <formula1>AND(OR(G165=0, G165&gt;50),G151=0)</formula1>
    </dataValidation>
  </dataValidations>
  <pageMargins left="0.7" right="0.7" top="0.75" bottom="0.75" header="0.3" footer="0.3"/>
  <pageSetup paperSize="9" orientation="portrait" r:id="rId1"/>
  <ignoredErrors>
    <ignoredError sqref="E7:E181" numberStoredAsText="1"/>
    <ignoredError sqref="G8:G10 G23 D39 D136 G137 G146:G147 G165" unlockedFormula="1"/>
    <ignoredError sqref="G40" formulaRange="1"/>
  </ignoredError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15"/>
  <sheetViews>
    <sheetView showGridLines="0" workbookViewId="0">
      <selection activeCell="F4" sqref="F4"/>
    </sheetView>
  </sheetViews>
  <sheetFormatPr baseColWidth="10" defaultColWidth="0" defaultRowHeight="15" zeroHeight="1" x14ac:dyDescent="0.25"/>
  <cols>
    <col min="1" max="1" width="3.7109375" style="1" customWidth="1"/>
    <col min="2" max="2" width="14.28515625" style="7" hidden="1" customWidth="1"/>
    <col min="3" max="3" width="58.5703125" style="58" customWidth="1"/>
    <col min="4" max="4" width="25.140625" style="58" customWidth="1"/>
    <col min="5" max="5" width="5.85546875" style="82" customWidth="1"/>
    <col min="6" max="6" width="57.28515625" style="58" customWidth="1"/>
    <col min="7" max="7" width="24.7109375" style="58" customWidth="1"/>
    <col min="8" max="8" width="5.42578125" style="5" customWidth="1"/>
    <col min="9" max="16384" width="0" style="5" hidden="1"/>
  </cols>
  <sheetData>
    <row r="1" spans="1:9" ht="15.75" x14ac:dyDescent="0.25">
      <c r="B1" s="2"/>
      <c r="C1" s="313" t="s">
        <v>0</v>
      </c>
      <c r="D1" s="314"/>
      <c r="E1" s="315" t="str">
        <f>[15]Presentacion!C2</f>
        <v>CAMCEL</v>
      </c>
      <c r="F1" s="315"/>
      <c r="G1" s="3"/>
      <c r="H1" s="4"/>
    </row>
    <row r="2" spans="1:9" ht="15.75" x14ac:dyDescent="0.25">
      <c r="B2" s="6"/>
      <c r="C2" s="313" t="s">
        <v>1</v>
      </c>
      <c r="D2" s="314"/>
      <c r="E2" s="315" t="str">
        <f>[15]Presentacion!C3</f>
        <v>Cerro Largo</v>
      </c>
      <c r="F2" s="315"/>
      <c r="G2" s="3"/>
      <c r="H2" s="4"/>
    </row>
    <row r="3" spans="1:9" ht="15.75" x14ac:dyDescent="0.25">
      <c r="B3" s="6"/>
      <c r="C3" s="313" t="s">
        <v>2</v>
      </c>
      <c r="D3" s="316"/>
      <c r="E3" s="317" t="s">
        <v>3</v>
      </c>
      <c r="F3" s="317"/>
      <c r="G3" s="3"/>
      <c r="H3" s="4"/>
    </row>
    <row r="4" spans="1:9" ht="15.75" thickBot="1" x14ac:dyDescent="0.3">
      <c r="C4" s="287"/>
      <c r="D4" s="8"/>
      <c r="E4" s="9"/>
      <c r="F4" s="10"/>
      <c r="G4" s="11"/>
    </row>
    <row r="5" spans="1:9" ht="16.5" thickBot="1" x14ac:dyDescent="0.3">
      <c r="B5" s="12"/>
      <c r="C5" s="13" t="s">
        <v>4</v>
      </c>
      <c r="D5" s="284" t="s">
        <v>5</v>
      </c>
      <c r="E5" s="14"/>
      <c r="F5" s="13" t="s">
        <v>6</v>
      </c>
      <c r="G5" s="284" t="s">
        <v>5</v>
      </c>
      <c r="I5" s="15"/>
    </row>
    <row r="6" spans="1:9" ht="16.5" thickBot="1" x14ac:dyDescent="0.3">
      <c r="B6" s="12"/>
      <c r="C6" s="16" t="s">
        <v>7</v>
      </c>
      <c r="D6" s="290">
        <f>+[15]E.S.P.!D6</f>
        <v>2020</v>
      </c>
      <c r="E6" s="18"/>
      <c r="F6" s="16" t="s">
        <v>8</v>
      </c>
      <c r="G6" s="290">
        <f>+D6</f>
        <v>2020</v>
      </c>
      <c r="H6" s="15"/>
    </row>
    <row r="7" spans="1:9" x14ac:dyDescent="0.25">
      <c r="B7" s="6" t="s">
        <v>9</v>
      </c>
      <c r="C7" s="19" t="s">
        <v>10</v>
      </c>
      <c r="D7" s="20">
        <v>20293050</v>
      </c>
      <c r="E7" s="21" t="s">
        <v>11</v>
      </c>
      <c r="F7" s="22" t="s">
        <v>12</v>
      </c>
      <c r="G7" s="23">
        <v>21431167</v>
      </c>
    </row>
    <row r="8" spans="1:9" x14ac:dyDescent="0.25">
      <c r="B8" s="6" t="s">
        <v>13</v>
      </c>
      <c r="C8" s="19" t="s">
        <v>14</v>
      </c>
      <c r="D8" s="20">
        <v>76158357</v>
      </c>
      <c r="E8" s="21" t="s">
        <v>15</v>
      </c>
      <c r="F8" s="19" t="s">
        <v>16</v>
      </c>
      <c r="G8" s="24">
        <v>6584259</v>
      </c>
    </row>
    <row r="9" spans="1:9" x14ac:dyDescent="0.25">
      <c r="B9" s="6" t="s">
        <v>17</v>
      </c>
      <c r="C9" s="19" t="s">
        <v>18</v>
      </c>
      <c r="D9" s="20">
        <v>1189762388</v>
      </c>
      <c r="E9" s="21" t="s">
        <v>19</v>
      </c>
      <c r="F9" s="19" t="s">
        <v>20</v>
      </c>
      <c r="G9" s="20">
        <v>18675816</v>
      </c>
    </row>
    <row r="10" spans="1:9" x14ac:dyDescent="0.25">
      <c r="B10" s="6" t="s">
        <v>21</v>
      </c>
      <c r="C10" s="19" t="s">
        <v>22</v>
      </c>
      <c r="D10" s="20">
        <v>94526444</v>
      </c>
      <c r="E10" s="21" t="s">
        <v>23</v>
      </c>
      <c r="F10" s="19" t="s">
        <v>24</v>
      </c>
      <c r="G10" s="20">
        <v>194226176</v>
      </c>
    </row>
    <row r="11" spans="1:9" x14ac:dyDescent="0.25">
      <c r="B11" s="6" t="s">
        <v>25</v>
      </c>
      <c r="C11" s="19" t="s">
        <v>26</v>
      </c>
      <c r="D11" s="20">
        <v>24005747</v>
      </c>
      <c r="E11" s="21" t="s">
        <v>27</v>
      </c>
      <c r="F11" s="19" t="s">
        <v>28</v>
      </c>
      <c r="G11" s="20">
        <v>216069375</v>
      </c>
    </row>
    <row r="12" spans="1:9" x14ac:dyDescent="0.25">
      <c r="B12" s="6" t="s">
        <v>29</v>
      </c>
      <c r="C12" s="19" t="s">
        <v>30</v>
      </c>
      <c r="D12" s="20">
        <v>23196113</v>
      </c>
      <c r="E12" s="21" t="s">
        <v>31</v>
      </c>
      <c r="F12" s="19" t="s">
        <v>32</v>
      </c>
      <c r="G12" s="20">
        <v>127918552</v>
      </c>
    </row>
    <row r="13" spans="1:9" x14ac:dyDescent="0.25">
      <c r="B13" s="6" t="s">
        <v>33</v>
      </c>
      <c r="C13" s="19" t="s">
        <v>34</v>
      </c>
      <c r="D13" s="20">
        <v>0</v>
      </c>
      <c r="E13" s="21" t="s">
        <v>35</v>
      </c>
      <c r="F13" s="19" t="s">
        <v>36</v>
      </c>
      <c r="G13" s="20">
        <v>3549438</v>
      </c>
    </row>
    <row r="14" spans="1:9" x14ac:dyDescent="0.25">
      <c r="A14" s="25"/>
      <c r="B14" s="6" t="s">
        <v>37</v>
      </c>
      <c r="C14" s="19" t="s">
        <v>38</v>
      </c>
      <c r="D14" s="20">
        <v>0</v>
      </c>
      <c r="E14" s="21" t="s">
        <v>39</v>
      </c>
      <c r="F14" s="19" t="s">
        <v>40</v>
      </c>
      <c r="G14" s="20">
        <v>129840469</v>
      </c>
    </row>
    <row r="15" spans="1:9" x14ac:dyDescent="0.25">
      <c r="B15" s="6" t="s">
        <v>41</v>
      </c>
      <c r="C15" s="26" t="s">
        <v>42</v>
      </c>
      <c r="D15" s="20">
        <v>0</v>
      </c>
      <c r="E15" s="21" t="s">
        <v>43</v>
      </c>
      <c r="F15" s="19" t="s">
        <v>44</v>
      </c>
      <c r="G15" s="20">
        <v>23291660</v>
      </c>
    </row>
    <row r="16" spans="1:9" x14ac:dyDescent="0.25">
      <c r="B16" s="6" t="s">
        <v>45</v>
      </c>
      <c r="C16" s="19" t="s">
        <v>46</v>
      </c>
      <c r="D16" s="20">
        <v>0</v>
      </c>
      <c r="E16" s="21" t="s">
        <v>47</v>
      </c>
      <c r="F16" s="19" t="s">
        <v>48</v>
      </c>
      <c r="G16" s="20">
        <v>52069119</v>
      </c>
    </row>
    <row r="17" spans="1:7" x14ac:dyDescent="0.25">
      <c r="B17" s="6" t="s">
        <v>49</v>
      </c>
      <c r="C17" s="19" t="s">
        <v>50</v>
      </c>
      <c r="D17" s="20">
        <v>0</v>
      </c>
      <c r="E17" s="21" t="s">
        <v>51</v>
      </c>
      <c r="F17" s="19" t="s">
        <v>52</v>
      </c>
      <c r="G17" s="20">
        <v>0</v>
      </c>
    </row>
    <row r="18" spans="1:7" x14ac:dyDescent="0.25">
      <c r="A18" s="25"/>
      <c r="B18" s="6" t="s">
        <v>53</v>
      </c>
      <c r="C18" s="19" t="s">
        <v>54</v>
      </c>
      <c r="D18" s="20">
        <v>0</v>
      </c>
      <c r="E18" s="21" t="s">
        <v>55</v>
      </c>
      <c r="F18" s="19" t="s">
        <v>56</v>
      </c>
      <c r="G18" s="27">
        <v>46214098</v>
      </c>
    </row>
    <row r="19" spans="1:7" ht="15.75" thickBot="1" x14ac:dyDescent="0.3">
      <c r="A19" s="25"/>
      <c r="B19" s="6" t="s">
        <v>57</v>
      </c>
      <c r="C19" s="19" t="s">
        <v>58</v>
      </c>
      <c r="D19" s="20">
        <v>79462198</v>
      </c>
      <c r="E19" s="21"/>
      <c r="F19" s="28" t="s">
        <v>59</v>
      </c>
      <c r="G19" s="29">
        <f>SUM(G7:G18)</f>
        <v>839870129</v>
      </c>
    </row>
    <row r="20" spans="1:7" ht="15.75" thickBot="1" x14ac:dyDescent="0.3">
      <c r="B20" s="6"/>
      <c r="C20" s="28" t="s">
        <v>60</v>
      </c>
      <c r="D20" s="29">
        <f>SUM(D7:D19)</f>
        <v>1507404297</v>
      </c>
      <c r="E20" s="21" t="s">
        <v>61</v>
      </c>
      <c r="F20" s="22" t="s">
        <v>62</v>
      </c>
      <c r="G20" s="23">
        <v>1161630</v>
      </c>
    </row>
    <row r="21" spans="1:7" x14ac:dyDescent="0.25">
      <c r="B21" s="6"/>
      <c r="C21" s="30" t="s">
        <v>63</v>
      </c>
      <c r="D21" s="31">
        <f>SUM(D22:D28)</f>
        <v>14205844</v>
      </c>
      <c r="E21" s="21" t="s">
        <v>64</v>
      </c>
      <c r="F21" s="19" t="s">
        <v>65</v>
      </c>
      <c r="G21" s="20">
        <v>34174177</v>
      </c>
    </row>
    <row r="22" spans="1:7" x14ac:dyDescent="0.25">
      <c r="B22" s="6" t="s">
        <v>66</v>
      </c>
      <c r="C22" s="19" t="s">
        <v>67</v>
      </c>
      <c r="D22" s="20">
        <v>8549400</v>
      </c>
      <c r="E22" s="21" t="s">
        <v>68</v>
      </c>
      <c r="F22" s="19" t="s">
        <v>69</v>
      </c>
      <c r="G22" s="20">
        <v>3484903</v>
      </c>
    </row>
    <row r="23" spans="1:7" x14ac:dyDescent="0.25">
      <c r="B23" s="6" t="s">
        <v>70</v>
      </c>
      <c r="C23" s="19" t="s">
        <v>71</v>
      </c>
      <c r="D23" s="20">
        <v>1350658</v>
      </c>
      <c r="E23" s="21" t="s">
        <v>72</v>
      </c>
      <c r="F23" s="19" t="s">
        <v>73</v>
      </c>
      <c r="G23" s="20">
        <v>7744234</v>
      </c>
    </row>
    <row r="24" spans="1:7" x14ac:dyDescent="0.25">
      <c r="B24" s="6" t="s">
        <v>74</v>
      </c>
      <c r="C24" s="19" t="s">
        <v>75</v>
      </c>
      <c r="D24" s="20">
        <v>2779673</v>
      </c>
      <c r="E24" s="21" t="s">
        <v>76</v>
      </c>
      <c r="F24" s="19" t="s">
        <v>77</v>
      </c>
      <c r="G24" s="20">
        <v>0</v>
      </c>
    </row>
    <row r="25" spans="1:7" x14ac:dyDescent="0.25">
      <c r="B25" s="6" t="s">
        <v>78</v>
      </c>
      <c r="C25" s="19" t="s">
        <v>79</v>
      </c>
      <c r="D25" s="20">
        <v>0</v>
      </c>
      <c r="E25" s="21" t="s">
        <v>80</v>
      </c>
      <c r="F25" s="19" t="s">
        <v>81</v>
      </c>
      <c r="G25" s="20">
        <v>0</v>
      </c>
    </row>
    <row r="26" spans="1:7" x14ac:dyDescent="0.25">
      <c r="B26" s="6" t="s">
        <v>82</v>
      </c>
      <c r="C26" s="19" t="s">
        <v>83</v>
      </c>
      <c r="D26" s="20">
        <v>569688</v>
      </c>
      <c r="E26" s="21" t="s">
        <v>84</v>
      </c>
      <c r="F26" s="19" t="s">
        <v>85</v>
      </c>
      <c r="G26" s="27">
        <v>2744015</v>
      </c>
    </row>
    <row r="27" spans="1:7" ht="15.75" thickBot="1" x14ac:dyDescent="0.3">
      <c r="B27" s="6" t="s">
        <v>86</v>
      </c>
      <c r="C27" s="19" t="s">
        <v>87</v>
      </c>
      <c r="D27" s="20">
        <v>189976</v>
      </c>
      <c r="E27" s="21"/>
      <c r="F27" s="28" t="s">
        <v>88</v>
      </c>
      <c r="G27" s="29">
        <f>SUM(G20:G26)</f>
        <v>49308959</v>
      </c>
    </row>
    <row r="28" spans="1:7" x14ac:dyDescent="0.25">
      <c r="B28" s="6" t="s">
        <v>89</v>
      </c>
      <c r="C28" s="19" t="s">
        <v>90</v>
      </c>
      <c r="D28" s="20">
        <v>766449</v>
      </c>
      <c r="E28" s="21" t="s">
        <v>91</v>
      </c>
      <c r="F28" s="22" t="s">
        <v>92</v>
      </c>
      <c r="G28" s="23">
        <v>73979978</v>
      </c>
    </row>
    <row r="29" spans="1:7" x14ac:dyDescent="0.25">
      <c r="B29" s="6"/>
      <c r="C29" s="32" t="s">
        <v>93</v>
      </c>
      <c r="D29" s="31">
        <f>SUM(D30:D34)</f>
        <v>97938221</v>
      </c>
      <c r="E29" s="21" t="s">
        <v>94</v>
      </c>
      <c r="F29" s="19" t="s">
        <v>95</v>
      </c>
      <c r="G29" s="20">
        <v>19067303</v>
      </c>
    </row>
    <row r="30" spans="1:7" x14ac:dyDescent="0.25">
      <c r="B30" s="6" t="s">
        <v>96</v>
      </c>
      <c r="C30" s="19" t="s">
        <v>97</v>
      </c>
      <c r="D30" s="20">
        <v>82290286</v>
      </c>
      <c r="E30" s="21" t="s">
        <v>98</v>
      </c>
      <c r="F30" s="19" t="s">
        <v>99</v>
      </c>
      <c r="G30" s="20">
        <v>11239178</v>
      </c>
    </row>
    <row r="31" spans="1:7" x14ac:dyDescent="0.25">
      <c r="B31" s="6" t="s">
        <v>100</v>
      </c>
      <c r="C31" s="19" t="s">
        <v>101</v>
      </c>
      <c r="D31" s="20">
        <v>3546968</v>
      </c>
      <c r="E31" s="21" t="s">
        <v>102</v>
      </c>
      <c r="F31" s="19" t="s">
        <v>103</v>
      </c>
      <c r="G31" s="27">
        <v>6109916</v>
      </c>
    </row>
    <row r="32" spans="1:7" ht="15.75" thickBot="1" x14ac:dyDescent="0.3">
      <c r="B32" s="6" t="s">
        <v>104</v>
      </c>
      <c r="C32" s="19" t="s">
        <v>105</v>
      </c>
      <c r="D32" s="20">
        <v>5531871</v>
      </c>
      <c r="E32" s="21"/>
      <c r="F32" s="28" t="s">
        <v>106</v>
      </c>
      <c r="G32" s="29">
        <f>SUM(G28:G31)</f>
        <v>110396375</v>
      </c>
    </row>
    <row r="33" spans="2:7" x14ac:dyDescent="0.25">
      <c r="B33" s="6" t="s">
        <v>107</v>
      </c>
      <c r="C33" s="19" t="s">
        <v>108</v>
      </c>
      <c r="D33" s="20">
        <v>0</v>
      </c>
      <c r="E33" s="21"/>
      <c r="F33" s="32" t="s">
        <v>109</v>
      </c>
      <c r="G33" s="31">
        <f>SUM(G34:G39)</f>
        <v>90374834</v>
      </c>
    </row>
    <row r="34" spans="2:7" x14ac:dyDescent="0.25">
      <c r="B34" s="6" t="s">
        <v>110</v>
      </c>
      <c r="C34" s="19" t="s">
        <v>111</v>
      </c>
      <c r="D34" s="20">
        <v>6569096</v>
      </c>
      <c r="E34" s="21" t="s">
        <v>112</v>
      </c>
      <c r="F34" s="19" t="s">
        <v>113</v>
      </c>
      <c r="G34" s="20">
        <v>1807497</v>
      </c>
    </row>
    <row r="35" spans="2:7" ht="15.75" thickBot="1" x14ac:dyDescent="0.3">
      <c r="B35" s="6"/>
      <c r="C35" s="28" t="s">
        <v>114</v>
      </c>
      <c r="D35" s="29">
        <f>+D21+D29</f>
        <v>112144065</v>
      </c>
      <c r="E35" s="21" t="s">
        <v>115</v>
      </c>
      <c r="F35" s="19" t="s">
        <v>116</v>
      </c>
      <c r="G35" s="20">
        <v>903748</v>
      </c>
    </row>
    <row r="36" spans="2:7" x14ac:dyDescent="0.25">
      <c r="B36" s="6" t="s">
        <v>117</v>
      </c>
      <c r="C36" s="19" t="s">
        <v>118</v>
      </c>
      <c r="D36" s="20">
        <v>3354213</v>
      </c>
      <c r="E36" s="21" t="s">
        <v>119</v>
      </c>
      <c r="F36" s="19" t="s">
        <v>120</v>
      </c>
      <c r="G36" s="20">
        <v>6326238</v>
      </c>
    </row>
    <row r="37" spans="2:7" x14ac:dyDescent="0.25">
      <c r="B37" s="6" t="s">
        <v>121</v>
      </c>
      <c r="C37" s="19" t="s">
        <v>122</v>
      </c>
      <c r="D37" s="20">
        <v>35579217</v>
      </c>
      <c r="E37" s="21" t="s">
        <v>123</v>
      </c>
      <c r="F37" s="19" t="s">
        <v>124</v>
      </c>
      <c r="G37" s="20">
        <v>9037483</v>
      </c>
    </row>
    <row r="38" spans="2:7" x14ac:dyDescent="0.25">
      <c r="B38" s="6" t="s">
        <v>125</v>
      </c>
      <c r="C38" s="19" t="s">
        <v>126</v>
      </c>
      <c r="D38" s="20">
        <v>0</v>
      </c>
      <c r="E38" s="21" t="s">
        <v>127</v>
      </c>
      <c r="F38" s="19" t="s">
        <v>128</v>
      </c>
      <c r="G38" s="20">
        <v>4518742</v>
      </c>
    </row>
    <row r="39" spans="2:7" x14ac:dyDescent="0.25">
      <c r="B39" s="6" t="s">
        <v>129</v>
      </c>
      <c r="C39" s="19" t="s">
        <v>130</v>
      </c>
      <c r="D39" s="20">
        <v>0</v>
      </c>
      <c r="E39" s="21" t="s">
        <v>131</v>
      </c>
      <c r="F39" s="19" t="s">
        <v>132</v>
      </c>
      <c r="G39" s="20">
        <v>67781126</v>
      </c>
    </row>
    <row r="40" spans="2:7" x14ac:dyDescent="0.25">
      <c r="B40" s="6" t="s">
        <v>133</v>
      </c>
      <c r="C40" s="19" t="s">
        <v>134</v>
      </c>
      <c r="D40" s="20">
        <v>17118887</v>
      </c>
      <c r="E40" s="21"/>
      <c r="F40" s="33" t="s">
        <v>135</v>
      </c>
      <c r="G40" s="34">
        <f>SUM(G41:G46)</f>
        <v>34232423</v>
      </c>
    </row>
    <row r="41" spans="2:7" x14ac:dyDescent="0.25">
      <c r="B41" s="6" t="s">
        <v>136</v>
      </c>
      <c r="C41" s="19" t="s">
        <v>137</v>
      </c>
      <c r="D41" s="20">
        <v>0</v>
      </c>
      <c r="E41" s="21" t="s">
        <v>138</v>
      </c>
      <c r="F41" s="19" t="s">
        <v>139</v>
      </c>
      <c r="G41" s="20">
        <v>3423242</v>
      </c>
    </row>
    <row r="42" spans="2:7" x14ac:dyDescent="0.25">
      <c r="B42" s="6" t="s">
        <v>140</v>
      </c>
      <c r="C42" s="19" t="s">
        <v>141</v>
      </c>
      <c r="D42" s="20">
        <v>43856981</v>
      </c>
      <c r="E42" s="21" t="s">
        <v>142</v>
      </c>
      <c r="F42" s="19" t="s">
        <v>143</v>
      </c>
      <c r="G42" s="20">
        <v>25411</v>
      </c>
    </row>
    <row r="43" spans="2:7" x14ac:dyDescent="0.25">
      <c r="B43" s="6" t="s">
        <v>144</v>
      </c>
      <c r="C43" s="19" t="s">
        <v>145</v>
      </c>
      <c r="D43" s="20">
        <v>0</v>
      </c>
      <c r="E43" s="21" t="s">
        <v>146</v>
      </c>
      <c r="F43" s="19" t="s">
        <v>147</v>
      </c>
      <c r="G43" s="20">
        <v>2923723</v>
      </c>
    </row>
    <row r="44" spans="2:7" x14ac:dyDescent="0.25">
      <c r="B44" s="6" t="s">
        <v>148</v>
      </c>
      <c r="C44" s="19" t="s">
        <v>149</v>
      </c>
      <c r="D44" s="20">
        <v>0</v>
      </c>
      <c r="E44" s="21" t="s">
        <v>150</v>
      </c>
      <c r="F44" s="19" t="s">
        <v>151</v>
      </c>
      <c r="G44" s="20">
        <v>883778</v>
      </c>
    </row>
    <row r="45" spans="2:7" x14ac:dyDescent="0.25">
      <c r="B45" s="6" t="s">
        <v>152</v>
      </c>
      <c r="C45" s="19" t="s">
        <v>153</v>
      </c>
      <c r="D45" s="20">
        <v>10763</v>
      </c>
      <c r="E45" s="21" t="s">
        <v>154</v>
      </c>
      <c r="F45" s="19" t="s">
        <v>155</v>
      </c>
      <c r="G45" s="20">
        <v>387511</v>
      </c>
    </row>
    <row r="46" spans="2:7" x14ac:dyDescent="0.25">
      <c r="B46" s="6" t="s">
        <v>156</v>
      </c>
      <c r="C46" s="19" t="s">
        <v>157</v>
      </c>
      <c r="D46" s="20">
        <v>6022409</v>
      </c>
      <c r="E46" s="21" t="s">
        <v>158</v>
      </c>
      <c r="F46" s="19" t="s">
        <v>159</v>
      </c>
      <c r="G46" s="20">
        <v>26588758</v>
      </c>
    </row>
    <row r="47" spans="2:7" ht="15.75" thickBot="1" x14ac:dyDescent="0.3">
      <c r="B47" s="6"/>
      <c r="C47" s="28" t="s">
        <v>160</v>
      </c>
      <c r="D47" s="29">
        <f>SUM(D36:D46)</f>
        <v>105942470</v>
      </c>
      <c r="E47" s="21" t="s">
        <v>161</v>
      </c>
      <c r="F47" s="19" t="s">
        <v>162</v>
      </c>
      <c r="G47" s="27">
        <v>7095832</v>
      </c>
    </row>
    <row r="48" spans="2:7" ht="15.75" thickBot="1" x14ac:dyDescent="0.3">
      <c r="B48" s="6"/>
      <c r="C48" s="35" t="s">
        <v>163</v>
      </c>
      <c r="D48" s="36"/>
      <c r="E48" s="21"/>
      <c r="F48" s="28" t="s">
        <v>164</v>
      </c>
      <c r="G48" s="37">
        <f>+G33+G40+G47</f>
        <v>131703089</v>
      </c>
    </row>
    <row r="49" spans="2:7" x14ac:dyDescent="0.25">
      <c r="B49" s="6" t="s">
        <v>165</v>
      </c>
      <c r="C49" s="38" t="s">
        <v>166</v>
      </c>
      <c r="D49" s="39">
        <v>0</v>
      </c>
      <c r="E49" s="21" t="s">
        <v>167</v>
      </c>
      <c r="F49" s="22" t="s">
        <v>168</v>
      </c>
      <c r="G49" s="23">
        <v>32226820</v>
      </c>
    </row>
    <row r="50" spans="2:7" x14ac:dyDescent="0.25">
      <c r="B50" s="6" t="s">
        <v>169</v>
      </c>
      <c r="C50" s="19" t="s">
        <v>163</v>
      </c>
      <c r="D50" s="20">
        <v>4594751</v>
      </c>
      <c r="E50" s="21" t="s">
        <v>170</v>
      </c>
      <c r="F50" s="19" t="s">
        <v>171</v>
      </c>
      <c r="G50" s="20">
        <v>46374305</v>
      </c>
    </row>
    <row r="51" spans="2:7" x14ac:dyDescent="0.25">
      <c r="B51" s="6" t="s">
        <v>172</v>
      </c>
      <c r="C51" s="19" t="s">
        <v>173</v>
      </c>
      <c r="D51" s="27">
        <v>285295</v>
      </c>
      <c r="E51" s="21" t="s">
        <v>174</v>
      </c>
      <c r="F51" s="19" t="s">
        <v>175</v>
      </c>
      <c r="G51" s="20">
        <v>1826958</v>
      </c>
    </row>
    <row r="52" spans="2:7" ht="15.75" thickBot="1" x14ac:dyDescent="0.3">
      <c r="B52" s="12"/>
      <c r="C52" s="28" t="s">
        <v>176</v>
      </c>
      <c r="D52" s="29">
        <f>SUM(D49:D51)</f>
        <v>4880046</v>
      </c>
      <c r="E52" s="21" t="s">
        <v>177</v>
      </c>
      <c r="F52" s="19" t="s">
        <v>178</v>
      </c>
      <c r="G52" s="20">
        <v>33350</v>
      </c>
    </row>
    <row r="53" spans="2:7" ht="15.75" thickBot="1" x14ac:dyDescent="0.3">
      <c r="B53" s="6"/>
      <c r="C53" s="40" t="s">
        <v>179</v>
      </c>
      <c r="D53" s="41">
        <f>D20+D35+D47+D52</f>
        <v>1730370878</v>
      </c>
      <c r="E53" s="21" t="s">
        <v>180</v>
      </c>
      <c r="F53" s="19" t="s">
        <v>181</v>
      </c>
      <c r="G53" s="20">
        <v>7710596</v>
      </c>
    </row>
    <row r="54" spans="2:7" x14ac:dyDescent="0.25">
      <c r="C54" s="42"/>
      <c r="D54" s="43"/>
      <c r="E54" s="21" t="s">
        <v>182</v>
      </c>
      <c r="F54" s="19" t="s">
        <v>183</v>
      </c>
      <c r="G54" s="20">
        <v>3736317</v>
      </c>
    </row>
    <row r="55" spans="2:7" x14ac:dyDescent="0.25">
      <c r="C55" s="44" t="s">
        <v>184</v>
      </c>
      <c r="D55" s="45"/>
      <c r="E55" s="21" t="s">
        <v>185</v>
      </c>
      <c r="F55" s="19" t="s">
        <v>186</v>
      </c>
      <c r="G55" s="20">
        <v>4068898</v>
      </c>
    </row>
    <row r="56" spans="2:7" x14ac:dyDescent="0.25">
      <c r="B56" s="6" t="s">
        <v>187</v>
      </c>
      <c r="C56" s="46" t="s">
        <v>188</v>
      </c>
      <c r="D56" s="20">
        <v>0</v>
      </c>
      <c r="E56" s="21" t="s">
        <v>189</v>
      </c>
      <c r="F56" s="19" t="s">
        <v>190</v>
      </c>
      <c r="G56" s="27">
        <v>5326629</v>
      </c>
    </row>
    <row r="57" spans="2:7" ht="15.75" thickBot="1" x14ac:dyDescent="0.3">
      <c r="B57" s="6" t="s">
        <v>191</v>
      </c>
      <c r="C57" s="46" t="s">
        <v>192</v>
      </c>
      <c r="D57" s="20">
        <v>0</v>
      </c>
      <c r="E57" s="21"/>
      <c r="F57" s="28" t="s">
        <v>193</v>
      </c>
      <c r="G57" s="29">
        <f>SUM(G49:G56)</f>
        <v>101303873</v>
      </c>
    </row>
    <row r="58" spans="2:7" x14ac:dyDescent="0.25">
      <c r="B58" s="6" t="s">
        <v>194</v>
      </c>
      <c r="C58" s="46" t="s">
        <v>195</v>
      </c>
      <c r="D58" s="20">
        <v>0</v>
      </c>
      <c r="E58" s="21" t="s">
        <v>196</v>
      </c>
      <c r="F58" s="22" t="s">
        <v>197</v>
      </c>
      <c r="G58" s="23">
        <v>0</v>
      </c>
    </row>
    <row r="59" spans="2:7" x14ac:dyDescent="0.25">
      <c r="B59" s="6" t="s">
        <v>198</v>
      </c>
      <c r="C59" s="19" t="s">
        <v>199</v>
      </c>
      <c r="D59" s="27">
        <v>0</v>
      </c>
      <c r="E59" s="21" t="s">
        <v>200</v>
      </c>
      <c r="F59" s="19" t="s">
        <v>201</v>
      </c>
      <c r="G59" s="20">
        <v>37734928</v>
      </c>
    </row>
    <row r="60" spans="2:7" ht="15.75" thickBot="1" x14ac:dyDescent="0.3">
      <c r="B60" s="6"/>
      <c r="C60" s="28" t="s">
        <v>202</v>
      </c>
      <c r="D60" s="29">
        <f>SUM(D56:D59)</f>
        <v>0</v>
      </c>
      <c r="E60" s="21" t="s">
        <v>203</v>
      </c>
      <c r="F60" s="19" t="s">
        <v>204</v>
      </c>
      <c r="G60" s="20">
        <v>13715804</v>
      </c>
    </row>
    <row r="61" spans="2:7" ht="16.5" thickBot="1" x14ac:dyDescent="0.3">
      <c r="B61" s="47"/>
      <c r="C61" s="48" t="s">
        <v>205</v>
      </c>
      <c r="D61" s="49">
        <f>D53+D60</f>
        <v>1730370878</v>
      </c>
      <c r="E61" s="21" t="s">
        <v>206</v>
      </c>
      <c r="F61" s="19" t="s">
        <v>207</v>
      </c>
      <c r="G61" s="20">
        <v>11466238</v>
      </c>
    </row>
    <row r="62" spans="2:7" x14ac:dyDescent="0.25">
      <c r="B62" s="50"/>
      <c r="C62" s="51"/>
      <c r="D62" s="51"/>
      <c r="E62" s="21" t="s">
        <v>208</v>
      </c>
      <c r="F62" s="19" t="s">
        <v>209</v>
      </c>
      <c r="G62" s="20">
        <v>0</v>
      </c>
    </row>
    <row r="63" spans="2:7" x14ac:dyDescent="0.25">
      <c r="B63" s="52"/>
      <c r="C63" s="53" t="s">
        <v>8</v>
      </c>
      <c r="D63" s="53"/>
      <c r="E63" s="21" t="s">
        <v>210</v>
      </c>
      <c r="F63" s="19" t="s">
        <v>211</v>
      </c>
      <c r="G63" s="20">
        <v>11841954</v>
      </c>
    </row>
    <row r="64" spans="2:7" x14ac:dyDescent="0.25">
      <c r="B64" s="54" t="s">
        <v>212</v>
      </c>
      <c r="C64" s="55" t="s">
        <v>213</v>
      </c>
      <c r="D64" s="55">
        <f>[15]Amortizaciones!D6</f>
        <v>7480046</v>
      </c>
      <c r="E64" s="21" t="s">
        <v>214</v>
      </c>
      <c r="F64" s="19" t="s">
        <v>215</v>
      </c>
      <c r="G64" s="20">
        <v>1291378</v>
      </c>
    </row>
    <row r="65" spans="2:7" x14ac:dyDescent="0.25">
      <c r="B65" s="54" t="s">
        <v>216</v>
      </c>
      <c r="C65" s="55" t="s">
        <v>217</v>
      </c>
      <c r="D65" s="55">
        <f>[15]Amortizaciones!D7</f>
        <v>0</v>
      </c>
      <c r="E65" s="21" t="s">
        <v>218</v>
      </c>
      <c r="F65" s="19" t="s">
        <v>219</v>
      </c>
      <c r="G65" s="20">
        <v>4849832</v>
      </c>
    </row>
    <row r="66" spans="2:7" x14ac:dyDescent="0.25">
      <c r="B66" s="54" t="s">
        <v>220</v>
      </c>
      <c r="C66" s="55" t="s">
        <v>221</v>
      </c>
      <c r="D66" s="55">
        <f>[15]Amortizaciones!D8</f>
        <v>5248272</v>
      </c>
      <c r="E66" s="21" t="s">
        <v>222</v>
      </c>
      <c r="F66" s="19" t="s">
        <v>223</v>
      </c>
      <c r="G66" s="20">
        <v>11324165</v>
      </c>
    </row>
    <row r="67" spans="2:7" x14ac:dyDescent="0.25">
      <c r="B67" s="54" t="s">
        <v>224</v>
      </c>
      <c r="C67" s="55" t="s">
        <v>225</v>
      </c>
      <c r="D67" s="55">
        <f>[15]Amortizaciones!D9</f>
        <v>0</v>
      </c>
      <c r="E67" s="21" t="s">
        <v>226</v>
      </c>
      <c r="F67" s="19" t="s">
        <v>227</v>
      </c>
      <c r="G67" s="20">
        <v>248798</v>
      </c>
    </row>
    <row r="68" spans="2:7" x14ac:dyDescent="0.25">
      <c r="B68" s="54" t="s">
        <v>228</v>
      </c>
      <c r="C68" s="55" t="s">
        <v>229</v>
      </c>
      <c r="D68" s="55">
        <f>[15]Amortizaciones!D10</f>
        <v>1135468</v>
      </c>
      <c r="E68" s="21" t="s">
        <v>230</v>
      </c>
      <c r="F68" s="19" t="s">
        <v>231</v>
      </c>
      <c r="G68" s="20">
        <v>171622</v>
      </c>
    </row>
    <row r="69" spans="2:7" x14ac:dyDescent="0.25">
      <c r="B69" s="54" t="s">
        <v>232</v>
      </c>
      <c r="C69" s="55" t="s">
        <v>233</v>
      </c>
      <c r="D69" s="55">
        <f>[15]Amortizaciones!D11</f>
        <v>503963</v>
      </c>
      <c r="E69" s="21" t="s">
        <v>234</v>
      </c>
      <c r="F69" s="19" t="s">
        <v>235</v>
      </c>
      <c r="G69" s="20">
        <v>2522185</v>
      </c>
    </row>
    <row r="70" spans="2:7" x14ac:dyDescent="0.25">
      <c r="B70" s="54" t="s">
        <v>236</v>
      </c>
      <c r="C70" s="55" t="s">
        <v>237</v>
      </c>
      <c r="D70" s="55">
        <f>[15]Amortizaciones!D12</f>
        <v>657041</v>
      </c>
      <c r="E70" s="21" t="s">
        <v>238</v>
      </c>
      <c r="F70" s="19" t="s">
        <v>239</v>
      </c>
      <c r="G70" s="20">
        <v>915309</v>
      </c>
    </row>
    <row r="71" spans="2:7" x14ac:dyDescent="0.25">
      <c r="B71" s="54" t="s">
        <v>240</v>
      </c>
      <c r="C71" s="55" t="s">
        <v>241</v>
      </c>
      <c r="D71" s="55">
        <f>[15]Amortizaciones!D13</f>
        <v>59820</v>
      </c>
      <c r="E71" s="21" t="s">
        <v>242</v>
      </c>
      <c r="F71" s="19" t="s">
        <v>243</v>
      </c>
      <c r="G71" s="20">
        <v>0</v>
      </c>
    </row>
    <row r="72" spans="2:7" x14ac:dyDescent="0.25">
      <c r="B72" s="54" t="s">
        <v>244</v>
      </c>
      <c r="C72" s="55" t="s">
        <v>245</v>
      </c>
      <c r="D72" s="55">
        <f>[15]Amortizaciones!D14</f>
        <v>700205</v>
      </c>
      <c r="E72" s="21" t="s">
        <v>246</v>
      </c>
      <c r="F72" s="19" t="s">
        <v>247</v>
      </c>
      <c r="G72" s="20">
        <v>13409730</v>
      </c>
    </row>
    <row r="73" spans="2:7" x14ac:dyDescent="0.25">
      <c r="B73" s="54" t="s">
        <v>248</v>
      </c>
      <c r="C73" s="55" t="s">
        <v>249</v>
      </c>
      <c r="D73" s="55">
        <f>[15]Amortizaciones!D15</f>
        <v>0</v>
      </c>
      <c r="E73" s="21" t="s">
        <v>250</v>
      </c>
      <c r="F73" s="19" t="s">
        <v>251</v>
      </c>
      <c r="G73" s="20">
        <v>9438941</v>
      </c>
    </row>
    <row r="74" spans="2:7" x14ac:dyDescent="0.25">
      <c r="B74" s="54" t="s">
        <v>252</v>
      </c>
      <c r="C74" s="55" t="s">
        <v>253</v>
      </c>
      <c r="D74" s="55">
        <f>[15]Amortizaciones!D16</f>
        <v>0</v>
      </c>
      <c r="E74" s="21" t="s">
        <v>254</v>
      </c>
      <c r="F74" s="19" t="s">
        <v>255</v>
      </c>
      <c r="G74" s="20">
        <v>0</v>
      </c>
    </row>
    <row r="75" spans="2:7" x14ac:dyDescent="0.25">
      <c r="B75" s="54" t="s">
        <v>256</v>
      </c>
      <c r="C75" s="55" t="s">
        <v>257</v>
      </c>
      <c r="D75" s="55">
        <f>[15]Amortizaciones!D17</f>
        <v>0</v>
      </c>
      <c r="E75" s="21" t="s">
        <v>258</v>
      </c>
      <c r="F75" s="19" t="s">
        <v>259</v>
      </c>
      <c r="G75" s="20">
        <v>4686530</v>
      </c>
    </row>
    <row r="76" spans="2:7" x14ac:dyDescent="0.25">
      <c r="B76" s="54" t="s">
        <v>260</v>
      </c>
      <c r="C76" s="55" t="s">
        <v>261</v>
      </c>
      <c r="D76" s="55">
        <f>[15]Amortizaciones!D18</f>
        <v>0</v>
      </c>
      <c r="E76" s="21" t="s">
        <v>262</v>
      </c>
      <c r="F76" s="19" t="s">
        <v>263</v>
      </c>
      <c r="G76" s="20">
        <v>40437159</v>
      </c>
    </row>
    <row r="77" spans="2:7" x14ac:dyDescent="0.25">
      <c r="B77" s="54" t="s">
        <v>264</v>
      </c>
      <c r="C77" s="55" t="s">
        <v>265</v>
      </c>
      <c r="D77" s="55">
        <f>SUM(D64:D76)</f>
        <v>15784815</v>
      </c>
      <c r="E77" s="21" t="s">
        <v>266</v>
      </c>
      <c r="F77" s="19" t="s">
        <v>267</v>
      </c>
      <c r="G77" s="20">
        <v>20863367</v>
      </c>
    </row>
    <row r="78" spans="2:7" x14ac:dyDescent="0.25">
      <c r="B78" s="54"/>
      <c r="C78" s="55"/>
      <c r="D78" s="55"/>
      <c r="E78" s="21" t="s">
        <v>268</v>
      </c>
      <c r="F78" s="19" t="s">
        <v>269</v>
      </c>
      <c r="G78" s="27">
        <v>10639849</v>
      </c>
    </row>
    <row r="79" spans="2:7" ht="15.75" thickBot="1" x14ac:dyDescent="0.3">
      <c r="B79" s="54"/>
      <c r="C79" s="53" t="s">
        <v>270</v>
      </c>
      <c r="D79" s="56"/>
      <c r="E79" s="21"/>
      <c r="F79" s="28" t="s">
        <v>271</v>
      </c>
      <c r="G79" s="29">
        <f>SUM(G58:G78)</f>
        <v>195557789</v>
      </c>
    </row>
    <row r="80" spans="2:7" x14ac:dyDescent="0.25">
      <c r="B80" s="54" t="s">
        <v>272</v>
      </c>
      <c r="C80" s="55" t="s">
        <v>237</v>
      </c>
      <c r="D80" s="55">
        <f>[15]Amortizaciones!D22</f>
        <v>281590</v>
      </c>
      <c r="E80" s="21" t="s">
        <v>273</v>
      </c>
      <c r="F80" s="22" t="s">
        <v>274</v>
      </c>
      <c r="G80" s="23">
        <v>9172997</v>
      </c>
    </row>
    <row r="81" spans="2:7" x14ac:dyDescent="0.25">
      <c r="B81" s="54" t="s">
        <v>275</v>
      </c>
      <c r="C81" s="55" t="s">
        <v>241</v>
      </c>
      <c r="D81" s="55">
        <f>[15]Amortizaciones!D23</f>
        <v>0</v>
      </c>
      <c r="E81" s="21" t="s">
        <v>276</v>
      </c>
      <c r="F81" s="19" t="s">
        <v>277</v>
      </c>
      <c r="G81" s="20">
        <v>4627969</v>
      </c>
    </row>
    <row r="82" spans="2:7" x14ac:dyDescent="0.25">
      <c r="B82" s="54" t="s">
        <v>278</v>
      </c>
      <c r="C82" s="55" t="s">
        <v>245</v>
      </c>
      <c r="D82" s="55">
        <f>[15]Amortizaciones!D24</f>
        <v>300087</v>
      </c>
      <c r="E82" s="21" t="s">
        <v>279</v>
      </c>
      <c r="F82" s="19" t="s">
        <v>280</v>
      </c>
      <c r="G82" s="20">
        <v>1110149</v>
      </c>
    </row>
    <row r="83" spans="2:7" x14ac:dyDescent="0.25">
      <c r="B83" s="54" t="s">
        <v>281</v>
      </c>
      <c r="C83" s="55" t="s">
        <v>249</v>
      </c>
      <c r="D83" s="55">
        <f>[15]Amortizaciones!D25</f>
        <v>0</v>
      </c>
      <c r="E83" s="21" t="s">
        <v>282</v>
      </c>
      <c r="F83" s="19" t="s">
        <v>283</v>
      </c>
      <c r="G83" s="20">
        <v>5264227</v>
      </c>
    </row>
    <row r="84" spans="2:7" x14ac:dyDescent="0.25">
      <c r="B84" s="54" t="s">
        <v>284</v>
      </c>
      <c r="C84" s="55" t="s">
        <v>285</v>
      </c>
      <c r="D84" s="55">
        <v>0</v>
      </c>
      <c r="E84" s="21" t="s">
        <v>286</v>
      </c>
      <c r="F84" s="19" t="s">
        <v>287</v>
      </c>
      <c r="G84" s="20">
        <v>9043578</v>
      </c>
    </row>
    <row r="85" spans="2:7" x14ac:dyDescent="0.25">
      <c r="B85" s="54" t="s">
        <v>288</v>
      </c>
      <c r="C85" s="55" t="s">
        <v>289</v>
      </c>
      <c r="D85" s="55">
        <f>[15]Amortizaciones!D27</f>
        <v>0</v>
      </c>
      <c r="E85" s="21" t="s">
        <v>290</v>
      </c>
      <c r="F85" s="19" t="s">
        <v>291</v>
      </c>
      <c r="G85" s="20">
        <v>736300</v>
      </c>
    </row>
    <row r="86" spans="2:7" x14ac:dyDescent="0.25">
      <c r="B86" s="54" t="s">
        <v>292</v>
      </c>
      <c r="C86" s="55" t="s">
        <v>293</v>
      </c>
      <c r="D86" s="55">
        <f>[15]Amortizaciones!D28</f>
        <v>0</v>
      </c>
      <c r="E86" s="21" t="s">
        <v>294</v>
      </c>
      <c r="F86" s="19" t="s">
        <v>295</v>
      </c>
      <c r="G86" s="20">
        <v>60930</v>
      </c>
    </row>
    <row r="87" spans="2:7" x14ac:dyDescent="0.25">
      <c r="B87" s="54" t="s">
        <v>296</v>
      </c>
      <c r="C87" s="55" t="s">
        <v>297</v>
      </c>
      <c r="D87" s="55">
        <f>[15]Amortizaciones!D29</f>
        <v>0</v>
      </c>
      <c r="E87" s="21" t="s">
        <v>298</v>
      </c>
      <c r="F87" s="19" t="s">
        <v>299</v>
      </c>
      <c r="G87" s="20">
        <v>1198086</v>
      </c>
    </row>
    <row r="88" spans="2:7" x14ac:dyDescent="0.25">
      <c r="B88" s="54" t="s">
        <v>300</v>
      </c>
      <c r="C88" s="55" t="s">
        <v>301</v>
      </c>
      <c r="D88" s="55">
        <f>[15]Amortizaciones!D30</f>
        <v>0</v>
      </c>
      <c r="E88" s="21" t="s">
        <v>302</v>
      </c>
      <c r="F88" s="19" t="s">
        <v>303</v>
      </c>
      <c r="G88" s="20">
        <v>1847205</v>
      </c>
    </row>
    <row r="89" spans="2:7" x14ac:dyDescent="0.25">
      <c r="B89" s="54" t="s">
        <v>304</v>
      </c>
      <c r="C89" s="55" t="s">
        <v>213</v>
      </c>
      <c r="D89" s="55">
        <f>[15]Amortizaciones!D31</f>
        <v>1870011</v>
      </c>
      <c r="E89" s="21" t="s">
        <v>305</v>
      </c>
      <c r="F89" s="19" t="s">
        <v>306</v>
      </c>
      <c r="G89" s="20">
        <v>35708043</v>
      </c>
    </row>
    <row r="90" spans="2:7" x14ac:dyDescent="0.25">
      <c r="B90" s="54" t="s">
        <v>307</v>
      </c>
      <c r="C90" s="55" t="s">
        <v>229</v>
      </c>
      <c r="D90" s="55">
        <f>[15]Amortizaciones!D32</f>
        <v>126164</v>
      </c>
      <c r="E90" s="21" t="s">
        <v>308</v>
      </c>
      <c r="F90" s="19" t="s">
        <v>309</v>
      </c>
      <c r="G90" s="20">
        <v>294810</v>
      </c>
    </row>
    <row r="91" spans="2:7" x14ac:dyDescent="0.25">
      <c r="B91" s="54" t="s">
        <v>310</v>
      </c>
      <c r="C91" s="55" t="s">
        <v>311</v>
      </c>
      <c r="D91" s="55">
        <f>SUM(D80:D90)</f>
        <v>2577852</v>
      </c>
      <c r="E91" s="52" t="s">
        <v>312</v>
      </c>
      <c r="F91" s="19" t="s">
        <v>313</v>
      </c>
      <c r="G91" s="20">
        <v>0</v>
      </c>
    </row>
    <row r="92" spans="2:7" x14ac:dyDescent="0.25">
      <c r="B92" s="54"/>
      <c r="C92" s="57" t="s">
        <v>314</v>
      </c>
      <c r="D92" s="55">
        <f>D77+D91</f>
        <v>18362667</v>
      </c>
      <c r="E92" s="52" t="s">
        <v>315</v>
      </c>
      <c r="F92" s="19" t="s">
        <v>316</v>
      </c>
      <c r="G92" s="20">
        <v>0</v>
      </c>
    </row>
    <row r="93" spans="2:7" x14ac:dyDescent="0.25">
      <c r="E93" s="52" t="s">
        <v>317</v>
      </c>
      <c r="F93" s="19" t="s">
        <v>318</v>
      </c>
      <c r="G93" s="20">
        <v>1658366</v>
      </c>
    </row>
    <row r="94" spans="2:7" x14ac:dyDescent="0.25">
      <c r="E94" s="52" t="s">
        <v>319</v>
      </c>
      <c r="F94" s="19" t="s">
        <v>320</v>
      </c>
      <c r="G94" s="27">
        <v>3732522</v>
      </c>
    </row>
    <row r="95" spans="2:7" ht="13.5" customHeight="1" thickBot="1" x14ac:dyDescent="0.3">
      <c r="E95" s="21"/>
      <c r="F95" s="28" t="s">
        <v>321</v>
      </c>
      <c r="G95" s="29">
        <f>SUM(G80:G94)</f>
        <v>74455182</v>
      </c>
    </row>
    <row r="96" spans="2:7" x14ac:dyDescent="0.25">
      <c r="E96" s="52" t="s">
        <v>322</v>
      </c>
      <c r="F96" s="22" t="s">
        <v>323</v>
      </c>
      <c r="G96" s="23">
        <v>5288776</v>
      </c>
    </row>
    <row r="97" spans="2:7" x14ac:dyDescent="0.25">
      <c r="E97" s="52" t="s">
        <v>324</v>
      </c>
      <c r="F97" s="19" t="s">
        <v>325</v>
      </c>
      <c r="G97" s="20">
        <v>4111498</v>
      </c>
    </row>
    <row r="98" spans="2:7" x14ac:dyDescent="0.25">
      <c r="E98" s="52" t="s">
        <v>326</v>
      </c>
      <c r="F98" s="19" t="s">
        <v>327</v>
      </c>
      <c r="G98" s="20">
        <v>790861</v>
      </c>
    </row>
    <row r="99" spans="2:7" x14ac:dyDescent="0.25">
      <c r="E99" s="52" t="s">
        <v>328</v>
      </c>
      <c r="F99" s="19" t="s">
        <v>329</v>
      </c>
      <c r="G99" s="20">
        <v>28379</v>
      </c>
    </row>
    <row r="100" spans="2:7" x14ac:dyDescent="0.25">
      <c r="E100" s="52" t="s">
        <v>330</v>
      </c>
      <c r="F100" s="19" t="s">
        <v>331</v>
      </c>
      <c r="G100" s="27">
        <v>604700</v>
      </c>
    </row>
    <row r="101" spans="2:7" ht="15.75" thickBot="1" x14ac:dyDescent="0.3">
      <c r="E101" s="21"/>
      <c r="F101" s="28" t="s">
        <v>332</v>
      </c>
      <c r="G101" s="29">
        <f>SUM(G96:G100)</f>
        <v>10824214</v>
      </c>
    </row>
    <row r="102" spans="2:7" ht="15.75" thickBot="1" x14ac:dyDescent="0.3">
      <c r="E102" s="52"/>
      <c r="F102" s="59" t="s">
        <v>333</v>
      </c>
      <c r="G102" s="60">
        <f>[15]Amortizaciones!D19</f>
        <v>15784815</v>
      </c>
    </row>
    <row r="103" spans="2:7" x14ac:dyDescent="0.25">
      <c r="E103" s="52" t="s">
        <v>334</v>
      </c>
      <c r="F103" s="19" t="s">
        <v>335</v>
      </c>
      <c r="G103" s="23">
        <v>0</v>
      </c>
    </row>
    <row r="104" spans="2:7" x14ac:dyDescent="0.25">
      <c r="E104" s="52" t="s">
        <v>336</v>
      </c>
      <c r="F104" s="61" t="s">
        <v>337</v>
      </c>
      <c r="G104" s="20">
        <v>0</v>
      </c>
    </row>
    <row r="105" spans="2:7" ht="15.75" thickBot="1" x14ac:dyDescent="0.3">
      <c r="E105" s="21"/>
      <c r="F105" s="28" t="s">
        <v>338</v>
      </c>
      <c r="G105" s="29">
        <f>SUM(G103:G104)</f>
        <v>0</v>
      </c>
    </row>
    <row r="106" spans="2:7" ht="13.7" customHeight="1" thickBot="1" x14ac:dyDescent="0.3">
      <c r="B106" s="6"/>
      <c r="C106" s="62"/>
      <c r="D106" s="62"/>
      <c r="E106" s="52"/>
      <c r="F106" s="48" t="s">
        <v>339</v>
      </c>
      <c r="G106" s="49">
        <f>G19+G27+G32+G48+G57+G79+G95+G101+G102+G105</f>
        <v>1529204425</v>
      </c>
    </row>
    <row r="107" spans="2:7" ht="13.7" customHeight="1" x14ac:dyDescent="0.25">
      <c r="B107" s="6"/>
      <c r="C107" s="62"/>
      <c r="D107" s="62"/>
      <c r="E107" s="21"/>
      <c r="F107" s="63"/>
      <c r="G107" s="64"/>
    </row>
    <row r="108" spans="2:7" ht="13.7" customHeight="1" thickBot="1" x14ac:dyDescent="0.3">
      <c r="B108" s="6"/>
      <c r="C108" s="62"/>
      <c r="D108" s="62"/>
      <c r="E108" s="21"/>
    </row>
    <row r="109" spans="2:7" ht="13.7" customHeight="1" thickBot="1" x14ac:dyDescent="0.3">
      <c r="B109" s="6"/>
      <c r="C109" s="62"/>
      <c r="D109" s="62"/>
      <c r="E109" s="21"/>
      <c r="F109" s="13" t="s">
        <v>340</v>
      </c>
      <c r="G109" s="65">
        <f>D61-G106</f>
        <v>201166453</v>
      </c>
    </row>
    <row r="110" spans="2:7" ht="13.7" customHeight="1" thickBot="1" x14ac:dyDescent="0.3">
      <c r="B110" s="6"/>
      <c r="C110" s="62"/>
      <c r="D110" s="62"/>
      <c r="E110" s="21"/>
    </row>
    <row r="111" spans="2:7" ht="13.7" customHeight="1" thickBot="1" x14ac:dyDescent="0.3">
      <c r="C111" s="48" t="s">
        <v>270</v>
      </c>
      <c r="D111" s="17">
        <f>+[15]E.S.P.!D6</f>
        <v>2020</v>
      </c>
      <c r="E111" s="52"/>
      <c r="F111" s="48" t="s">
        <v>341</v>
      </c>
      <c r="G111" s="17">
        <f>+[15]E.S.P.!D6</f>
        <v>2020</v>
      </c>
    </row>
    <row r="112" spans="2:7" ht="13.7" customHeight="1" x14ac:dyDescent="0.25">
      <c r="B112" s="6" t="s">
        <v>342</v>
      </c>
      <c r="C112" s="66" t="s">
        <v>343</v>
      </c>
      <c r="D112" s="67">
        <v>6076297</v>
      </c>
      <c r="E112" s="21" t="s">
        <v>344</v>
      </c>
      <c r="F112" s="66" t="s">
        <v>309</v>
      </c>
      <c r="G112" s="67">
        <v>0</v>
      </c>
    </row>
    <row r="113" spans="2:7" ht="13.7" customHeight="1" x14ac:dyDescent="0.25">
      <c r="B113" s="6" t="s">
        <v>345</v>
      </c>
      <c r="C113" s="68" t="s">
        <v>346</v>
      </c>
      <c r="D113" s="69">
        <v>103311059</v>
      </c>
      <c r="E113" s="21" t="s">
        <v>347</v>
      </c>
      <c r="F113" s="68" t="s">
        <v>348</v>
      </c>
      <c r="G113" s="69">
        <v>0</v>
      </c>
    </row>
    <row r="114" spans="2:7" ht="13.7" customHeight="1" x14ac:dyDescent="0.25">
      <c r="B114" s="6" t="s">
        <v>349</v>
      </c>
      <c r="C114" s="68" t="s">
        <v>48</v>
      </c>
      <c r="D114" s="69">
        <v>607178</v>
      </c>
      <c r="E114" s="21" t="s">
        <v>350</v>
      </c>
      <c r="F114" s="68" t="s">
        <v>351</v>
      </c>
      <c r="G114" s="69">
        <v>0</v>
      </c>
    </row>
    <row r="115" spans="2:7" ht="13.7" customHeight="1" x14ac:dyDescent="0.25">
      <c r="B115" s="6" t="s">
        <v>352</v>
      </c>
      <c r="C115" s="68" t="s">
        <v>353</v>
      </c>
      <c r="D115" s="69">
        <v>1707702</v>
      </c>
      <c r="E115" s="21" t="s">
        <v>354</v>
      </c>
      <c r="F115" s="68" t="s">
        <v>355</v>
      </c>
      <c r="G115" s="69">
        <v>0</v>
      </c>
    </row>
    <row r="116" spans="2:7" ht="13.7" customHeight="1" x14ac:dyDescent="0.25">
      <c r="B116" s="6" t="s">
        <v>356</v>
      </c>
      <c r="C116" s="68" t="s">
        <v>357</v>
      </c>
      <c r="D116" s="69">
        <v>3872136</v>
      </c>
      <c r="E116" s="21" t="s">
        <v>358</v>
      </c>
      <c r="F116" s="68" t="s">
        <v>359</v>
      </c>
      <c r="G116" s="69">
        <v>1513549</v>
      </c>
    </row>
    <row r="117" spans="2:7" ht="13.7" customHeight="1" x14ac:dyDescent="0.25">
      <c r="B117" s="6" t="s">
        <v>360</v>
      </c>
      <c r="C117" s="68" t="s">
        <v>361</v>
      </c>
      <c r="D117" s="69">
        <v>0</v>
      </c>
      <c r="E117" s="21" t="s">
        <v>362</v>
      </c>
      <c r="F117" s="68" t="s">
        <v>363</v>
      </c>
      <c r="G117" s="69">
        <v>0</v>
      </c>
    </row>
    <row r="118" spans="2:7" ht="13.7" customHeight="1" x14ac:dyDescent="0.25">
      <c r="B118" s="6" t="s">
        <v>364</v>
      </c>
      <c r="C118" s="68" t="s">
        <v>365</v>
      </c>
      <c r="D118" s="69">
        <v>0</v>
      </c>
      <c r="E118" s="21" t="s">
        <v>366</v>
      </c>
      <c r="F118" s="68" t="s">
        <v>367</v>
      </c>
      <c r="G118" s="69">
        <v>0</v>
      </c>
    </row>
    <row r="119" spans="2:7" ht="13.7" customHeight="1" x14ac:dyDescent="0.25">
      <c r="B119" s="6" t="s">
        <v>368</v>
      </c>
      <c r="C119" s="68" t="s">
        <v>369</v>
      </c>
      <c r="D119" s="69">
        <v>0</v>
      </c>
      <c r="E119" s="21" t="s">
        <v>370</v>
      </c>
      <c r="F119" s="68" t="s">
        <v>371</v>
      </c>
      <c r="G119" s="69">
        <v>0</v>
      </c>
    </row>
    <row r="120" spans="2:7" ht="13.7" customHeight="1" x14ac:dyDescent="0.25">
      <c r="B120" s="6" t="s">
        <v>372</v>
      </c>
      <c r="C120" s="68" t="s">
        <v>373</v>
      </c>
      <c r="D120" s="69">
        <v>0</v>
      </c>
      <c r="E120" s="21" t="s">
        <v>374</v>
      </c>
      <c r="F120" s="68" t="s">
        <v>375</v>
      </c>
      <c r="G120" s="69">
        <v>0</v>
      </c>
    </row>
    <row r="121" spans="2:7" ht="13.7" customHeight="1" x14ac:dyDescent="0.25">
      <c r="B121" s="6" t="s">
        <v>376</v>
      </c>
      <c r="C121" s="19" t="s">
        <v>377</v>
      </c>
      <c r="D121" s="69">
        <v>6564199</v>
      </c>
      <c r="E121" s="21" t="s">
        <v>378</v>
      </c>
      <c r="F121" s="68" t="s">
        <v>379</v>
      </c>
      <c r="G121" s="69">
        <v>33039028</v>
      </c>
    </row>
    <row r="122" spans="2:7" ht="13.7" customHeight="1" thickBot="1" x14ac:dyDescent="0.3">
      <c r="B122" s="6"/>
      <c r="C122" s="28" t="s">
        <v>380</v>
      </c>
      <c r="D122" s="37">
        <f>SUM(D112:D121)</f>
        <v>122138571</v>
      </c>
      <c r="E122" s="21" t="s">
        <v>381</v>
      </c>
      <c r="F122" s="19" t="s">
        <v>382</v>
      </c>
      <c r="G122" s="20">
        <v>1088834</v>
      </c>
    </row>
    <row r="123" spans="2:7" ht="13.7" customHeight="1" thickBot="1" x14ac:dyDescent="0.3">
      <c r="B123" s="6" t="s">
        <v>383</v>
      </c>
      <c r="C123" s="70" t="s">
        <v>309</v>
      </c>
      <c r="D123" s="67">
        <v>0</v>
      </c>
      <c r="E123" s="52"/>
      <c r="F123" s="28" t="s">
        <v>384</v>
      </c>
      <c r="G123" s="37">
        <f>SUM(G112:G122)</f>
        <v>35641411</v>
      </c>
    </row>
    <row r="124" spans="2:7" ht="13.7" customHeight="1" x14ac:dyDescent="0.25">
      <c r="B124" s="6" t="s">
        <v>385</v>
      </c>
      <c r="C124" s="68" t="s">
        <v>313</v>
      </c>
      <c r="D124" s="69">
        <v>0</v>
      </c>
      <c r="E124" s="21" t="s">
        <v>386</v>
      </c>
      <c r="F124" s="68" t="s">
        <v>387</v>
      </c>
      <c r="G124" s="69">
        <v>29975018</v>
      </c>
    </row>
    <row r="125" spans="2:7" ht="13.7" customHeight="1" x14ac:dyDescent="0.25">
      <c r="B125" s="6" t="s">
        <v>388</v>
      </c>
      <c r="C125" s="19" t="s">
        <v>389</v>
      </c>
      <c r="D125" s="69">
        <v>0</v>
      </c>
      <c r="E125" s="21" t="s">
        <v>390</v>
      </c>
      <c r="F125" s="68" t="s">
        <v>391</v>
      </c>
      <c r="G125" s="69">
        <v>955341</v>
      </c>
    </row>
    <row r="126" spans="2:7" ht="13.7" customHeight="1" thickBot="1" x14ac:dyDescent="0.3">
      <c r="B126" s="6"/>
      <c r="C126" s="28" t="s">
        <v>392</v>
      </c>
      <c r="D126" s="37">
        <f>SUM(D123:D125)</f>
        <v>0</v>
      </c>
      <c r="E126" s="21" t="s">
        <v>393</v>
      </c>
      <c r="F126" s="68" t="s">
        <v>394</v>
      </c>
      <c r="G126" s="69">
        <v>0</v>
      </c>
    </row>
    <row r="127" spans="2:7" ht="13.7" customHeight="1" x14ac:dyDescent="0.25">
      <c r="B127" s="6" t="s">
        <v>395</v>
      </c>
      <c r="C127" s="66" t="s">
        <v>274</v>
      </c>
      <c r="D127" s="67">
        <v>0</v>
      </c>
      <c r="E127" s="21" t="s">
        <v>396</v>
      </c>
      <c r="F127" s="68" t="s">
        <v>397</v>
      </c>
      <c r="G127" s="69">
        <v>0</v>
      </c>
    </row>
    <row r="128" spans="2:7" ht="13.7" customHeight="1" x14ac:dyDescent="0.25">
      <c r="B128" s="6" t="s">
        <v>398</v>
      </c>
      <c r="C128" s="68" t="s">
        <v>399</v>
      </c>
      <c r="D128" s="69">
        <v>3505352</v>
      </c>
      <c r="E128" s="21" t="s">
        <v>400</v>
      </c>
      <c r="F128" s="68" t="s">
        <v>401</v>
      </c>
      <c r="G128" s="69">
        <v>0</v>
      </c>
    </row>
    <row r="129" spans="2:7" ht="13.7" customHeight="1" x14ac:dyDescent="0.25">
      <c r="B129" s="6" t="s">
        <v>402</v>
      </c>
      <c r="C129" s="68" t="s">
        <v>277</v>
      </c>
      <c r="D129" s="69">
        <v>0</v>
      </c>
      <c r="E129" s="21" t="s">
        <v>403</v>
      </c>
      <c r="F129" s="68" t="s">
        <v>404</v>
      </c>
      <c r="G129" s="69">
        <v>1261</v>
      </c>
    </row>
    <row r="130" spans="2:7" ht="13.7" customHeight="1" x14ac:dyDescent="0.25">
      <c r="B130" s="6" t="s">
        <v>405</v>
      </c>
      <c r="C130" s="68" t="s">
        <v>283</v>
      </c>
      <c r="D130" s="69">
        <v>0</v>
      </c>
      <c r="E130" s="21" t="s">
        <v>406</v>
      </c>
      <c r="F130" s="68" t="s">
        <v>407</v>
      </c>
      <c r="G130" s="69">
        <v>0</v>
      </c>
    </row>
    <row r="131" spans="2:7" ht="13.7" customHeight="1" x14ac:dyDescent="0.25">
      <c r="B131" s="6" t="s">
        <v>408</v>
      </c>
      <c r="C131" s="68" t="s">
        <v>287</v>
      </c>
      <c r="D131" s="69">
        <v>0</v>
      </c>
      <c r="E131" s="21" t="s">
        <v>409</v>
      </c>
      <c r="F131" s="68" t="s">
        <v>410</v>
      </c>
      <c r="G131" s="69">
        <v>167693</v>
      </c>
    </row>
    <row r="132" spans="2:7" ht="13.7" customHeight="1" x14ac:dyDescent="0.25">
      <c r="B132" s="6" t="s">
        <v>411</v>
      </c>
      <c r="C132" s="68" t="s">
        <v>291</v>
      </c>
      <c r="D132" s="69">
        <v>0</v>
      </c>
      <c r="E132" s="21" t="s">
        <v>412</v>
      </c>
      <c r="F132" s="68" t="s">
        <v>413</v>
      </c>
      <c r="G132" s="69">
        <v>46810</v>
      </c>
    </row>
    <row r="133" spans="2:7" ht="13.7" customHeight="1" x14ac:dyDescent="0.25">
      <c r="B133" s="6" t="s">
        <v>414</v>
      </c>
      <c r="C133" s="68" t="s">
        <v>295</v>
      </c>
      <c r="D133" s="69">
        <v>6734741</v>
      </c>
      <c r="E133" s="21" t="s">
        <v>415</v>
      </c>
      <c r="F133" s="68" t="s">
        <v>416</v>
      </c>
      <c r="G133" s="69">
        <v>0</v>
      </c>
    </row>
    <row r="134" spans="2:7" ht="13.7" customHeight="1" x14ac:dyDescent="0.25">
      <c r="B134" s="6" t="s">
        <v>417</v>
      </c>
      <c r="C134" s="68" t="s">
        <v>418</v>
      </c>
      <c r="D134" s="69">
        <v>644049</v>
      </c>
      <c r="E134" s="21" t="s">
        <v>419</v>
      </c>
      <c r="F134" s="68" t="s">
        <v>420</v>
      </c>
      <c r="G134" s="69">
        <v>0</v>
      </c>
    </row>
    <row r="135" spans="2:7" ht="13.7" customHeight="1" x14ac:dyDescent="0.25">
      <c r="B135" s="6" t="s">
        <v>421</v>
      </c>
      <c r="C135" s="68" t="s">
        <v>422</v>
      </c>
      <c r="D135" s="69">
        <v>19553534</v>
      </c>
      <c r="E135" s="21" t="s">
        <v>423</v>
      </c>
      <c r="F135" s="68" t="s">
        <v>424</v>
      </c>
      <c r="G135" s="69">
        <v>0</v>
      </c>
    </row>
    <row r="136" spans="2:7" ht="13.7" customHeight="1" x14ac:dyDescent="0.25">
      <c r="B136" s="6" t="s">
        <v>425</v>
      </c>
      <c r="C136" s="68" t="s">
        <v>318</v>
      </c>
      <c r="D136" s="69">
        <v>883204</v>
      </c>
      <c r="E136" s="21" t="s">
        <v>426</v>
      </c>
      <c r="F136" s="68" t="s">
        <v>427</v>
      </c>
      <c r="G136" s="69">
        <v>0</v>
      </c>
    </row>
    <row r="137" spans="2:7" ht="13.7" customHeight="1" x14ac:dyDescent="0.25">
      <c r="B137" s="6" t="s">
        <v>428</v>
      </c>
      <c r="C137" s="19" t="s">
        <v>320</v>
      </c>
      <c r="D137" s="71">
        <v>1707222</v>
      </c>
      <c r="E137" s="21" t="s">
        <v>429</v>
      </c>
      <c r="F137" s="68" t="s">
        <v>430</v>
      </c>
      <c r="G137" s="69">
        <v>1497322</v>
      </c>
    </row>
    <row r="138" spans="2:7" ht="13.7" customHeight="1" thickBot="1" x14ac:dyDescent="0.3">
      <c r="B138" s="6"/>
      <c r="C138" s="28" t="s">
        <v>321</v>
      </c>
      <c r="D138" s="37">
        <f>SUM(D127:D137)</f>
        <v>33028102</v>
      </c>
      <c r="E138" s="21" t="s">
        <v>431</v>
      </c>
      <c r="F138" s="19" t="s">
        <v>432</v>
      </c>
      <c r="G138" s="20">
        <v>1750407</v>
      </c>
    </row>
    <row r="139" spans="2:7" ht="13.7" customHeight="1" thickBot="1" x14ac:dyDescent="0.3">
      <c r="B139" s="6" t="s">
        <v>433</v>
      </c>
      <c r="C139" s="66" t="s">
        <v>327</v>
      </c>
      <c r="D139" s="67">
        <v>0</v>
      </c>
      <c r="E139" s="7"/>
      <c r="F139" s="28" t="s">
        <v>434</v>
      </c>
      <c r="G139" s="37">
        <f>SUM(G124:G138)</f>
        <v>34393852</v>
      </c>
    </row>
    <row r="140" spans="2:7" ht="13.7" customHeight="1" thickBot="1" x14ac:dyDescent="0.3">
      <c r="B140" s="6" t="s">
        <v>435</v>
      </c>
      <c r="C140" s="68" t="s">
        <v>329</v>
      </c>
      <c r="D140" s="69">
        <v>0</v>
      </c>
      <c r="E140" s="7"/>
      <c r="F140" s="48" t="s">
        <v>436</v>
      </c>
      <c r="G140" s="72">
        <f>G123-G139</f>
        <v>1247559</v>
      </c>
    </row>
    <row r="141" spans="2:7" ht="13.7" customHeight="1" x14ac:dyDescent="0.25">
      <c r="B141" s="6" t="s">
        <v>437</v>
      </c>
      <c r="C141" s="19" t="s">
        <v>331</v>
      </c>
      <c r="D141" s="71">
        <v>0</v>
      </c>
      <c r="E141" s="73"/>
    </row>
    <row r="142" spans="2:7" ht="13.7" customHeight="1" thickBot="1" x14ac:dyDescent="0.3">
      <c r="B142" s="6"/>
      <c r="C142" s="28" t="s">
        <v>332</v>
      </c>
      <c r="D142" s="37">
        <f>SUM(D139:D141)</f>
        <v>0</v>
      </c>
      <c r="E142" s="73"/>
    </row>
    <row r="143" spans="2:7" ht="13.7" customHeight="1" thickBot="1" x14ac:dyDescent="0.3">
      <c r="B143" s="6"/>
      <c r="C143" s="59" t="s">
        <v>438</v>
      </c>
      <c r="D143" s="74">
        <f>[15]Amortizaciones!D33</f>
        <v>2577852</v>
      </c>
      <c r="E143" s="21"/>
      <c r="F143" s="48" t="s">
        <v>439</v>
      </c>
      <c r="G143" s="17">
        <f>+[15]E.S.P.!D6</f>
        <v>2020</v>
      </c>
    </row>
    <row r="144" spans="2:7" ht="13.7" customHeight="1" x14ac:dyDescent="0.25">
      <c r="B144" s="6" t="s">
        <v>440</v>
      </c>
      <c r="C144" s="66" t="s">
        <v>441</v>
      </c>
      <c r="D144" s="67">
        <v>0</v>
      </c>
      <c r="E144" s="21" t="s">
        <v>442</v>
      </c>
      <c r="F144" s="66" t="s">
        <v>443</v>
      </c>
      <c r="G144" s="67">
        <v>1713031</v>
      </c>
    </row>
    <row r="145" spans="2:7" ht="13.7" customHeight="1" x14ac:dyDescent="0.25">
      <c r="B145" s="6" t="s">
        <v>444</v>
      </c>
      <c r="C145" s="68" t="s">
        <v>445</v>
      </c>
      <c r="D145" s="69">
        <v>0</v>
      </c>
      <c r="E145" s="21" t="s">
        <v>446</v>
      </c>
      <c r="F145" s="68" t="s">
        <v>447</v>
      </c>
      <c r="G145" s="69">
        <v>1637170</v>
      </c>
    </row>
    <row r="146" spans="2:7" ht="13.7" customHeight="1" x14ac:dyDescent="0.25">
      <c r="B146" s="6" t="s">
        <v>448</v>
      </c>
      <c r="C146" s="75" t="s">
        <v>449</v>
      </c>
      <c r="D146" s="69">
        <v>0</v>
      </c>
      <c r="E146" s="21" t="s">
        <v>450</v>
      </c>
      <c r="F146" s="68" t="s">
        <v>451</v>
      </c>
      <c r="G146" s="69">
        <v>34293</v>
      </c>
    </row>
    <row r="147" spans="2:7" ht="13.7" customHeight="1" x14ac:dyDescent="0.25">
      <c r="B147" s="6" t="s">
        <v>452</v>
      </c>
      <c r="C147" s="19" t="s">
        <v>453</v>
      </c>
      <c r="D147" s="71">
        <v>0</v>
      </c>
      <c r="E147" s="21" t="s">
        <v>454</v>
      </c>
      <c r="F147" s="68" t="s">
        <v>455</v>
      </c>
      <c r="G147" s="69">
        <v>0</v>
      </c>
    </row>
    <row r="148" spans="2:7" ht="13.7" customHeight="1" thickBot="1" x14ac:dyDescent="0.3">
      <c r="B148" s="6"/>
      <c r="C148" s="28" t="s">
        <v>456</v>
      </c>
      <c r="D148" s="37">
        <f>SUM(D144:D147)</f>
        <v>0</v>
      </c>
      <c r="E148" s="21" t="s">
        <v>457</v>
      </c>
      <c r="F148" s="68" t="s">
        <v>458</v>
      </c>
      <c r="G148" s="69">
        <v>0</v>
      </c>
    </row>
    <row r="149" spans="2:7" ht="13.7" customHeight="1" x14ac:dyDescent="0.25">
      <c r="B149" s="6" t="s">
        <v>459</v>
      </c>
      <c r="C149" s="66" t="s">
        <v>460</v>
      </c>
      <c r="D149" s="67">
        <v>0</v>
      </c>
      <c r="E149" s="21" t="s">
        <v>461</v>
      </c>
      <c r="F149" s="68" t="s">
        <v>462</v>
      </c>
      <c r="G149" s="69">
        <v>0</v>
      </c>
    </row>
    <row r="150" spans="2:7" ht="13.7" customHeight="1" x14ac:dyDescent="0.25">
      <c r="B150" s="6" t="s">
        <v>463</v>
      </c>
      <c r="C150" s="68" t="s">
        <v>464</v>
      </c>
      <c r="D150" s="69">
        <v>0</v>
      </c>
      <c r="E150" s="21" t="s">
        <v>465</v>
      </c>
      <c r="F150" s="68" t="s">
        <v>466</v>
      </c>
      <c r="G150" s="69">
        <v>0</v>
      </c>
    </row>
    <row r="151" spans="2:7" ht="13.7" customHeight="1" x14ac:dyDescent="0.25">
      <c r="B151" s="6" t="s">
        <v>467</v>
      </c>
      <c r="C151" s="19" t="s">
        <v>468</v>
      </c>
      <c r="D151" s="71">
        <v>0</v>
      </c>
      <c r="E151" s="21" t="s">
        <v>469</v>
      </c>
      <c r="F151" s="68" t="s">
        <v>470</v>
      </c>
      <c r="G151" s="69">
        <v>6472508</v>
      </c>
    </row>
    <row r="152" spans="2:7" ht="13.7" customHeight="1" thickBot="1" x14ac:dyDescent="0.3">
      <c r="B152" s="6"/>
      <c r="C152" s="28" t="s">
        <v>471</v>
      </c>
      <c r="D152" s="37">
        <f>SUM(D149:D151)</f>
        <v>0</v>
      </c>
      <c r="E152" s="21" t="s">
        <v>472</v>
      </c>
      <c r="F152" s="68" t="s">
        <v>473</v>
      </c>
      <c r="G152" s="69">
        <v>0</v>
      </c>
    </row>
    <row r="153" spans="2:7" ht="13.7" customHeight="1" thickBot="1" x14ac:dyDescent="0.3">
      <c r="B153" s="6"/>
      <c r="C153" s="48" t="s">
        <v>474</v>
      </c>
      <c r="D153" s="76">
        <f>D122+D126+D138+D142+D143+D148+D152</f>
        <v>157744525</v>
      </c>
      <c r="E153" s="21" t="s">
        <v>475</v>
      </c>
      <c r="F153" s="19" t="s">
        <v>476</v>
      </c>
      <c r="G153" s="20">
        <v>79030</v>
      </c>
    </row>
    <row r="154" spans="2:7" ht="13.7" customHeight="1" thickBot="1" x14ac:dyDescent="0.3">
      <c r="B154" s="6"/>
      <c r="E154" s="21"/>
      <c r="F154" s="28" t="s">
        <v>477</v>
      </c>
      <c r="G154" s="37">
        <f>SUM(G144:G153)</f>
        <v>9936032</v>
      </c>
    </row>
    <row r="155" spans="2:7" ht="13.7" customHeight="1" thickBot="1" x14ac:dyDescent="0.3">
      <c r="B155" s="6"/>
      <c r="C155" s="77" t="s">
        <v>478</v>
      </c>
      <c r="D155" s="65">
        <f>G109-D153</f>
        <v>43421928</v>
      </c>
      <c r="E155" s="21" t="s">
        <v>479</v>
      </c>
      <c r="F155" s="66" t="s">
        <v>480</v>
      </c>
      <c r="G155" s="67">
        <v>649293</v>
      </c>
    </row>
    <row r="156" spans="2:7" ht="13.7" customHeight="1" x14ac:dyDescent="0.25">
      <c r="E156" s="21" t="s">
        <v>481</v>
      </c>
      <c r="F156" s="68" t="s">
        <v>482</v>
      </c>
      <c r="G156" s="69">
        <v>1983730</v>
      </c>
    </row>
    <row r="157" spans="2:7" ht="13.7" customHeight="1" x14ac:dyDescent="0.25">
      <c r="E157" s="21" t="s">
        <v>483</v>
      </c>
      <c r="F157" s="68" t="s">
        <v>484</v>
      </c>
      <c r="G157" s="69">
        <v>3185848</v>
      </c>
    </row>
    <row r="158" spans="2:7" ht="13.7" customHeight="1" x14ac:dyDescent="0.25">
      <c r="E158" s="21" t="s">
        <v>485</v>
      </c>
      <c r="F158" s="68" t="s">
        <v>486</v>
      </c>
      <c r="G158" s="69">
        <v>0</v>
      </c>
    </row>
    <row r="159" spans="2:7" ht="13.7" customHeight="1" x14ac:dyDescent="0.25">
      <c r="E159" s="21" t="s">
        <v>487</v>
      </c>
      <c r="F159" s="68" t="s">
        <v>488</v>
      </c>
      <c r="G159" s="69">
        <v>0</v>
      </c>
    </row>
    <row r="160" spans="2:7" ht="13.7" customHeight="1" x14ac:dyDescent="0.25">
      <c r="E160" s="21" t="s">
        <v>489</v>
      </c>
      <c r="F160" s="68" t="s">
        <v>490</v>
      </c>
      <c r="G160" s="69">
        <v>242850</v>
      </c>
    </row>
    <row r="161" spans="5:7" ht="13.7" customHeight="1" x14ac:dyDescent="0.25">
      <c r="E161" s="21" t="s">
        <v>491</v>
      </c>
      <c r="F161" s="68" t="s">
        <v>492</v>
      </c>
      <c r="G161" s="69">
        <v>357660</v>
      </c>
    </row>
    <row r="162" spans="5:7" ht="13.7" customHeight="1" x14ac:dyDescent="0.25">
      <c r="E162" s="21" t="s">
        <v>493</v>
      </c>
      <c r="F162" s="68" t="s">
        <v>494</v>
      </c>
      <c r="G162" s="69">
        <v>0</v>
      </c>
    </row>
    <row r="163" spans="5:7" ht="13.7" customHeight="1" x14ac:dyDescent="0.25">
      <c r="E163" s="21" t="s">
        <v>495</v>
      </c>
      <c r="F163" s="68" t="s">
        <v>496</v>
      </c>
      <c r="G163" s="69">
        <v>0</v>
      </c>
    </row>
    <row r="164" spans="5:7" ht="13.7" customHeight="1" x14ac:dyDescent="0.25">
      <c r="E164" s="21" t="s">
        <v>497</v>
      </c>
      <c r="F164" s="68" t="s">
        <v>498</v>
      </c>
      <c r="G164" s="69">
        <v>0</v>
      </c>
    </row>
    <row r="165" spans="5:7" ht="13.7" customHeight="1" x14ac:dyDescent="0.25">
      <c r="E165" s="21" t="s">
        <v>499</v>
      </c>
      <c r="F165" s="68" t="s">
        <v>500</v>
      </c>
      <c r="G165" s="69">
        <v>0</v>
      </c>
    </row>
    <row r="166" spans="5:7" ht="13.7" customHeight="1" x14ac:dyDescent="0.25">
      <c r="E166" s="21" t="s">
        <v>501</v>
      </c>
      <c r="F166" s="68" t="s">
        <v>502</v>
      </c>
      <c r="G166" s="69">
        <v>0</v>
      </c>
    </row>
    <row r="167" spans="5:7" ht="13.7" customHeight="1" x14ac:dyDescent="0.25">
      <c r="E167" s="21" t="s">
        <v>503</v>
      </c>
      <c r="F167" s="19" t="s">
        <v>504</v>
      </c>
      <c r="G167" s="20">
        <v>246096</v>
      </c>
    </row>
    <row r="168" spans="5:7" ht="13.7" customHeight="1" thickBot="1" x14ac:dyDescent="0.3">
      <c r="E168" s="21"/>
      <c r="F168" s="28" t="s">
        <v>505</v>
      </c>
      <c r="G168" s="37">
        <f>SUM(G155:G167)</f>
        <v>6665477</v>
      </c>
    </row>
    <row r="169" spans="5:7" ht="13.7" customHeight="1" thickBot="1" x14ac:dyDescent="0.3">
      <c r="E169" s="21"/>
      <c r="F169" s="48" t="s">
        <v>506</v>
      </c>
      <c r="G169" s="72">
        <f>G154-G168</f>
        <v>3270555</v>
      </c>
    </row>
    <row r="170" spans="5:7" ht="13.7" customHeight="1" thickBot="1" x14ac:dyDescent="0.3">
      <c r="E170" s="21"/>
      <c r="F170" s="78"/>
      <c r="G170" s="78"/>
    </row>
    <row r="171" spans="5:7" ht="13.7" customHeight="1" thickBot="1" x14ac:dyDescent="0.3">
      <c r="E171" s="21"/>
      <c r="F171" s="77" t="s">
        <v>507</v>
      </c>
      <c r="G171" s="79"/>
    </row>
    <row r="172" spans="5:7" ht="13.7" customHeight="1" thickBot="1" x14ac:dyDescent="0.3">
      <c r="E172" s="21"/>
      <c r="F172" s="80"/>
      <c r="G172" s="81">
        <f>+D155+G140+G169</f>
        <v>47940042</v>
      </c>
    </row>
    <row r="173" spans="5:7" ht="13.7" customHeight="1" thickBot="1" x14ac:dyDescent="0.3">
      <c r="E173" s="21"/>
      <c r="F173" s="5"/>
      <c r="G173" s="5"/>
    </row>
    <row r="174" spans="5:7" ht="13.7" customHeight="1" thickBot="1" x14ac:dyDescent="0.3">
      <c r="E174" s="21"/>
      <c r="F174" s="48" t="s">
        <v>508</v>
      </c>
      <c r="G174" s="17">
        <f>+G143</f>
        <v>2020</v>
      </c>
    </row>
    <row r="175" spans="5:7" ht="13.7" customHeight="1" x14ac:dyDescent="0.25">
      <c r="E175" s="21"/>
      <c r="F175" s="66" t="s">
        <v>509</v>
      </c>
      <c r="G175" s="67">
        <v>14388067</v>
      </c>
    </row>
    <row r="176" spans="5:7" ht="13.7" customHeight="1" x14ac:dyDescent="0.25">
      <c r="E176" s="21"/>
      <c r="F176" s="68" t="s">
        <v>510</v>
      </c>
      <c r="G176" s="69"/>
    </row>
    <row r="177" spans="1:8" ht="13.7" customHeight="1" thickBot="1" x14ac:dyDescent="0.3">
      <c r="F177" s="68" t="s">
        <v>511</v>
      </c>
      <c r="G177" s="69"/>
    </row>
    <row r="178" spans="1:8" ht="13.7" customHeight="1" thickBot="1" x14ac:dyDescent="0.3">
      <c r="F178" s="48" t="s">
        <v>512</v>
      </c>
      <c r="G178" s="72">
        <f>SUM(G175:G177)</f>
        <v>14388067</v>
      </c>
    </row>
    <row r="179" spans="1:8" ht="13.7" customHeight="1" thickBot="1" x14ac:dyDescent="0.3"/>
    <row r="180" spans="1:8" ht="13.7" customHeight="1" thickBot="1" x14ac:dyDescent="0.3">
      <c r="F180" s="77" t="s">
        <v>513</v>
      </c>
      <c r="G180" s="79"/>
    </row>
    <row r="181" spans="1:8" ht="13.7" customHeight="1" thickBot="1" x14ac:dyDescent="0.3">
      <c r="F181" s="83"/>
      <c r="G181" s="81">
        <f>+G172+G178</f>
        <v>62328109</v>
      </c>
    </row>
    <row r="182" spans="1:8" ht="13.7" customHeight="1" x14ac:dyDescent="0.25"/>
    <row r="183" spans="1:8" ht="13.5" customHeight="1" x14ac:dyDescent="0.25"/>
    <row r="184" spans="1:8" ht="13.7" customHeight="1" x14ac:dyDescent="0.25">
      <c r="E184" s="84"/>
      <c r="F184" s="84"/>
      <c r="G184" s="84"/>
      <c r="H184" s="84"/>
    </row>
    <row r="185" spans="1:8" s="84" customFormat="1" ht="13.7" customHeight="1" x14ac:dyDescent="0.25">
      <c r="A185" s="85"/>
      <c r="E185" s="82"/>
      <c r="F185" s="86"/>
      <c r="G185" s="86"/>
    </row>
    <row r="186" spans="1:8" s="84" customFormat="1" ht="12.75" x14ac:dyDescent="0.25">
      <c r="A186" s="85"/>
      <c r="E186" s="82"/>
      <c r="F186" s="86"/>
      <c r="G186" s="86"/>
    </row>
    <row r="187" spans="1:8" s="84" customFormat="1" ht="12.75" hidden="1" x14ac:dyDescent="0.25">
      <c r="A187" s="85"/>
      <c r="E187" s="82"/>
      <c r="F187" s="86"/>
      <c r="G187" s="86"/>
    </row>
    <row r="188" spans="1:8" s="84" customFormat="1" ht="12.75" hidden="1" x14ac:dyDescent="0.25">
      <c r="A188" s="85"/>
      <c r="E188" s="82"/>
      <c r="F188" s="86"/>
      <c r="G188" s="86"/>
    </row>
    <row r="189" spans="1:8" s="84" customFormat="1" ht="12.75" hidden="1" x14ac:dyDescent="0.25">
      <c r="A189" s="85"/>
      <c r="E189" s="82"/>
      <c r="F189" s="86"/>
      <c r="G189" s="86"/>
    </row>
    <row r="190" spans="1:8" s="84" customFormat="1" ht="12.75" hidden="1" x14ac:dyDescent="0.25">
      <c r="A190" s="85"/>
      <c r="E190" s="82"/>
      <c r="F190" s="86"/>
      <c r="G190" s="86"/>
    </row>
    <row r="191" spans="1:8" s="84" customFormat="1" ht="12.75" hidden="1" x14ac:dyDescent="0.25">
      <c r="A191" s="85"/>
      <c r="E191" s="82"/>
      <c r="F191" s="86"/>
      <c r="G191" s="86"/>
    </row>
    <row r="192" spans="1:8" s="84" customFormat="1" ht="12.75" hidden="1" x14ac:dyDescent="0.25">
      <c r="A192" s="85"/>
      <c r="E192" s="82"/>
      <c r="F192" s="86"/>
      <c r="G192" s="86"/>
    </row>
    <row r="193" spans="5:7" s="84" customFormat="1" ht="12.75" hidden="1" x14ac:dyDescent="0.25">
      <c r="E193" s="82"/>
      <c r="F193" s="86"/>
      <c r="G193" s="86"/>
    </row>
    <row r="194" spans="5:7" s="84" customFormat="1" ht="12.75" hidden="1" x14ac:dyDescent="0.25">
      <c r="E194" s="82"/>
      <c r="F194" s="86"/>
      <c r="G194" s="86"/>
    </row>
    <row r="195" spans="5:7" s="84" customFormat="1" ht="12.75" hidden="1" x14ac:dyDescent="0.25">
      <c r="E195" s="82"/>
      <c r="F195" s="86"/>
      <c r="G195" s="86"/>
    </row>
    <row r="196" spans="5:7" s="84" customFormat="1" ht="12.75" hidden="1" x14ac:dyDescent="0.25">
      <c r="E196" s="82"/>
      <c r="F196" s="86"/>
      <c r="G196" s="86"/>
    </row>
    <row r="197" spans="5:7" s="84" customFormat="1" ht="12.75" hidden="1" x14ac:dyDescent="0.25">
      <c r="E197" s="82"/>
      <c r="F197" s="86"/>
      <c r="G197" s="86"/>
    </row>
    <row r="198" spans="5:7" s="84" customFormat="1" ht="12.75" hidden="1" x14ac:dyDescent="0.25">
      <c r="E198" s="82"/>
      <c r="F198" s="86"/>
      <c r="G198" s="86"/>
    </row>
    <row r="199" spans="5:7" s="84" customFormat="1" ht="12.75" hidden="1" x14ac:dyDescent="0.25">
      <c r="E199" s="82"/>
      <c r="F199" s="86"/>
      <c r="G199" s="86"/>
    </row>
    <row r="200" spans="5:7" s="84" customFormat="1" ht="12.75" hidden="1" x14ac:dyDescent="0.25">
      <c r="E200" s="82"/>
      <c r="F200" s="86"/>
      <c r="G200" s="86"/>
    </row>
    <row r="201" spans="5:7" s="84" customFormat="1" ht="12.75" hidden="1" x14ac:dyDescent="0.25">
      <c r="E201" s="82"/>
      <c r="F201" s="86"/>
      <c r="G201" s="86"/>
    </row>
    <row r="202" spans="5:7" s="84" customFormat="1" ht="12.75" hidden="1" x14ac:dyDescent="0.25">
      <c r="E202" s="82"/>
      <c r="F202" s="86"/>
      <c r="G202" s="86"/>
    </row>
    <row r="203" spans="5:7" s="84" customFormat="1" ht="12.75" hidden="1" x14ac:dyDescent="0.25">
      <c r="E203" s="82"/>
      <c r="F203" s="86"/>
      <c r="G203" s="86"/>
    </row>
    <row r="204" spans="5:7" s="84" customFormat="1" ht="12.75" hidden="1" x14ac:dyDescent="0.25">
      <c r="E204" s="82"/>
      <c r="F204" s="86"/>
      <c r="G204" s="86"/>
    </row>
    <row r="205" spans="5:7" s="84" customFormat="1" ht="12.75" hidden="1" x14ac:dyDescent="0.25">
      <c r="E205" s="82"/>
      <c r="F205" s="86"/>
      <c r="G205" s="86"/>
    </row>
    <row r="206" spans="5:7" s="84" customFormat="1" ht="12.75" hidden="1" x14ac:dyDescent="0.25">
      <c r="E206" s="82"/>
      <c r="F206" s="86"/>
      <c r="G206" s="86"/>
    </row>
    <row r="207" spans="5:7" s="84" customFormat="1" ht="12.75" hidden="1" x14ac:dyDescent="0.25">
      <c r="E207" s="82"/>
      <c r="F207" s="86"/>
      <c r="G207" s="86"/>
    </row>
    <row r="208" spans="5:7" s="84" customFormat="1" ht="12.75" hidden="1" x14ac:dyDescent="0.25">
      <c r="E208" s="82"/>
      <c r="F208" s="86"/>
      <c r="G208" s="86"/>
    </row>
    <row r="209" spans="3:8" s="84" customFormat="1" ht="12.75" hidden="1" x14ac:dyDescent="0.25">
      <c r="E209" s="82"/>
      <c r="F209" s="86"/>
      <c r="G209" s="86"/>
    </row>
    <row r="210" spans="3:8" s="84" customFormat="1" ht="12.75" hidden="1" x14ac:dyDescent="0.25">
      <c r="E210" s="82"/>
      <c r="F210" s="86"/>
      <c r="G210" s="86"/>
    </row>
    <row r="211" spans="3:8" s="84" customFormat="1" ht="12.75" hidden="1" x14ac:dyDescent="0.25">
      <c r="E211" s="82"/>
      <c r="F211" s="86"/>
      <c r="G211" s="86"/>
    </row>
    <row r="212" spans="3:8" s="84" customFormat="1" ht="12.75" hidden="1" x14ac:dyDescent="0.25">
      <c r="E212" s="82"/>
      <c r="F212" s="86"/>
      <c r="G212" s="86"/>
    </row>
    <row r="213" spans="3:8" s="84" customFormat="1" ht="12.75" hidden="1" x14ac:dyDescent="0.25">
      <c r="E213" s="82"/>
      <c r="F213" s="86"/>
      <c r="G213" s="86"/>
    </row>
    <row r="214" spans="3:8" s="84" customFormat="1" hidden="1" x14ac:dyDescent="0.25">
      <c r="E214" s="82"/>
      <c r="F214" s="87"/>
      <c r="G214" s="58"/>
      <c r="H214" s="5"/>
    </row>
    <row r="215" spans="3:8" hidden="1" x14ac:dyDescent="0.25">
      <c r="C215" s="86"/>
      <c r="D215" s="86"/>
      <c r="F215" s="87"/>
    </row>
  </sheetData>
  <mergeCells count="6">
    <mergeCell ref="C1:D1"/>
    <mergeCell ref="E1:F1"/>
    <mergeCell ref="C2:D2"/>
    <mergeCell ref="E2:F2"/>
    <mergeCell ref="C3:D3"/>
    <mergeCell ref="E3:F3"/>
  </mergeCells>
  <conditionalFormatting sqref="D7:D12">
    <cfRule type="cellIs" dxfId="241" priority="2" stopIfTrue="1" operator="greaterThan">
      <formula>50</formula>
    </cfRule>
    <cfRule type="cellIs" dxfId="240" priority="11" stopIfTrue="1" operator="equal">
      <formula>0</formula>
    </cfRule>
  </conditionalFormatting>
  <conditionalFormatting sqref="D7:D61">
    <cfRule type="cellIs" dxfId="239" priority="9" stopIfTrue="1" operator="between">
      <formula>-0.1</formula>
      <formula>-50</formula>
    </cfRule>
    <cfRule type="cellIs" dxfId="238" priority="10" stopIfTrue="1" operator="between">
      <formula>0.1</formula>
      <formula>50</formula>
    </cfRule>
  </conditionalFormatting>
  <conditionalFormatting sqref="G152:G181 G7:G150">
    <cfRule type="cellIs" dxfId="237" priority="7" stopIfTrue="1" operator="between">
      <formula>-0.1</formula>
      <formula>-50</formula>
    </cfRule>
    <cfRule type="cellIs" dxfId="236" priority="8" stopIfTrue="1" operator="between">
      <formula>0.1</formula>
      <formula>50</formula>
    </cfRule>
  </conditionalFormatting>
  <conditionalFormatting sqref="D111:D155">
    <cfRule type="cellIs" dxfId="235" priority="5" stopIfTrue="1" operator="between">
      <formula>-0.1</formula>
      <formula>-50</formula>
    </cfRule>
    <cfRule type="cellIs" dxfId="234" priority="6" stopIfTrue="1" operator="between">
      <formula>0.1</formula>
      <formula>50</formula>
    </cfRule>
  </conditionalFormatting>
  <conditionalFormatting sqref="G165">
    <cfRule type="expression" dxfId="233" priority="4" stopIfTrue="1">
      <formula>AND($G$165&gt;0,$G$151&gt;0)</formula>
    </cfRule>
  </conditionalFormatting>
  <conditionalFormatting sqref="G151">
    <cfRule type="expression" dxfId="232" priority="1" stopIfTrue="1">
      <formula>AND($G$151&gt;0,$G$165&gt;0)</formula>
    </cfRule>
  </conditionalFormatting>
  <dataValidations count="11">
    <dataValidation type="custom" operator="greaterThan" showInputMessage="1" showErrorMessage="1" errorTitle="RDM" error="No se admite ingresar RDM como ingresos y egresos a la vez. Tampoco se admiten valores menores a $50._x000a_" sqref="G151">
      <formula1>AND(OR(G151=0, G151&gt;50),G165=0)</formula1>
    </dataValidation>
    <dataValidation type="whole" operator="greaterThan" allowBlank="1" showInputMessage="1" showErrorMessage="1" sqref="D8:D12">
      <formula1>50</formula1>
    </dataValidation>
    <dataValidation type="whole" operator="greaterThan" showInputMessage="1" showErrorMessage="1" errorTitle="eee" error="Valores mayores a $50" sqref="D7">
      <formula1>50</formula1>
    </dataValidation>
    <dataValidation type="custom" operator="greaterThan" showInputMessage="1" showErrorMessage="1" errorTitle="eee" sqref="D56">
      <formula1>OR(D56=0, D56&lt;50)</formula1>
    </dataValidation>
    <dataValidation type="custom" operator="greaterThan" showInputMessage="1" showErrorMessage="1" errorTitle="eee" sqref="D57:D61">
      <formula1>OR(D57=0, D57&lt;0)</formula1>
    </dataValidation>
    <dataValidation type="custom" operator="greaterThan" showInputMessage="1" showErrorMessage="1" errorTitle="eee" sqref="G7:G140 D62:D155 G152:G164 G166:G181 G144:G150 D13:D55">
      <formula1>OR(D7=0, D7&gt;50)</formula1>
    </dataValidation>
    <dataValidation type="whole" allowBlank="1" showErrorMessage="1" errorTitle="Error de datos" error="Debe ingresar un valor entre 1 y 12" sqref="G1:G3">
      <formula1>1</formula1>
      <formula2>12</formula2>
    </dataValidation>
    <dataValidation allowBlank="1" errorTitle="Error de datos" error="Debe introducir una fecha válida" sqref="E3"/>
    <dataValidation allowBlank="1" sqref="G204"/>
    <dataValidation operator="greaterThanOrEqual" allowBlank="1" errorTitle="Error de datos" error="Debe ingresar un valor entero positivo" sqref="F6:F107 F203 C13:C47 C106:C153 F171 F174:F178 F180 F111:F119 C7:C10 F121:F140 F143:F169 C49:C62 C155 F109"/>
    <dataValidation type="custom" operator="greaterThan" showInputMessage="1" showErrorMessage="1" errorTitle="rdm2" error="No se admite ingresar a la vez RDM como ingresos y como egresos. Tampoco se admiten valores negattivos o positivos menores de 50" sqref="G165">
      <formula1>AND(OR(G165=0, G165&gt;50),G151=0)</formula1>
    </dataValidation>
  </dataValidations>
  <pageMargins left="0.7" right="0.7" top="0.75" bottom="0.75" header="0.3" footer="0.3"/>
  <ignoredErrors>
    <ignoredError sqref="E7:E181" numberStoredAsText="1"/>
  </ignoredErrors>
  <legacy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26"/>
  <sheetViews>
    <sheetView showGridLines="0" workbookViewId="0">
      <selection activeCell="F4" sqref="F4"/>
    </sheetView>
  </sheetViews>
  <sheetFormatPr baseColWidth="10" defaultColWidth="0" defaultRowHeight="15" zeroHeight="1" x14ac:dyDescent="0.25"/>
  <cols>
    <col min="1" max="1" width="3.7109375" style="1" customWidth="1"/>
    <col min="2" max="2" width="14.28515625" style="7" hidden="1" customWidth="1"/>
    <col min="3" max="3" width="58.5703125" style="58" customWidth="1"/>
    <col min="4" max="4" width="25.140625" style="58" customWidth="1"/>
    <col min="5" max="5" width="5.85546875" style="82" customWidth="1"/>
    <col min="6" max="6" width="57.28515625" style="58" customWidth="1"/>
    <col min="7" max="7" width="24.7109375" style="58" customWidth="1"/>
    <col min="8" max="8" width="5.42578125" style="5" customWidth="1"/>
    <col min="9" max="16384" width="0" style="5" hidden="1"/>
  </cols>
  <sheetData>
    <row r="1" spans="1:9" ht="15.75" x14ac:dyDescent="0.25">
      <c r="B1" s="2"/>
      <c r="C1" s="313" t="s">
        <v>0</v>
      </c>
      <c r="D1" s="314"/>
      <c r="E1" s="315" t="str">
        <f>[16]Presentacion!C2</f>
        <v>CAMEC</v>
      </c>
      <c r="F1" s="315"/>
      <c r="G1" s="3"/>
      <c r="H1" s="4"/>
    </row>
    <row r="2" spans="1:9" ht="15.75" x14ac:dyDescent="0.25">
      <c r="B2" s="6"/>
      <c r="C2" s="313" t="s">
        <v>1</v>
      </c>
      <c r="D2" s="314"/>
      <c r="E2" s="315" t="str">
        <f>[16]Presentacion!C3</f>
        <v>Colonia</v>
      </c>
      <c r="F2" s="315"/>
      <c r="G2" s="3"/>
      <c r="H2" s="4"/>
    </row>
    <row r="3" spans="1:9" ht="15.75" x14ac:dyDescent="0.25">
      <c r="B3" s="6"/>
      <c r="C3" s="313" t="s">
        <v>2</v>
      </c>
      <c r="D3" s="316"/>
      <c r="E3" s="317" t="s">
        <v>3</v>
      </c>
      <c r="F3" s="317"/>
      <c r="G3" s="3"/>
      <c r="H3" s="4"/>
    </row>
    <row r="4" spans="1:9" ht="15.75" thickBot="1" x14ac:dyDescent="0.3">
      <c r="C4" s="287"/>
      <c r="D4" s="8"/>
      <c r="E4" s="9"/>
      <c r="F4" s="10"/>
      <c r="G4" s="11"/>
    </row>
    <row r="5" spans="1:9" ht="16.5" thickBot="1" x14ac:dyDescent="0.3">
      <c r="B5" s="12"/>
      <c r="C5" s="13" t="s">
        <v>4</v>
      </c>
      <c r="D5" s="284" t="s">
        <v>5</v>
      </c>
      <c r="E5" s="14"/>
      <c r="F5" s="13" t="s">
        <v>6</v>
      </c>
      <c r="G5" s="284" t="s">
        <v>5</v>
      </c>
      <c r="I5" s="15"/>
    </row>
    <row r="6" spans="1:9" ht="16.5" thickBot="1" x14ac:dyDescent="0.3">
      <c r="B6" s="12"/>
      <c r="C6" s="16" t="s">
        <v>7</v>
      </c>
      <c r="D6" s="290">
        <f>+[16]E.S.P.!D6</f>
        <v>2020</v>
      </c>
      <c r="E6" s="18"/>
      <c r="F6" s="16" t="s">
        <v>8</v>
      </c>
      <c r="G6" s="290">
        <f>+D6</f>
        <v>2020</v>
      </c>
      <c r="H6" s="15"/>
    </row>
    <row r="7" spans="1:9" x14ac:dyDescent="0.25">
      <c r="B7" s="6" t="s">
        <v>9</v>
      </c>
      <c r="C7" s="19" t="s">
        <v>10</v>
      </c>
      <c r="D7" s="20">
        <f>38830877+23415+1</f>
        <v>38854293</v>
      </c>
      <c r="E7" s="21" t="s">
        <v>11</v>
      </c>
      <c r="F7" s="22" t="s">
        <v>12</v>
      </c>
      <c r="G7" s="23">
        <v>19670926</v>
      </c>
    </row>
    <row r="8" spans="1:9" x14ac:dyDescent="0.25">
      <c r="B8" s="6" t="s">
        <v>13</v>
      </c>
      <c r="C8" s="19" t="s">
        <v>14</v>
      </c>
      <c r="D8" s="20">
        <v>60872161</v>
      </c>
      <c r="E8" s="21" t="s">
        <v>15</v>
      </c>
      <c r="F8" s="19" t="s">
        <v>16</v>
      </c>
      <c r="G8" s="24">
        <v>66258879</v>
      </c>
    </row>
    <row r="9" spans="1:9" x14ac:dyDescent="0.25">
      <c r="B9" s="6" t="s">
        <v>17</v>
      </c>
      <c r="C9" s="19" t="s">
        <v>18</v>
      </c>
      <c r="D9" s="20">
        <v>1321701469</v>
      </c>
      <c r="E9" s="21" t="s">
        <v>19</v>
      </c>
      <c r="F9" s="19" t="s">
        <v>20</v>
      </c>
      <c r="G9" s="20">
        <v>174839229</v>
      </c>
    </row>
    <row r="10" spans="1:9" x14ac:dyDescent="0.25">
      <c r="B10" s="6" t="s">
        <v>21</v>
      </c>
      <c r="C10" s="19" t="s">
        <v>22</v>
      </c>
      <c r="D10" s="20">
        <v>140691166</v>
      </c>
      <c r="E10" s="21" t="s">
        <v>23</v>
      </c>
      <c r="F10" s="19" t="s">
        <v>24</v>
      </c>
      <c r="G10" s="20">
        <v>215943440</v>
      </c>
    </row>
    <row r="11" spans="1:9" x14ac:dyDescent="0.25">
      <c r="B11" s="6" t="s">
        <v>25</v>
      </c>
      <c r="C11" s="19" t="s">
        <v>26</v>
      </c>
      <c r="D11" s="20">
        <v>31500626</v>
      </c>
      <c r="E11" s="21" t="s">
        <v>27</v>
      </c>
      <c r="F11" s="19" t="s">
        <v>28</v>
      </c>
      <c r="G11" s="20">
        <f>254945099+7303639+1</f>
        <v>262248739</v>
      </c>
    </row>
    <row r="12" spans="1:9" x14ac:dyDescent="0.25">
      <c r="B12" s="6" t="s">
        <v>29</v>
      </c>
      <c r="C12" s="19" t="s">
        <v>30</v>
      </c>
      <c r="D12" s="20">
        <v>28657998</v>
      </c>
      <c r="E12" s="21" t="s">
        <v>31</v>
      </c>
      <c r="F12" s="19" t="s">
        <v>32</v>
      </c>
      <c r="G12" s="20">
        <v>78930756</v>
      </c>
    </row>
    <row r="13" spans="1:9" x14ac:dyDescent="0.25">
      <c r="B13" s="6" t="s">
        <v>33</v>
      </c>
      <c r="C13" s="19" t="s">
        <v>34</v>
      </c>
      <c r="D13" s="20"/>
      <c r="E13" s="21" t="s">
        <v>35</v>
      </c>
      <c r="F13" s="19" t="s">
        <v>36</v>
      </c>
      <c r="G13" s="20">
        <v>82114188</v>
      </c>
    </row>
    <row r="14" spans="1:9" x14ac:dyDescent="0.25">
      <c r="A14" s="25"/>
      <c r="B14" s="6" t="s">
        <v>37</v>
      </c>
      <c r="C14" s="19" t="s">
        <v>38</v>
      </c>
      <c r="D14" s="20"/>
      <c r="E14" s="21" t="s">
        <v>39</v>
      </c>
      <c r="F14" s="19" t="s">
        <v>40</v>
      </c>
      <c r="G14" s="20">
        <v>210252364</v>
      </c>
    </row>
    <row r="15" spans="1:9" x14ac:dyDescent="0.25">
      <c r="B15" s="6" t="s">
        <v>41</v>
      </c>
      <c r="C15" s="26" t="s">
        <v>42</v>
      </c>
      <c r="D15" s="20"/>
      <c r="E15" s="21" t="s">
        <v>43</v>
      </c>
      <c r="F15" s="19" t="s">
        <v>44</v>
      </c>
      <c r="G15" s="20">
        <v>121005632</v>
      </c>
    </row>
    <row r="16" spans="1:9" x14ac:dyDescent="0.25">
      <c r="B16" s="6" t="s">
        <v>45</v>
      </c>
      <c r="C16" s="19" t="s">
        <v>46</v>
      </c>
      <c r="D16" s="20"/>
      <c r="E16" s="21" t="s">
        <v>47</v>
      </c>
      <c r="F16" s="19" t="s">
        <v>48</v>
      </c>
      <c r="G16" s="20">
        <v>101550276</v>
      </c>
    </row>
    <row r="17" spans="1:7" x14ac:dyDescent="0.25">
      <c r="B17" s="6" t="s">
        <v>49</v>
      </c>
      <c r="C17" s="19" t="s">
        <v>50</v>
      </c>
      <c r="D17" s="20"/>
      <c r="E17" s="21" t="s">
        <v>51</v>
      </c>
      <c r="F17" s="19" t="s">
        <v>52</v>
      </c>
      <c r="G17" s="20"/>
    </row>
    <row r="18" spans="1:7" x14ac:dyDescent="0.25">
      <c r="A18" s="25"/>
      <c r="B18" s="6" t="s">
        <v>53</v>
      </c>
      <c r="C18" s="19" t="s">
        <v>54</v>
      </c>
      <c r="D18" s="20"/>
      <c r="E18" s="21" t="s">
        <v>55</v>
      </c>
      <c r="F18" s="19" t="s">
        <v>56</v>
      </c>
      <c r="G18" s="27">
        <v>57086836</v>
      </c>
    </row>
    <row r="19" spans="1:7" ht="15.75" thickBot="1" x14ac:dyDescent="0.3">
      <c r="A19" s="25"/>
      <c r="B19" s="6" t="s">
        <v>57</v>
      </c>
      <c r="C19" s="19" t="s">
        <v>58</v>
      </c>
      <c r="D19" s="20">
        <v>69265935</v>
      </c>
      <c r="E19" s="21"/>
      <c r="F19" s="28" t="s">
        <v>59</v>
      </c>
      <c r="G19" s="29">
        <f>SUM(G7:G18)</f>
        <v>1389901265</v>
      </c>
    </row>
    <row r="20" spans="1:7" ht="15.75" thickBot="1" x14ac:dyDescent="0.3">
      <c r="B20" s="6"/>
      <c r="C20" s="28" t="s">
        <v>60</v>
      </c>
      <c r="D20" s="29">
        <f>SUM(D7:D19)</f>
        <v>1691543648</v>
      </c>
      <c r="E20" s="21" t="s">
        <v>61</v>
      </c>
      <c r="F20" s="22" t="s">
        <v>62</v>
      </c>
      <c r="G20" s="23">
        <v>369563</v>
      </c>
    </row>
    <row r="21" spans="1:7" x14ac:dyDescent="0.25">
      <c r="B21" s="6"/>
      <c r="C21" s="30" t="s">
        <v>63</v>
      </c>
      <c r="D21" s="31">
        <f>SUM(D22:D28)</f>
        <v>35081185</v>
      </c>
      <c r="E21" s="21" t="s">
        <v>64</v>
      </c>
      <c r="F21" s="19" t="s">
        <v>65</v>
      </c>
      <c r="G21" s="20">
        <v>41952590</v>
      </c>
    </row>
    <row r="22" spans="1:7" x14ac:dyDescent="0.25">
      <c r="B22" s="6" t="s">
        <v>66</v>
      </c>
      <c r="C22" s="19" t="s">
        <v>67</v>
      </c>
      <c r="D22" s="20">
        <v>21313505</v>
      </c>
      <c r="E22" s="21" t="s">
        <v>68</v>
      </c>
      <c r="F22" s="19" t="s">
        <v>69</v>
      </c>
      <c r="G22" s="20">
        <v>6646410</v>
      </c>
    </row>
    <row r="23" spans="1:7" x14ac:dyDescent="0.25">
      <c r="B23" s="6" t="s">
        <v>70</v>
      </c>
      <c r="C23" s="19" t="s">
        <v>71</v>
      </c>
      <c r="D23" s="20">
        <v>767295</v>
      </c>
      <c r="E23" s="21" t="s">
        <v>72</v>
      </c>
      <c r="F23" s="19" t="s">
        <v>73</v>
      </c>
      <c r="G23" s="20">
        <v>18603709</v>
      </c>
    </row>
    <row r="24" spans="1:7" x14ac:dyDescent="0.25">
      <c r="B24" s="6" t="s">
        <v>74</v>
      </c>
      <c r="C24" s="19" t="s">
        <v>75</v>
      </c>
      <c r="D24" s="20">
        <v>5735637</v>
      </c>
      <c r="E24" s="21" t="s">
        <v>76</v>
      </c>
      <c r="F24" s="19" t="s">
        <v>77</v>
      </c>
      <c r="G24" s="20"/>
    </row>
    <row r="25" spans="1:7" x14ac:dyDescent="0.25">
      <c r="B25" s="6" t="s">
        <v>78</v>
      </c>
      <c r="C25" s="19" t="s">
        <v>79</v>
      </c>
      <c r="D25" s="20">
        <v>1033446</v>
      </c>
      <c r="E25" s="21" t="s">
        <v>80</v>
      </c>
      <c r="F25" s="19" t="s">
        <v>81</v>
      </c>
      <c r="G25" s="20">
        <v>6335965</v>
      </c>
    </row>
    <row r="26" spans="1:7" x14ac:dyDescent="0.25">
      <c r="B26" s="6" t="s">
        <v>82</v>
      </c>
      <c r="C26" s="19" t="s">
        <v>83</v>
      </c>
      <c r="D26" s="20">
        <v>3792944</v>
      </c>
      <c r="E26" s="21" t="s">
        <v>84</v>
      </c>
      <c r="F26" s="19" t="s">
        <v>85</v>
      </c>
      <c r="G26" s="27">
        <v>3229780</v>
      </c>
    </row>
    <row r="27" spans="1:7" ht="15.75" thickBot="1" x14ac:dyDescent="0.3">
      <c r="B27" s="6" t="s">
        <v>86</v>
      </c>
      <c r="C27" s="19" t="s">
        <v>87</v>
      </c>
      <c r="D27" s="20">
        <v>915624</v>
      </c>
      <c r="E27" s="21"/>
      <c r="F27" s="28" t="s">
        <v>88</v>
      </c>
      <c r="G27" s="29">
        <f>SUM(G20:G26)</f>
        <v>77138017</v>
      </c>
    </row>
    <row r="28" spans="1:7" x14ac:dyDescent="0.25">
      <c r="B28" s="6" t="s">
        <v>89</v>
      </c>
      <c r="C28" s="19" t="s">
        <v>90</v>
      </c>
      <c r="D28" s="20">
        <v>1522734</v>
      </c>
      <c r="E28" s="21" t="s">
        <v>91</v>
      </c>
      <c r="F28" s="22" t="s">
        <v>92</v>
      </c>
      <c r="G28" s="23">
        <v>2260749</v>
      </c>
    </row>
    <row r="29" spans="1:7" x14ac:dyDescent="0.25">
      <c r="B29" s="6"/>
      <c r="C29" s="32" t="s">
        <v>93</v>
      </c>
      <c r="D29" s="31">
        <f>SUM(D30:D34)</f>
        <v>165583531</v>
      </c>
      <c r="E29" s="21" t="s">
        <v>94</v>
      </c>
      <c r="F29" s="19" t="s">
        <v>95</v>
      </c>
      <c r="G29" s="20">
        <v>6217084</v>
      </c>
    </row>
    <row r="30" spans="1:7" x14ac:dyDescent="0.25">
      <c r="B30" s="6" t="s">
        <v>96</v>
      </c>
      <c r="C30" s="19" t="s">
        <v>97</v>
      </c>
      <c r="D30" s="20">
        <v>139074731</v>
      </c>
      <c r="E30" s="21" t="s">
        <v>98</v>
      </c>
      <c r="F30" s="19" t="s">
        <v>99</v>
      </c>
      <c r="G30" s="20">
        <v>0</v>
      </c>
    </row>
    <row r="31" spans="1:7" x14ac:dyDescent="0.25">
      <c r="B31" s="6" t="s">
        <v>100</v>
      </c>
      <c r="C31" s="19" t="s">
        <v>101</v>
      </c>
      <c r="D31" s="20">
        <v>9218395</v>
      </c>
      <c r="E31" s="21" t="s">
        <v>102</v>
      </c>
      <c r="F31" s="19" t="s">
        <v>103</v>
      </c>
      <c r="G31" s="27">
        <f>363002+1</f>
        <v>363003</v>
      </c>
    </row>
    <row r="32" spans="1:7" ht="15.75" thickBot="1" x14ac:dyDescent="0.3">
      <c r="B32" s="6" t="s">
        <v>104</v>
      </c>
      <c r="C32" s="19" t="s">
        <v>105</v>
      </c>
      <c r="D32" s="20">
        <v>9624834</v>
      </c>
      <c r="E32" s="21"/>
      <c r="F32" s="28" t="s">
        <v>106</v>
      </c>
      <c r="G32" s="29">
        <f>SUM(G28:G31)</f>
        <v>8840836</v>
      </c>
    </row>
    <row r="33" spans="2:7" x14ac:dyDescent="0.25">
      <c r="B33" s="6" t="s">
        <v>107</v>
      </c>
      <c r="C33" s="19" t="s">
        <v>108</v>
      </c>
      <c r="D33" s="20">
        <v>982899</v>
      </c>
      <c r="E33" s="21"/>
      <c r="F33" s="32" t="s">
        <v>109</v>
      </c>
      <c r="G33" s="31">
        <f>SUM(G34:G39)</f>
        <v>102920404</v>
      </c>
    </row>
    <row r="34" spans="2:7" x14ac:dyDescent="0.25">
      <c r="B34" s="6" t="s">
        <v>110</v>
      </c>
      <c r="C34" s="19" t="s">
        <v>111</v>
      </c>
      <c r="D34" s="20">
        <v>6682672</v>
      </c>
      <c r="E34" s="21" t="s">
        <v>112</v>
      </c>
      <c r="F34" s="19" t="s">
        <v>113</v>
      </c>
      <c r="G34" s="20">
        <v>5530277</v>
      </c>
    </row>
    <row r="35" spans="2:7" ht="15.75" thickBot="1" x14ac:dyDescent="0.3">
      <c r="B35" s="6"/>
      <c r="C35" s="28" t="s">
        <v>114</v>
      </c>
      <c r="D35" s="29">
        <f>+D21+D29</f>
        <v>200664716</v>
      </c>
      <c r="E35" s="21" t="s">
        <v>115</v>
      </c>
      <c r="F35" s="19" t="s">
        <v>116</v>
      </c>
      <c r="G35" s="20">
        <v>1876028</v>
      </c>
    </row>
    <row r="36" spans="2:7" x14ac:dyDescent="0.25">
      <c r="B36" s="6" t="s">
        <v>117</v>
      </c>
      <c r="C36" s="19" t="s">
        <v>118</v>
      </c>
      <c r="D36" s="20">
        <v>4522416</v>
      </c>
      <c r="E36" s="21" t="s">
        <v>119</v>
      </c>
      <c r="F36" s="19" t="s">
        <v>120</v>
      </c>
      <c r="G36" s="20">
        <v>2095783</v>
      </c>
    </row>
    <row r="37" spans="2:7" x14ac:dyDescent="0.25">
      <c r="B37" s="6" t="s">
        <v>121</v>
      </c>
      <c r="C37" s="19" t="s">
        <v>122</v>
      </c>
      <c r="D37" s="20">
        <v>42399202</v>
      </c>
      <c r="E37" s="21" t="s">
        <v>123</v>
      </c>
      <c r="F37" s="19" t="s">
        <v>124</v>
      </c>
      <c r="G37" s="20">
        <v>8490334</v>
      </c>
    </row>
    <row r="38" spans="2:7" x14ac:dyDescent="0.25">
      <c r="B38" s="6" t="s">
        <v>125</v>
      </c>
      <c r="C38" s="19" t="s">
        <v>126</v>
      </c>
      <c r="D38" s="20"/>
      <c r="E38" s="21" t="s">
        <v>127</v>
      </c>
      <c r="F38" s="19" t="s">
        <v>128</v>
      </c>
      <c r="G38" s="20">
        <v>12137655</v>
      </c>
    </row>
    <row r="39" spans="2:7" x14ac:dyDescent="0.25">
      <c r="B39" s="6" t="s">
        <v>129</v>
      </c>
      <c r="C39" s="19" t="s">
        <v>130</v>
      </c>
      <c r="D39" s="20"/>
      <c r="E39" s="21" t="s">
        <v>131</v>
      </c>
      <c r="F39" s="19" t="s">
        <v>132</v>
      </c>
      <c r="G39" s="20">
        <v>72790327</v>
      </c>
    </row>
    <row r="40" spans="2:7" x14ac:dyDescent="0.25">
      <c r="B40" s="6" t="s">
        <v>133</v>
      </c>
      <c r="C40" s="19" t="s">
        <v>134</v>
      </c>
      <c r="D40" s="20">
        <v>4798998.45</v>
      </c>
      <c r="E40" s="21"/>
      <c r="F40" s="33" t="s">
        <v>135</v>
      </c>
      <c r="G40" s="34">
        <f>SUM(G41:G46)</f>
        <v>39677865</v>
      </c>
    </row>
    <row r="41" spans="2:7" x14ac:dyDescent="0.25">
      <c r="B41" s="6" t="s">
        <v>136</v>
      </c>
      <c r="C41" s="19" t="s">
        <v>137</v>
      </c>
      <c r="D41" s="20">
        <v>52502446.399999999</v>
      </c>
      <c r="E41" s="21" t="s">
        <v>138</v>
      </c>
      <c r="F41" s="19" t="s">
        <v>139</v>
      </c>
      <c r="G41" s="20">
        <f>6364294-2482</f>
        <v>6361812</v>
      </c>
    </row>
    <row r="42" spans="2:7" x14ac:dyDescent="0.25">
      <c r="B42" s="6" t="s">
        <v>140</v>
      </c>
      <c r="C42" s="19" t="s">
        <v>141</v>
      </c>
      <c r="D42" s="20">
        <v>2474797.7400000002</v>
      </c>
      <c r="E42" s="21" t="s">
        <v>142</v>
      </c>
      <c r="F42" s="19" t="s">
        <v>143</v>
      </c>
      <c r="G42" s="20">
        <v>0</v>
      </c>
    </row>
    <row r="43" spans="2:7" x14ac:dyDescent="0.25">
      <c r="B43" s="6" t="s">
        <v>144</v>
      </c>
      <c r="C43" s="19" t="s">
        <v>145</v>
      </c>
      <c r="D43" s="20">
        <v>0</v>
      </c>
      <c r="E43" s="21" t="s">
        <v>146</v>
      </c>
      <c r="F43" s="19" t="s">
        <v>147</v>
      </c>
      <c r="G43" s="20">
        <v>2689432</v>
      </c>
    </row>
    <row r="44" spans="2:7" x14ac:dyDescent="0.25">
      <c r="B44" s="6" t="s">
        <v>148</v>
      </c>
      <c r="C44" s="19" t="s">
        <v>149</v>
      </c>
      <c r="D44" s="20">
        <v>0</v>
      </c>
      <c r="E44" s="21" t="s">
        <v>150</v>
      </c>
      <c r="F44" s="19" t="s">
        <v>151</v>
      </c>
      <c r="G44" s="20">
        <v>1830487</v>
      </c>
    </row>
    <row r="45" spans="2:7" x14ac:dyDescent="0.25">
      <c r="B45" s="6" t="s">
        <v>152</v>
      </c>
      <c r="C45" s="19" t="s">
        <v>153</v>
      </c>
      <c r="D45" s="20">
        <f>13601248.52+19349759.08+17187741.23+1262630.07+1</f>
        <v>51401379.899999999</v>
      </c>
      <c r="E45" s="21" t="s">
        <v>154</v>
      </c>
      <c r="F45" s="19" t="s">
        <v>155</v>
      </c>
      <c r="G45" s="20">
        <v>715630</v>
      </c>
    </row>
    <row r="46" spans="2:7" x14ac:dyDescent="0.25">
      <c r="B46" s="6" t="s">
        <v>156</v>
      </c>
      <c r="C46" s="19" t="s">
        <v>157</v>
      </c>
      <c r="D46" s="20">
        <v>6531954</v>
      </c>
      <c r="E46" s="21" t="s">
        <v>158</v>
      </c>
      <c r="F46" s="19" t="s">
        <v>159</v>
      </c>
      <c r="G46" s="20">
        <v>28080504</v>
      </c>
    </row>
    <row r="47" spans="2:7" ht="15.75" thickBot="1" x14ac:dyDescent="0.3">
      <c r="B47" s="6"/>
      <c r="C47" s="28" t="s">
        <v>160</v>
      </c>
      <c r="D47" s="29">
        <f>SUM(D36:D46)</f>
        <v>164631194.48999998</v>
      </c>
      <c r="E47" s="21" t="s">
        <v>161</v>
      </c>
      <c r="F47" s="19" t="s">
        <v>162</v>
      </c>
      <c r="G47" s="27">
        <f>2064307-1</f>
        <v>2064306</v>
      </c>
    </row>
    <row r="48" spans="2:7" ht="15.75" thickBot="1" x14ac:dyDescent="0.3">
      <c r="B48" s="6"/>
      <c r="C48" s="35" t="s">
        <v>163</v>
      </c>
      <c r="D48" s="36"/>
      <c r="E48" s="21"/>
      <c r="F48" s="28" t="s">
        <v>164</v>
      </c>
      <c r="G48" s="37">
        <f>+G33+G40+G47</f>
        <v>144662575</v>
      </c>
    </row>
    <row r="49" spans="2:7" x14ac:dyDescent="0.25">
      <c r="B49" s="6" t="s">
        <v>165</v>
      </c>
      <c r="C49" s="38" t="s">
        <v>166</v>
      </c>
      <c r="D49" s="39"/>
      <c r="E49" s="21" t="s">
        <v>167</v>
      </c>
      <c r="F49" s="22" t="s">
        <v>168</v>
      </c>
      <c r="G49" s="23">
        <v>36106007</v>
      </c>
    </row>
    <row r="50" spans="2:7" x14ac:dyDescent="0.25">
      <c r="B50" s="6" t="s">
        <v>169</v>
      </c>
      <c r="C50" s="19" t="s">
        <v>163</v>
      </c>
      <c r="D50" s="20">
        <v>10831297.92</v>
      </c>
      <c r="E50" s="21" t="s">
        <v>170</v>
      </c>
      <c r="F50" s="19" t="s">
        <v>171</v>
      </c>
      <c r="G50" s="20">
        <v>46103018</v>
      </c>
    </row>
    <row r="51" spans="2:7" x14ac:dyDescent="0.25">
      <c r="B51" s="6" t="s">
        <v>172</v>
      </c>
      <c r="C51" s="19" t="s">
        <v>173</v>
      </c>
      <c r="D51" s="27">
        <v>329097</v>
      </c>
      <c r="E51" s="21" t="s">
        <v>174</v>
      </c>
      <c r="F51" s="19" t="s">
        <v>175</v>
      </c>
      <c r="G51" s="20">
        <v>4695949</v>
      </c>
    </row>
    <row r="52" spans="2:7" ht="15.75" thickBot="1" x14ac:dyDescent="0.3">
      <c r="B52" s="12"/>
      <c r="C52" s="28" t="s">
        <v>176</v>
      </c>
      <c r="D52" s="29">
        <f>SUM(D49:D51)</f>
        <v>11160394.92</v>
      </c>
      <c r="E52" s="21" t="s">
        <v>177</v>
      </c>
      <c r="F52" s="19" t="s">
        <v>178</v>
      </c>
      <c r="G52" s="20">
        <v>0</v>
      </c>
    </row>
    <row r="53" spans="2:7" ht="15.75" thickBot="1" x14ac:dyDescent="0.3">
      <c r="B53" s="6"/>
      <c r="C53" s="40" t="s">
        <v>179</v>
      </c>
      <c r="D53" s="41">
        <f>D20+D35+D47+D52</f>
        <v>2067999953.4100001</v>
      </c>
      <c r="E53" s="21" t="s">
        <v>180</v>
      </c>
      <c r="F53" s="19" t="s">
        <v>181</v>
      </c>
      <c r="G53" s="20">
        <v>21431016</v>
      </c>
    </row>
    <row r="54" spans="2:7" x14ac:dyDescent="0.25">
      <c r="C54" s="42"/>
      <c r="D54" s="43"/>
      <c r="E54" s="21" t="s">
        <v>182</v>
      </c>
      <c r="F54" s="19" t="s">
        <v>183</v>
      </c>
      <c r="G54" s="20">
        <v>1876865</v>
      </c>
    </row>
    <row r="55" spans="2:7" x14ac:dyDescent="0.25">
      <c r="C55" s="44" t="s">
        <v>184</v>
      </c>
      <c r="D55" s="45"/>
      <c r="E55" s="21" t="s">
        <v>185</v>
      </c>
      <c r="F55" s="19" t="s">
        <v>186</v>
      </c>
      <c r="G55" s="20">
        <v>16966238</v>
      </c>
    </row>
    <row r="56" spans="2:7" x14ac:dyDescent="0.25">
      <c r="B56" s="6" t="s">
        <v>187</v>
      </c>
      <c r="C56" s="46" t="s">
        <v>188</v>
      </c>
      <c r="D56" s="20"/>
      <c r="E56" s="21" t="s">
        <v>189</v>
      </c>
      <c r="F56" s="19" t="s">
        <v>190</v>
      </c>
      <c r="G56" s="27">
        <v>3596686</v>
      </c>
    </row>
    <row r="57" spans="2:7" ht="15.75" thickBot="1" x14ac:dyDescent="0.3">
      <c r="B57" s="6" t="s">
        <v>191</v>
      </c>
      <c r="C57" s="46" t="s">
        <v>192</v>
      </c>
      <c r="D57" s="20"/>
      <c r="E57" s="21"/>
      <c r="F57" s="28" t="s">
        <v>193</v>
      </c>
      <c r="G57" s="29">
        <f>SUM(G49:G56)</f>
        <v>130775779</v>
      </c>
    </row>
    <row r="58" spans="2:7" x14ac:dyDescent="0.25">
      <c r="B58" s="6" t="s">
        <v>194</v>
      </c>
      <c r="C58" s="46" t="s">
        <v>195</v>
      </c>
      <c r="D58" s="20"/>
      <c r="E58" s="21" t="s">
        <v>196</v>
      </c>
      <c r="F58" s="22" t="s">
        <v>197</v>
      </c>
      <c r="G58" s="23">
        <v>22405747</v>
      </c>
    </row>
    <row r="59" spans="2:7" x14ac:dyDescent="0.25">
      <c r="B59" s="6" t="s">
        <v>198</v>
      </c>
      <c r="C59" s="19" t="s">
        <v>199</v>
      </c>
      <c r="D59" s="27"/>
      <c r="E59" s="21" t="s">
        <v>200</v>
      </c>
      <c r="F59" s="19" t="s">
        <v>201</v>
      </c>
      <c r="G59" s="20">
        <v>21194383</v>
      </c>
    </row>
    <row r="60" spans="2:7" ht="15.75" thickBot="1" x14ac:dyDescent="0.3">
      <c r="B60" s="6"/>
      <c r="C60" s="28" t="s">
        <v>202</v>
      </c>
      <c r="D60" s="29">
        <f>SUM(D56:D59)</f>
        <v>0</v>
      </c>
      <c r="E60" s="21" t="s">
        <v>203</v>
      </c>
      <c r="F60" s="19" t="s">
        <v>204</v>
      </c>
      <c r="G60" s="20">
        <v>769387</v>
      </c>
    </row>
    <row r="61" spans="2:7" ht="16.5" thickBot="1" x14ac:dyDescent="0.3">
      <c r="B61" s="47"/>
      <c r="C61" s="48" t="s">
        <v>205</v>
      </c>
      <c r="D61" s="49">
        <f>D53+D60</f>
        <v>2067999953.4100001</v>
      </c>
      <c r="E61" s="21" t="s">
        <v>206</v>
      </c>
      <c r="F61" s="19" t="s">
        <v>207</v>
      </c>
      <c r="G61" s="20">
        <v>3395843</v>
      </c>
    </row>
    <row r="62" spans="2:7" x14ac:dyDescent="0.25">
      <c r="B62" s="50"/>
      <c r="C62" s="51"/>
      <c r="D62" s="51"/>
      <c r="E62" s="21" t="s">
        <v>208</v>
      </c>
      <c r="F62" s="19" t="s">
        <v>209</v>
      </c>
      <c r="G62" s="20">
        <v>0</v>
      </c>
    </row>
    <row r="63" spans="2:7" x14ac:dyDescent="0.25">
      <c r="B63" s="52"/>
      <c r="C63" s="53" t="s">
        <v>8</v>
      </c>
      <c r="D63" s="53"/>
      <c r="E63" s="21" t="s">
        <v>210</v>
      </c>
      <c r="F63" s="19" t="s">
        <v>211</v>
      </c>
      <c r="G63" s="20">
        <v>6149908</v>
      </c>
    </row>
    <row r="64" spans="2:7" x14ac:dyDescent="0.25">
      <c r="B64" s="54" t="s">
        <v>212</v>
      </c>
      <c r="C64" s="55" t="s">
        <v>213</v>
      </c>
      <c r="D64" s="55">
        <f>[16]Amortizaciones!D6</f>
        <v>19358465</v>
      </c>
      <c r="E64" s="21" t="s">
        <v>214</v>
      </c>
      <c r="F64" s="19" t="s">
        <v>215</v>
      </c>
      <c r="G64" s="20">
        <v>1195515</v>
      </c>
    </row>
    <row r="65" spans="2:7" x14ac:dyDescent="0.25">
      <c r="B65" s="54" t="s">
        <v>216</v>
      </c>
      <c r="C65" s="55" t="s">
        <v>217</v>
      </c>
      <c r="D65" s="55">
        <f>[16]Amortizaciones!D7</f>
        <v>0</v>
      </c>
      <c r="E65" s="21" t="s">
        <v>218</v>
      </c>
      <c r="F65" s="19" t="s">
        <v>219</v>
      </c>
      <c r="G65" s="20">
        <v>45063</v>
      </c>
    </row>
    <row r="66" spans="2:7" x14ac:dyDescent="0.25">
      <c r="B66" s="54" t="s">
        <v>220</v>
      </c>
      <c r="C66" s="55" t="s">
        <v>221</v>
      </c>
      <c r="D66" s="55">
        <f>[16]Amortizaciones!D8</f>
        <v>23342183</v>
      </c>
      <c r="E66" s="21" t="s">
        <v>222</v>
      </c>
      <c r="F66" s="19" t="s">
        <v>223</v>
      </c>
      <c r="G66" s="20">
        <v>13093087</v>
      </c>
    </row>
    <row r="67" spans="2:7" x14ac:dyDescent="0.25">
      <c r="B67" s="54" t="s">
        <v>224</v>
      </c>
      <c r="C67" s="55" t="s">
        <v>225</v>
      </c>
      <c r="D67" s="55">
        <f>[16]Amortizaciones!D9</f>
        <v>0</v>
      </c>
      <c r="E67" s="21" t="s">
        <v>226</v>
      </c>
      <c r="F67" s="19" t="s">
        <v>227</v>
      </c>
      <c r="G67" s="20">
        <v>232450</v>
      </c>
    </row>
    <row r="68" spans="2:7" x14ac:dyDescent="0.25">
      <c r="B68" s="54" t="s">
        <v>228</v>
      </c>
      <c r="C68" s="55" t="s">
        <v>229</v>
      </c>
      <c r="D68" s="55">
        <f>[16]Amortizaciones!D10</f>
        <v>4241413</v>
      </c>
      <c r="E68" s="21" t="s">
        <v>230</v>
      </c>
      <c r="F68" s="19" t="s">
        <v>231</v>
      </c>
      <c r="G68" s="20">
        <v>41162</v>
      </c>
    </row>
    <row r="69" spans="2:7" x14ac:dyDescent="0.25">
      <c r="B69" s="54" t="s">
        <v>232</v>
      </c>
      <c r="C69" s="55" t="s">
        <v>233</v>
      </c>
      <c r="D69" s="55">
        <f>[16]Amortizaciones!D11</f>
        <v>865972</v>
      </c>
      <c r="E69" s="21" t="s">
        <v>234</v>
      </c>
      <c r="F69" s="19" t="s">
        <v>235</v>
      </c>
      <c r="G69" s="20">
        <v>1024008</v>
      </c>
    </row>
    <row r="70" spans="2:7" x14ac:dyDescent="0.25">
      <c r="B70" s="54" t="s">
        <v>236</v>
      </c>
      <c r="C70" s="55" t="s">
        <v>237</v>
      </c>
      <c r="D70" s="55">
        <f>[16]Amortizaciones!D12</f>
        <v>4496000</v>
      </c>
      <c r="E70" s="21" t="s">
        <v>238</v>
      </c>
      <c r="F70" s="19" t="s">
        <v>239</v>
      </c>
      <c r="G70" s="20">
        <v>3528702</v>
      </c>
    </row>
    <row r="71" spans="2:7" x14ac:dyDescent="0.25">
      <c r="B71" s="54" t="s">
        <v>240</v>
      </c>
      <c r="C71" s="55" t="s">
        <v>241</v>
      </c>
      <c r="D71" s="55">
        <f>[16]Amortizaciones!D13</f>
        <v>0</v>
      </c>
      <c r="E71" s="21" t="s">
        <v>242</v>
      </c>
      <c r="F71" s="19" t="s">
        <v>243</v>
      </c>
      <c r="G71" s="20">
        <v>0</v>
      </c>
    </row>
    <row r="72" spans="2:7" x14ac:dyDescent="0.25">
      <c r="B72" s="54" t="s">
        <v>244</v>
      </c>
      <c r="C72" s="55" t="s">
        <v>245</v>
      </c>
      <c r="D72" s="55">
        <f>[16]Amortizaciones!D14</f>
        <v>0</v>
      </c>
      <c r="E72" s="21" t="s">
        <v>246</v>
      </c>
      <c r="F72" s="19" t="s">
        <v>247</v>
      </c>
      <c r="G72" s="20">
        <v>1132800</v>
      </c>
    </row>
    <row r="73" spans="2:7" x14ac:dyDescent="0.25">
      <c r="B73" s="54" t="s">
        <v>248</v>
      </c>
      <c r="C73" s="55" t="s">
        <v>249</v>
      </c>
      <c r="D73" s="55">
        <f>[16]Amortizaciones!D15</f>
        <v>0</v>
      </c>
      <c r="E73" s="21" t="s">
        <v>250</v>
      </c>
      <c r="F73" s="19" t="s">
        <v>251</v>
      </c>
      <c r="G73" s="20">
        <v>0</v>
      </c>
    </row>
    <row r="74" spans="2:7" x14ac:dyDescent="0.25">
      <c r="B74" s="54" t="s">
        <v>252</v>
      </c>
      <c r="C74" s="55" t="s">
        <v>253</v>
      </c>
      <c r="D74" s="55">
        <f>[16]Amortizaciones!D16</f>
        <v>0</v>
      </c>
      <c r="E74" s="21" t="s">
        <v>254</v>
      </c>
      <c r="F74" s="19" t="s">
        <v>255</v>
      </c>
      <c r="G74" s="20">
        <v>0</v>
      </c>
    </row>
    <row r="75" spans="2:7" x14ac:dyDescent="0.25">
      <c r="B75" s="54" t="s">
        <v>256</v>
      </c>
      <c r="C75" s="55" t="s">
        <v>257</v>
      </c>
      <c r="D75" s="55">
        <f>[16]Amortizaciones!D17</f>
        <v>0</v>
      </c>
      <c r="E75" s="21" t="s">
        <v>258</v>
      </c>
      <c r="F75" s="19" t="s">
        <v>259</v>
      </c>
      <c r="G75" s="20">
        <v>7763592</v>
      </c>
    </row>
    <row r="76" spans="2:7" x14ac:dyDescent="0.25">
      <c r="B76" s="54" t="s">
        <v>260</v>
      </c>
      <c r="C76" s="55" t="s">
        <v>261</v>
      </c>
      <c r="D76" s="55">
        <f>[16]Amortizaciones!D18</f>
        <v>0</v>
      </c>
      <c r="E76" s="21" t="s">
        <v>262</v>
      </c>
      <c r="F76" s="19" t="s">
        <v>263</v>
      </c>
      <c r="G76" s="20">
        <v>31710300</v>
      </c>
    </row>
    <row r="77" spans="2:7" x14ac:dyDescent="0.25">
      <c r="B77" s="54" t="s">
        <v>264</v>
      </c>
      <c r="C77" s="55" t="s">
        <v>265</v>
      </c>
      <c r="D77" s="55">
        <f>SUM(D64:D76)</f>
        <v>52304033</v>
      </c>
      <c r="E77" s="21" t="s">
        <v>266</v>
      </c>
      <c r="F77" s="19" t="s">
        <v>267</v>
      </c>
      <c r="G77" s="20">
        <f>4427+4240027+464+3329603+3042+45736+9667634+2778068</f>
        <v>20069001</v>
      </c>
    </row>
    <row r="78" spans="2:7" x14ac:dyDescent="0.25">
      <c r="B78" s="54"/>
      <c r="C78" s="55"/>
      <c r="D78" s="55"/>
      <c r="E78" s="21" t="s">
        <v>268</v>
      </c>
      <c r="F78" s="19" t="s">
        <v>269</v>
      </c>
      <c r="G78" s="27">
        <v>5884789</v>
      </c>
    </row>
    <row r="79" spans="2:7" ht="15.75" thickBot="1" x14ac:dyDescent="0.3">
      <c r="B79" s="54"/>
      <c r="C79" s="53" t="s">
        <v>270</v>
      </c>
      <c r="D79" s="56"/>
      <c r="E79" s="21"/>
      <c r="F79" s="28" t="s">
        <v>271</v>
      </c>
      <c r="G79" s="29">
        <f>SUM(G58:G78)</f>
        <v>139635737</v>
      </c>
    </row>
    <row r="80" spans="2:7" x14ac:dyDescent="0.25">
      <c r="B80" s="54" t="s">
        <v>272</v>
      </c>
      <c r="C80" s="55" t="s">
        <v>237</v>
      </c>
      <c r="D80" s="55">
        <f>[16]Amortizaciones!D22</f>
        <v>0</v>
      </c>
      <c r="E80" s="21" t="s">
        <v>273</v>
      </c>
      <c r="F80" s="22" t="s">
        <v>274</v>
      </c>
      <c r="G80" s="23">
        <v>4732905</v>
      </c>
    </row>
    <row r="81" spans="2:7" x14ac:dyDescent="0.25">
      <c r="B81" s="54" t="s">
        <v>275</v>
      </c>
      <c r="C81" s="55" t="s">
        <v>241</v>
      </c>
      <c r="D81" s="55">
        <f>[16]Amortizaciones!D23</f>
        <v>2107626</v>
      </c>
      <c r="E81" s="21" t="s">
        <v>276</v>
      </c>
      <c r="F81" s="19" t="s">
        <v>277</v>
      </c>
      <c r="G81" s="20">
        <v>0</v>
      </c>
    </row>
    <row r="82" spans="2:7" x14ac:dyDescent="0.25">
      <c r="B82" s="54" t="s">
        <v>278</v>
      </c>
      <c r="C82" s="55" t="s">
        <v>245</v>
      </c>
      <c r="D82" s="55">
        <f>[16]Amortizaciones!D24</f>
        <v>5220252</v>
      </c>
      <c r="E82" s="21" t="s">
        <v>279</v>
      </c>
      <c r="F82" s="19" t="s">
        <v>280</v>
      </c>
      <c r="G82" s="20">
        <v>3345587</v>
      </c>
    </row>
    <row r="83" spans="2:7" x14ac:dyDescent="0.25">
      <c r="B83" s="54" t="s">
        <v>281</v>
      </c>
      <c r="C83" s="55" t="s">
        <v>249</v>
      </c>
      <c r="D83" s="55">
        <f>[16]Amortizaciones!D25</f>
        <v>0</v>
      </c>
      <c r="E83" s="21" t="s">
        <v>282</v>
      </c>
      <c r="F83" s="19" t="s">
        <v>283</v>
      </c>
      <c r="G83" s="20">
        <v>5714846</v>
      </c>
    </row>
    <row r="84" spans="2:7" x14ac:dyDescent="0.25">
      <c r="B84" s="54" t="s">
        <v>284</v>
      </c>
      <c r="C84" s="55" t="s">
        <v>285</v>
      </c>
      <c r="D84" s="55">
        <v>0</v>
      </c>
      <c r="E84" s="21" t="s">
        <v>286</v>
      </c>
      <c r="F84" s="19" t="s">
        <v>287</v>
      </c>
      <c r="G84" s="20">
        <v>12747923</v>
      </c>
    </row>
    <row r="85" spans="2:7" x14ac:dyDescent="0.25">
      <c r="B85" s="54" t="s">
        <v>288</v>
      </c>
      <c r="C85" s="55" t="s">
        <v>289</v>
      </c>
      <c r="D85" s="55">
        <f>[16]Amortizaciones!D27</f>
        <v>0</v>
      </c>
      <c r="E85" s="21" t="s">
        <v>290</v>
      </c>
      <c r="F85" s="19" t="s">
        <v>291</v>
      </c>
      <c r="G85" s="20">
        <v>9724071</v>
      </c>
    </row>
    <row r="86" spans="2:7" x14ac:dyDescent="0.25">
      <c r="B86" s="54" t="s">
        <v>292</v>
      </c>
      <c r="C86" s="55" t="s">
        <v>293</v>
      </c>
      <c r="D86" s="55">
        <f>[16]Amortizaciones!D28</f>
        <v>0</v>
      </c>
      <c r="E86" s="21" t="s">
        <v>294</v>
      </c>
      <c r="F86" s="19" t="s">
        <v>295</v>
      </c>
      <c r="G86" s="20">
        <f>464517+333575+591656</f>
        <v>1389748</v>
      </c>
    </row>
    <row r="87" spans="2:7" x14ac:dyDescent="0.25">
      <c r="B87" s="54" t="s">
        <v>296</v>
      </c>
      <c r="C87" s="55" t="s">
        <v>297</v>
      </c>
      <c r="D87" s="55">
        <f>[16]Amortizaciones!D29</f>
        <v>0</v>
      </c>
      <c r="E87" s="21" t="s">
        <v>298</v>
      </c>
      <c r="F87" s="19" t="s">
        <v>299</v>
      </c>
      <c r="G87" s="20">
        <v>1293019</v>
      </c>
    </row>
    <row r="88" spans="2:7" x14ac:dyDescent="0.25">
      <c r="B88" s="54" t="s">
        <v>300</v>
      </c>
      <c r="C88" s="55" t="s">
        <v>301</v>
      </c>
      <c r="D88" s="55">
        <f>[16]Amortizaciones!D30</f>
        <v>4910691</v>
      </c>
      <c r="E88" s="21" t="s">
        <v>302</v>
      </c>
      <c r="F88" s="19" t="s">
        <v>303</v>
      </c>
      <c r="G88" s="20">
        <v>3125990</v>
      </c>
    </row>
    <row r="89" spans="2:7" x14ac:dyDescent="0.25">
      <c r="B89" s="54" t="s">
        <v>304</v>
      </c>
      <c r="C89" s="55" t="s">
        <v>213</v>
      </c>
      <c r="D89" s="55">
        <f>[16]Amortizaciones!D31</f>
        <v>0</v>
      </c>
      <c r="E89" s="21" t="s">
        <v>305</v>
      </c>
      <c r="F89" s="19" t="s">
        <v>306</v>
      </c>
      <c r="G89" s="20">
        <v>9927435</v>
      </c>
    </row>
    <row r="90" spans="2:7" x14ac:dyDescent="0.25">
      <c r="B90" s="54" t="s">
        <v>307</v>
      </c>
      <c r="C90" s="55" t="s">
        <v>229</v>
      </c>
      <c r="D90" s="55">
        <f>[16]Amortizaciones!D32</f>
        <v>0</v>
      </c>
      <c r="E90" s="21" t="s">
        <v>308</v>
      </c>
      <c r="F90" s="19" t="s">
        <v>309</v>
      </c>
      <c r="G90" s="20">
        <v>0</v>
      </c>
    </row>
    <row r="91" spans="2:7" x14ac:dyDescent="0.25">
      <c r="B91" s="54" t="s">
        <v>310</v>
      </c>
      <c r="C91" s="55" t="s">
        <v>311</v>
      </c>
      <c r="D91" s="55">
        <f>SUM(D80:D90)</f>
        <v>12238569</v>
      </c>
      <c r="E91" s="52" t="s">
        <v>312</v>
      </c>
      <c r="F91" s="19" t="s">
        <v>313</v>
      </c>
      <c r="G91" s="20">
        <v>0</v>
      </c>
    </row>
    <row r="92" spans="2:7" x14ac:dyDescent="0.25">
      <c r="B92" s="54"/>
      <c r="C92" s="57" t="s">
        <v>314</v>
      </c>
      <c r="D92" s="55">
        <f>D77+D91</f>
        <v>64542602</v>
      </c>
      <c r="E92" s="52" t="s">
        <v>315</v>
      </c>
      <c r="F92" s="19" t="s">
        <v>316</v>
      </c>
      <c r="G92" s="20">
        <v>0</v>
      </c>
    </row>
    <row r="93" spans="2:7" x14ac:dyDescent="0.25">
      <c r="E93" s="52" t="s">
        <v>317</v>
      </c>
      <c r="F93" s="19" t="s">
        <v>318</v>
      </c>
      <c r="G93" s="20">
        <v>1304917</v>
      </c>
    </row>
    <row r="94" spans="2:7" x14ac:dyDescent="0.25">
      <c r="E94" s="52" t="s">
        <v>319</v>
      </c>
      <c r="F94" s="19" t="s">
        <v>320</v>
      </c>
      <c r="G94" s="27">
        <v>2178379</v>
      </c>
    </row>
    <row r="95" spans="2:7" ht="13.5" customHeight="1" thickBot="1" x14ac:dyDescent="0.3">
      <c r="E95" s="21"/>
      <c r="F95" s="28" t="s">
        <v>321</v>
      </c>
      <c r="G95" s="29">
        <f>SUM(G80:G94)</f>
        <v>55484820</v>
      </c>
    </row>
    <row r="96" spans="2:7" x14ac:dyDescent="0.25">
      <c r="E96" s="52" t="s">
        <v>322</v>
      </c>
      <c r="F96" s="22" t="s">
        <v>323</v>
      </c>
      <c r="G96" s="23">
        <v>2575958</v>
      </c>
    </row>
    <row r="97" spans="2:7" x14ac:dyDescent="0.25">
      <c r="E97" s="52" t="s">
        <v>324</v>
      </c>
      <c r="F97" s="19" t="s">
        <v>325</v>
      </c>
      <c r="G97" s="20">
        <f>4737679+2236294+235440-1</f>
        <v>7209412</v>
      </c>
    </row>
    <row r="98" spans="2:7" x14ac:dyDescent="0.25">
      <c r="E98" s="52" t="s">
        <v>326</v>
      </c>
      <c r="F98" s="19" t="s">
        <v>327</v>
      </c>
      <c r="G98" s="20">
        <v>1247431</v>
      </c>
    </row>
    <row r="99" spans="2:7" x14ac:dyDescent="0.25">
      <c r="E99" s="52" t="s">
        <v>328</v>
      </c>
      <c r="F99" s="19" t="s">
        <v>329</v>
      </c>
      <c r="G99" s="20">
        <f>8762254+2015740+924946</f>
        <v>11702940</v>
      </c>
    </row>
    <row r="100" spans="2:7" x14ac:dyDescent="0.25">
      <c r="E100" s="52" t="s">
        <v>330</v>
      </c>
      <c r="F100" s="19" t="s">
        <v>331</v>
      </c>
      <c r="G100" s="27">
        <v>885311</v>
      </c>
    </row>
    <row r="101" spans="2:7" ht="15.75" thickBot="1" x14ac:dyDescent="0.3">
      <c r="E101" s="21"/>
      <c r="F101" s="28" t="s">
        <v>332</v>
      </c>
      <c r="G101" s="29">
        <f>SUM(G96:G100)</f>
        <v>23621052</v>
      </c>
    </row>
    <row r="102" spans="2:7" ht="15.75" thickBot="1" x14ac:dyDescent="0.3">
      <c r="E102" s="52"/>
      <c r="F102" s="59" t="s">
        <v>333</v>
      </c>
      <c r="G102" s="60">
        <f>[16]Amortizaciones!D19</f>
        <v>52304033</v>
      </c>
    </row>
    <row r="103" spans="2:7" x14ac:dyDescent="0.25">
      <c r="E103" s="52" t="s">
        <v>334</v>
      </c>
      <c r="F103" s="19" t="s">
        <v>335</v>
      </c>
      <c r="G103" s="23">
        <v>0</v>
      </c>
    </row>
    <row r="104" spans="2:7" x14ac:dyDescent="0.25">
      <c r="E104" s="52" t="s">
        <v>336</v>
      </c>
      <c r="F104" s="61" t="s">
        <v>337</v>
      </c>
      <c r="G104" s="20">
        <v>0</v>
      </c>
    </row>
    <row r="105" spans="2:7" ht="15.75" thickBot="1" x14ac:dyDescent="0.3">
      <c r="E105" s="21"/>
      <c r="F105" s="28" t="s">
        <v>338</v>
      </c>
      <c r="G105" s="29">
        <f>SUM(G103:G104)</f>
        <v>0</v>
      </c>
    </row>
    <row r="106" spans="2:7" ht="13.7" customHeight="1" thickBot="1" x14ac:dyDescent="0.3">
      <c r="B106" s="6"/>
      <c r="C106" s="62"/>
      <c r="D106" s="62"/>
      <c r="E106" s="52"/>
      <c r="F106" s="48" t="s">
        <v>339</v>
      </c>
      <c r="G106" s="49">
        <f>G19+G27+G32+G48+G57+G79+G95+G101+G102+G105</f>
        <v>2022364114</v>
      </c>
    </row>
    <row r="107" spans="2:7" ht="13.7" customHeight="1" x14ac:dyDescent="0.25">
      <c r="B107" s="6"/>
      <c r="C107" s="62"/>
      <c r="D107" s="62"/>
      <c r="E107" s="21"/>
      <c r="F107" s="63"/>
      <c r="G107" s="64"/>
    </row>
    <row r="108" spans="2:7" ht="13.7" customHeight="1" thickBot="1" x14ac:dyDescent="0.3">
      <c r="B108" s="6"/>
      <c r="C108" s="62"/>
      <c r="D108" s="62"/>
      <c r="E108" s="21"/>
    </row>
    <row r="109" spans="2:7" ht="13.7" customHeight="1" thickBot="1" x14ac:dyDescent="0.3">
      <c r="B109" s="6"/>
      <c r="C109" s="62"/>
      <c r="D109" s="62"/>
      <c r="E109" s="21"/>
      <c r="F109" s="13" t="s">
        <v>340</v>
      </c>
      <c r="G109" s="65">
        <f>D61-G106</f>
        <v>45635839.410000086</v>
      </c>
    </row>
    <row r="110" spans="2:7" ht="13.7" customHeight="1" thickBot="1" x14ac:dyDescent="0.3">
      <c r="B110" s="6"/>
      <c r="C110" s="62"/>
      <c r="D110" s="62"/>
      <c r="E110" s="21"/>
    </row>
    <row r="111" spans="2:7" ht="13.7" customHeight="1" thickBot="1" x14ac:dyDescent="0.3">
      <c r="C111" s="48" t="s">
        <v>270</v>
      </c>
      <c r="D111" s="17">
        <f>+[16]E.S.P.!D6</f>
        <v>2020</v>
      </c>
      <c r="E111" s="52"/>
      <c r="F111" s="48" t="s">
        <v>341</v>
      </c>
      <c r="G111" s="17">
        <f>+[16]E.S.P.!D6</f>
        <v>2020</v>
      </c>
    </row>
    <row r="112" spans="2:7" ht="13.7" customHeight="1" x14ac:dyDescent="0.25">
      <c r="B112" s="6" t="s">
        <v>342</v>
      </c>
      <c r="C112" s="66" t="s">
        <v>343</v>
      </c>
      <c r="D112" s="67">
        <v>16062240</v>
      </c>
      <c r="E112" s="21" t="s">
        <v>344</v>
      </c>
      <c r="F112" s="66" t="s">
        <v>309</v>
      </c>
      <c r="G112" s="67">
        <v>196050</v>
      </c>
    </row>
    <row r="113" spans="2:7" ht="13.7" customHeight="1" x14ac:dyDescent="0.25">
      <c r="B113" s="6" t="s">
        <v>345</v>
      </c>
      <c r="C113" s="68" t="s">
        <v>346</v>
      </c>
      <c r="D113" s="69">
        <v>18043202</v>
      </c>
      <c r="E113" s="21" t="s">
        <v>347</v>
      </c>
      <c r="F113" s="68" t="s">
        <v>348</v>
      </c>
      <c r="G113" s="69">
        <v>0</v>
      </c>
    </row>
    <row r="114" spans="2:7" ht="13.7" customHeight="1" x14ac:dyDescent="0.25">
      <c r="B114" s="6" t="s">
        <v>349</v>
      </c>
      <c r="C114" s="68" t="s">
        <v>48</v>
      </c>
      <c r="D114" s="69">
        <v>0</v>
      </c>
      <c r="E114" s="21" t="s">
        <v>350</v>
      </c>
      <c r="F114" s="68" t="s">
        <v>351</v>
      </c>
      <c r="G114" s="69">
        <v>0</v>
      </c>
    </row>
    <row r="115" spans="2:7" ht="13.7" customHeight="1" x14ac:dyDescent="0.25">
      <c r="B115" s="6" t="s">
        <v>352</v>
      </c>
      <c r="C115" s="68" t="s">
        <v>353</v>
      </c>
      <c r="D115" s="69">
        <v>687709</v>
      </c>
      <c r="E115" s="21" t="s">
        <v>354</v>
      </c>
      <c r="F115" s="68" t="s">
        <v>355</v>
      </c>
      <c r="G115" s="69">
        <v>0</v>
      </c>
    </row>
    <row r="116" spans="2:7" ht="13.7" customHeight="1" x14ac:dyDescent="0.25">
      <c r="B116" s="6" t="s">
        <v>356</v>
      </c>
      <c r="C116" s="68" t="s">
        <v>357</v>
      </c>
      <c r="D116" s="69">
        <v>767063</v>
      </c>
      <c r="E116" s="21" t="s">
        <v>358</v>
      </c>
      <c r="F116" s="68" t="s">
        <v>359</v>
      </c>
      <c r="G116" s="69">
        <v>0</v>
      </c>
    </row>
    <row r="117" spans="2:7" ht="13.7" customHeight="1" x14ac:dyDescent="0.25">
      <c r="B117" s="6" t="s">
        <v>360</v>
      </c>
      <c r="C117" s="68" t="s">
        <v>361</v>
      </c>
      <c r="D117" s="69">
        <v>0</v>
      </c>
      <c r="E117" s="21" t="s">
        <v>362</v>
      </c>
      <c r="F117" s="68" t="s">
        <v>363</v>
      </c>
      <c r="G117" s="69">
        <v>396633</v>
      </c>
    </row>
    <row r="118" spans="2:7" ht="13.7" customHeight="1" x14ac:dyDescent="0.25">
      <c r="B118" s="6" t="s">
        <v>364</v>
      </c>
      <c r="C118" s="68" t="s">
        <v>365</v>
      </c>
      <c r="D118" s="69">
        <v>0</v>
      </c>
      <c r="E118" s="21" t="s">
        <v>366</v>
      </c>
      <c r="F118" s="68" t="s">
        <v>367</v>
      </c>
      <c r="G118" s="69">
        <v>0</v>
      </c>
    </row>
    <row r="119" spans="2:7" ht="13.7" customHeight="1" x14ac:dyDescent="0.25">
      <c r="B119" s="6" t="s">
        <v>368</v>
      </c>
      <c r="C119" s="68" t="s">
        <v>369</v>
      </c>
      <c r="D119" s="69">
        <v>833245</v>
      </c>
      <c r="E119" s="21" t="s">
        <v>370</v>
      </c>
      <c r="F119" s="68" t="s">
        <v>371</v>
      </c>
      <c r="G119" s="69">
        <v>0</v>
      </c>
    </row>
    <row r="120" spans="2:7" ht="13.7" customHeight="1" x14ac:dyDescent="0.25">
      <c r="B120" s="6" t="s">
        <v>372</v>
      </c>
      <c r="C120" s="68" t="s">
        <v>373</v>
      </c>
      <c r="D120" s="69">
        <v>0</v>
      </c>
      <c r="E120" s="21" t="s">
        <v>374</v>
      </c>
      <c r="F120" s="68" t="s">
        <v>375</v>
      </c>
      <c r="G120" s="69">
        <v>0</v>
      </c>
    </row>
    <row r="121" spans="2:7" ht="13.7" customHeight="1" x14ac:dyDescent="0.25">
      <c r="B121" s="6" t="s">
        <v>376</v>
      </c>
      <c r="C121" s="19" t="s">
        <v>377</v>
      </c>
      <c r="D121" s="69">
        <v>1603696</v>
      </c>
      <c r="E121" s="21" t="s">
        <v>378</v>
      </c>
      <c r="F121" s="68" t="s">
        <v>379</v>
      </c>
      <c r="G121" s="69">
        <f>203+2767850</f>
        <v>2768053</v>
      </c>
    </row>
    <row r="122" spans="2:7" ht="13.7" customHeight="1" thickBot="1" x14ac:dyDescent="0.3">
      <c r="B122" s="6"/>
      <c r="C122" s="28" t="s">
        <v>380</v>
      </c>
      <c r="D122" s="37">
        <f>SUM(D112:D121)</f>
        <v>37997155</v>
      </c>
      <c r="E122" s="21" t="s">
        <v>381</v>
      </c>
      <c r="F122" s="19" t="s">
        <v>382</v>
      </c>
      <c r="G122" s="20">
        <v>93638</v>
      </c>
    </row>
    <row r="123" spans="2:7" ht="13.7" customHeight="1" thickBot="1" x14ac:dyDescent="0.3">
      <c r="B123" s="6" t="s">
        <v>383</v>
      </c>
      <c r="C123" s="70" t="s">
        <v>309</v>
      </c>
      <c r="D123" s="67">
        <v>810210</v>
      </c>
      <c r="E123" s="52"/>
      <c r="F123" s="28" t="s">
        <v>384</v>
      </c>
      <c r="G123" s="37">
        <f>SUM(G112:G122)</f>
        <v>3454374</v>
      </c>
    </row>
    <row r="124" spans="2:7" ht="13.7" customHeight="1" x14ac:dyDescent="0.25">
      <c r="B124" s="6" t="s">
        <v>385</v>
      </c>
      <c r="C124" s="68" t="s">
        <v>313</v>
      </c>
      <c r="D124" s="69">
        <v>0</v>
      </c>
      <c r="E124" s="21" t="s">
        <v>386</v>
      </c>
      <c r="F124" s="68" t="s">
        <v>387</v>
      </c>
      <c r="G124" s="69">
        <v>3270203</v>
      </c>
    </row>
    <row r="125" spans="2:7" ht="13.7" customHeight="1" x14ac:dyDescent="0.25">
      <c r="B125" s="6" t="s">
        <v>388</v>
      </c>
      <c r="C125" s="19" t="s">
        <v>389</v>
      </c>
      <c r="D125" s="69">
        <v>33788</v>
      </c>
      <c r="E125" s="21" t="s">
        <v>390</v>
      </c>
      <c r="F125" s="68" t="s">
        <v>391</v>
      </c>
      <c r="G125" s="69">
        <v>22000</v>
      </c>
    </row>
    <row r="126" spans="2:7" ht="13.7" customHeight="1" thickBot="1" x14ac:dyDescent="0.3">
      <c r="B126" s="6"/>
      <c r="C126" s="28" t="s">
        <v>392</v>
      </c>
      <c r="D126" s="37">
        <f>SUM(D123:D125)</f>
        <v>843998</v>
      </c>
      <c r="E126" s="21" t="s">
        <v>393</v>
      </c>
      <c r="F126" s="68" t="s">
        <v>394</v>
      </c>
      <c r="G126" s="69">
        <v>0</v>
      </c>
    </row>
    <row r="127" spans="2:7" ht="13.7" customHeight="1" x14ac:dyDescent="0.25">
      <c r="B127" s="6" t="s">
        <v>395</v>
      </c>
      <c r="C127" s="66" t="s">
        <v>274</v>
      </c>
      <c r="D127" s="67">
        <v>0</v>
      </c>
      <c r="E127" s="21" t="s">
        <v>396</v>
      </c>
      <c r="F127" s="68" t="s">
        <v>397</v>
      </c>
      <c r="G127" s="69">
        <v>0</v>
      </c>
    </row>
    <row r="128" spans="2:7" ht="13.7" customHeight="1" x14ac:dyDescent="0.25">
      <c r="B128" s="6" t="s">
        <v>398</v>
      </c>
      <c r="C128" s="68" t="s">
        <v>399</v>
      </c>
      <c r="D128" s="69">
        <v>0</v>
      </c>
      <c r="E128" s="21" t="s">
        <v>400</v>
      </c>
      <c r="F128" s="68" t="s">
        <v>401</v>
      </c>
      <c r="G128" s="69">
        <v>0</v>
      </c>
    </row>
    <row r="129" spans="2:7" ht="13.7" customHeight="1" x14ac:dyDescent="0.25">
      <c r="B129" s="6" t="s">
        <v>402</v>
      </c>
      <c r="C129" s="68" t="s">
        <v>277</v>
      </c>
      <c r="D129" s="69">
        <v>0</v>
      </c>
      <c r="E129" s="21" t="s">
        <v>403</v>
      </c>
      <c r="F129" s="68" t="s">
        <v>404</v>
      </c>
      <c r="G129" s="69">
        <v>0</v>
      </c>
    </row>
    <row r="130" spans="2:7" ht="13.7" customHeight="1" x14ac:dyDescent="0.25">
      <c r="B130" s="6" t="s">
        <v>405</v>
      </c>
      <c r="C130" s="68" t="s">
        <v>283</v>
      </c>
      <c r="D130" s="69">
        <v>0</v>
      </c>
      <c r="E130" s="21" t="s">
        <v>406</v>
      </c>
      <c r="F130" s="68" t="s">
        <v>407</v>
      </c>
      <c r="G130" s="69">
        <v>0</v>
      </c>
    </row>
    <row r="131" spans="2:7" ht="13.7" customHeight="1" x14ac:dyDescent="0.25">
      <c r="B131" s="6" t="s">
        <v>408</v>
      </c>
      <c r="C131" s="68" t="s">
        <v>287</v>
      </c>
      <c r="D131" s="69">
        <v>0</v>
      </c>
      <c r="E131" s="21" t="s">
        <v>409</v>
      </c>
      <c r="F131" s="68" t="s">
        <v>410</v>
      </c>
      <c r="G131" s="69">
        <v>0</v>
      </c>
    </row>
    <row r="132" spans="2:7" ht="13.7" customHeight="1" x14ac:dyDescent="0.25">
      <c r="B132" s="6" t="s">
        <v>411</v>
      </c>
      <c r="C132" s="68" t="s">
        <v>291</v>
      </c>
      <c r="D132" s="69">
        <v>0</v>
      </c>
      <c r="E132" s="21" t="s">
        <v>412</v>
      </c>
      <c r="F132" s="68" t="s">
        <v>413</v>
      </c>
      <c r="G132" s="69">
        <v>0</v>
      </c>
    </row>
    <row r="133" spans="2:7" ht="13.7" customHeight="1" x14ac:dyDescent="0.25">
      <c r="B133" s="6" t="s">
        <v>414</v>
      </c>
      <c r="C133" s="68" t="s">
        <v>295</v>
      </c>
      <c r="D133" s="69">
        <v>88953</v>
      </c>
      <c r="E133" s="21" t="s">
        <v>415</v>
      </c>
      <c r="F133" s="68" t="s">
        <v>416</v>
      </c>
      <c r="G133" s="69">
        <f>13671939+1888221-12148423</f>
        <v>3411737</v>
      </c>
    </row>
    <row r="134" spans="2:7" ht="13.7" customHeight="1" x14ac:dyDescent="0.25">
      <c r="B134" s="6" t="s">
        <v>417</v>
      </c>
      <c r="C134" s="68" t="s">
        <v>418</v>
      </c>
      <c r="D134" s="69">
        <f>4461376+1645</f>
        <v>4463021</v>
      </c>
      <c r="E134" s="21" t="s">
        <v>419</v>
      </c>
      <c r="F134" s="68" t="s">
        <v>420</v>
      </c>
      <c r="G134" s="69">
        <v>0</v>
      </c>
    </row>
    <row r="135" spans="2:7" ht="13.7" customHeight="1" x14ac:dyDescent="0.25">
      <c r="B135" s="6" t="s">
        <v>421</v>
      </c>
      <c r="C135" s="68" t="s">
        <v>422</v>
      </c>
      <c r="D135" s="69"/>
      <c r="E135" s="21" t="s">
        <v>423</v>
      </c>
      <c r="F135" s="68" t="s">
        <v>424</v>
      </c>
      <c r="G135" s="69">
        <v>0</v>
      </c>
    </row>
    <row r="136" spans="2:7" ht="13.7" customHeight="1" x14ac:dyDescent="0.25">
      <c r="B136" s="6" t="s">
        <v>425</v>
      </c>
      <c r="C136" s="68" t="s">
        <v>318</v>
      </c>
      <c r="D136" s="69">
        <f>961244.64+5163533.42+36074-91499.1+2654006.71</f>
        <v>8723359.6699999999</v>
      </c>
      <c r="E136" s="21" t="s">
        <v>426</v>
      </c>
      <c r="F136" s="68" t="s">
        <v>427</v>
      </c>
      <c r="G136" s="69">
        <v>0</v>
      </c>
    </row>
    <row r="137" spans="2:7" ht="13.7" customHeight="1" x14ac:dyDescent="0.25">
      <c r="B137" s="6" t="s">
        <v>428</v>
      </c>
      <c r="C137" s="19" t="s">
        <v>320</v>
      </c>
      <c r="D137" s="71">
        <v>556484</v>
      </c>
      <c r="E137" s="21" t="s">
        <v>429</v>
      </c>
      <c r="F137" s="68" t="s">
        <v>430</v>
      </c>
      <c r="G137" s="69">
        <f>224126+2195846+2486014+12148423</f>
        <v>17054409</v>
      </c>
    </row>
    <row r="138" spans="2:7" ht="13.7" customHeight="1" thickBot="1" x14ac:dyDescent="0.3">
      <c r="B138" s="6"/>
      <c r="C138" s="28" t="s">
        <v>321</v>
      </c>
      <c r="D138" s="37">
        <f>SUM(D127:D137)</f>
        <v>13831817.67</v>
      </c>
      <c r="E138" s="21" t="s">
        <v>431</v>
      </c>
      <c r="F138" s="19" t="s">
        <v>432</v>
      </c>
      <c r="G138" s="20">
        <v>480509</v>
      </c>
    </row>
    <row r="139" spans="2:7" ht="13.7" customHeight="1" thickBot="1" x14ac:dyDescent="0.3">
      <c r="B139" s="6" t="s">
        <v>433</v>
      </c>
      <c r="C139" s="66" t="s">
        <v>327</v>
      </c>
      <c r="D139" s="67">
        <v>0</v>
      </c>
      <c r="E139" s="7"/>
      <c r="F139" s="28" t="s">
        <v>434</v>
      </c>
      <c r="G139" s="37">
        <f>SUM(G124:G138)</f>
        <v>24238858</v>
      </c>
    </row>
    <row r="140" spans="2:7" ht="13.7" customHeight="1" thickBot="1" x14ac:dyDescent="0.3">
      <c r="B140" s="6" t="s">
        <v>435</v>
      </c>
      <c r="C140" s="68" t="s">
        <v>329</v>
      </c>
      <c r="D140" s="69">
        <v>0</v>
      </c>
      <c r="E140" s="7"/>
      <c r="F140" s="48" t="s">
        <v>436</v>
      </c>
      <c r="G140" s="72">
        <f>G123-G139</f>
        <v>-20784484</v>
      </c>
    </row>
    <row r="141" spans="2:7" ht="13.7" customHeight="1" x14ac:dyDescent="0.25">
      <c r="B141" s="6" t="s">
        <v>437</v>
      </c>
      <c r="C141" s="19" t="s">
        <v>331</v>
      </c>
      <c r="D141" s="71">
        <v>0</v>
      </c>
      <c r="E141" s="73"/>
    </row>
    <row r="142" spans="2:7" ht="13.7" customHeight="1" thickBot="1" x14ac:dyDescent="0.3">
      <c r="B142" s="6"/>
      <c r="C142" s="28" t="s">
        <v>332</v>
      </c>
      <c r="D142" s="37">
        <f>SUM(D139:D141)</f>
        <v>0</v>
      </c>
      <c r="E142" s="73"/>
    </row>
    <row r="143" spans="2:7" ht="13.7" customHeight="1" thickBot="1" x14ac:dyDescent="0.3">
      <c r="B143" s="6"/>
      <c r="C143" s="59" t="s">
        <v>438</v>
      </c>
      <c r="D143" s="74">
        <f>[16]Amortizaciones!D33</f>
        <v>12238569</v>
      </c>
      <c r="E143" s="21"/>
      <c r="F143" s="48" t="s">
        <v>439</v>
      </c>
      <c r="G143" s="17">
        <f>+[16]E.S.P.!D6</f>
        <v>2020</v>
      </c>
    </row>
    <row r="144" spans="2:7" ht="13.7" customHeight="1" x14ac:dyDescent="0.25">
      <c r="B144" s="6" t="s">
        <v>440</v>
      </c>
      <c r="C144" s="66" t="s">
        <v>441</v>
      </c>
      <c r="D144" s="67">
        <v>3271917</v>
      </c>
      <c r="E144" s="21" t="s">
        <v>442</v>
      </c>
      <c r="F144" s="66" t="s">
        <v>443</v>
      </c>
      <c r="G144" s="67">
        <f>11086893</f>
        <v>11086893</v>
      </c>
    </row>
    <row r="145" spans="2:7" ht="13.7" customHeight="1" x14ac:dyDescent="0.25">
      <c r="B145" s="6" t="s">
        <v>444</v>
      </c>
      <c r="C145" s="68" t="s">
        <v>445</v>
      </c>
      <c r="D145" s="69">
        <v>307426</v>
      </c>
      <c r="E145" s="21" t="s">
        <v>446</v>
      </c>
      <c r="F145" s="68" t="s">
        <v>447</v>
      </c>
      <c r="G145" s="69">
        <v>35831305</v>
      </c>
    </row>
    <row r="146" spans="2:7" ht="13.7" customHeight="1" x14ac:dyDescent="0.25">
      <c r="B146" s="6" t="s">
        <v>448</v>
      </c>
      <c r="C146" s="75" t="s">
        <v>449</v>
      </c>
      <c r="D146" s="69">
        <v>0</v>
      </c>
      <c r="E146" s="21" t="s">
        <v>450</v>
      </c>
      <c r="F146" s="68" t="s">
        <v>451</v>
      </c>
      <c r="G146" s="69">
        <v>1876515</v>
      </c>
    </row>
    <row r="147" spans="2:7" ht="13.7" customHeight="1" x14ac:dyDescent="0.25">
      <c r="B147" s="6" t="s">
        <v>452</v>
      </c>
      <c r="C147" s="19" t="s">
        <v>453</v>
      </c>
      <c r="D147" s="71">
        <v>78398</v>
      </c>
      <c r="E147" s="21" t="s">
        <v>454</v>
      </c>
      <c r="F147" s="68" t="s">
        <v>455</v>
      </c>
      <c r="G147" s="69">
        <v>8169690</v>
      </c>
    </row>
    <row r="148" spans="2:7" ht="13.7" customHeight="1" thickBot="1" x14ac:dyDescent="0.3">
      <c r="B148" s="6"/>
      <c r="C148" s="28" t="s">
        <v>456</v>
      </c>
      <c r="D148" s="37">
        <f>SUM(D144:D147)</f>
        <v>3657741</v>
      </c>
      <c r="E148" s="21" t="s">
        <v>457</v>
      </c>
      <c r="F148" s="68" t="s">
        <v>458</v>
      </c>
      <c r="G148" s="69">
        <v>0</v>
      </c>
    </row>
    <row r="149" spans="2:7" ht="13.7" customHeight="1" x14ac:dyDescent="0.25">
      <c r="B149" s="6" t="s">
        <v>459</v>
      </c>
      <c r="C149" s="66" t="s">
        <v>460</v>
      </c>
      <c r="D149" s="67">
        <v>0</v>
      </c>
      <c r="E149" s="21" t="s">
        <v>461</v>
      </c>
      <c r="F149" s="68" t="s">
        <v>462</v>
      </c>
      <c r="G149" s="69">
        <v>0</v>
      </c>
    </row>
    <row r="150" spans="2:7" ht="13.7" customHeight="1" x14ac:dyDescent="0.25">
      <c r="B150" s="6" t="s">
        <v>463</v>
      </c>
      <c r="C150" s="68" t="s">
        <v>464</v>
      </c>
      <c r="D150" s="69">
        <v>0</v>
      </c>
      <c r="E150" s="21" t="s">
        <v>465</v>
      </c>
      <c r="F150" s="68" t="s">
        <v>466</v>
      </c>
      <c r="G150" s="69">
        <v>0</v>
      </c>
    </row>
    <row r="151" spans="2:7" ht="13.7" customHeight="1" x14ac:dyDescent="0.25">
      <c r="B151" s="6" t="s">
        <v>467</v>
      </c>
      <c r="C151" s="19" t="s">
        <v>468</v>
      </c>
      <c r="D151" s="71">
        <v>0</v>
      </c>
      <c r="E151" s="21" t="s">
        <v>469</v>
      </c>
      <c r="F151" s="68" t="s">
        <v>470</v>
      </c>
      <c r="G151" s="69"/>
    </row>
    <row r="152" spans="2:7" ht="13.7" customHeight="1" thickBot="1" x14ac:dyDescent="0.3">
      <c r="B152" s="6"/>
      <c r="C152" s="28" t="s">
        <v>471</v>
      </c>
      <c r="D152" s="37">
        <f>SUM(D149:D151)</f>
        <v>0</v>
      </c>
      <c r="E152" s="21" t="s">
        <v>472</v>
      </c>
      <c r="F152" s="68" t="s">
        <v>473</v>
      </c>
      <c r="G152" s="69">
        <v>1953</v>
      </c>
    </row>
    <row r="153" spans="2:7" ht="13.7" customHeight="1" thickBot="1" x14ac:dyDescent="0.3">
      <c r="B153" s="6"/>
      <c r="C153" s="48" t="s">
        <v>474</v>
      </c>
      <c r="D153" s="76">
        <f>D122+D126+D138+D142+D143+D148+D152</f>
        <v>68569280.670000002</v>
      </c>
      <c r="E153" s="21" t="s">
        <v>475</v>
      </c>
      <c r="F153" s="19" t="s">
        <v>476</v>
      </c>
      <c r="G153" s="20">
        <v>687305</v>
      </c>
    </row>
    <row r="154" spans="2:7" ht="13.7" customHeight="1" thickBot="1" x14ac:dyDescent="0.3">
      <c r="B154" s="6"/>
      <c r="E154" s="21"/>
      <c r="F154" s="28" t="s">
        <v>477</v>
      </c>
      <c r="G154" s="37">
        <f>SUM(G144:G153)</f>
        <v>57653661</v>
      </c>
    </row>
    <row r="155" spans="2:7" ht="13.7" customHeight="1" thickBot="1" x14ac:dyDescent="0.3">
      <c r="B155" s="6"/>
      <c r="C155" s="77" t="s">
        <v>478</v>
      </c>
      <c r="D155" s="65">
        <f>G109-D153</f>
        <v>-22933441.259999916</v>
      </c>
      <c r="E155" s="21" t="s">
        <v>479</v>
      </c>
      <c r="F155" s="66" t="s">
        <v>480</v>
      </c>
      <c r="G155" s="67">
        <v>110340</v>
      </c>
    </row>
    <row r="156" spans="2:7" ht="13.7" customHeight="1" x14ac:dyDescent="0.25">
      <c r="E156" s="21" t="s">
        <v>481</v>
      </c>
      <c r="F156" s="68" t="s">
        <v>482</v>
      </c>
      <c r="G156" s="69">
        <v>2256015</v>
      </c>
    </row>
    <row r="157" spans="2:7" ht="13.7" customHeight="1" x14ac:dyDescent="0.25">
      <c r="E157" s="21" t="s">
        <v>483</v>
      </c>
      <c r="F157" s="68" t="s">
        <v>484</v>
      </c>
      <c r="G157" s="69">
        <v>1217837</v>
      </c>
    </row>
    <row r="158" spans="2:7" ht="13.7" customHeight="1" x14ac:dyDescent="0.25">
      <c r="E158" s="21" t="s">
        <v>485</v>
      </c>
      <c r="F158" s="68" t="s">
        <v>486</v>
      </c>
      <c r="G158" s="69">
        <v>0</v>
      </c>
    </row>
    <row r="159" spans="2:7" ht="13.7" customHeight="1" x14ac:dyDescent="0.25">
      <c r="E159" s="21" t="s">
        <v>487</v>
      </c>
      <c r="F159" s="68" t="s">
        <v>488</v>
      </c>
      <c r="G159" s="69">
        <v>0</v>
      </c>
    </row>
    <row r="160" spans="2:7" ht="13.7" customHeight="1" x14ac:dyDescent="0.25">
      <c r="E160" s="21" t="s">
        <v>489</v>
      </c>
      <c r="F160" s="68" t="s">
        <v>490</v>
      </c>
      <c r="G160" s="69">
        <v>0</v>
      </c>
    </row>
    <row r="161" spans="5:7" ht="13.7" customHeight="1" x14ac:dyDescent="0.25">
      <c r="E161" s="21" t="s">
        <v>491</v>
      </c>
      <c r="F161" s="68" t="s">
        <v>492</v>
      </c>
      <c r="G161" s="69">
        <v>0</v>
      </c>
    </row>
    <row r="162" spans="5:7" ht="13.7" customHeight="1" x14ac:dyDescent="0.25">
      <c r="E162" s="21" t="s">
        <v>493</v>
      </c>
      <c r="F162" s="68" t="s">
        <v>494</v>
      </c>
      <c r="G162" s="69">
        <v>0</v>
      </c>
    </row>
    <row r="163" spans="5:7" ht="13.7" customHeight="1" x14ac:dyDescent="0.25">
      <c r="E163" s="21" t="s">
        <v>495</v>
      </c>
      <c r="F163" s="68" t="s">
        <v>496</v>
      </c>
      <c r="G163" s="69">
        <v>0</v>
      </c>
    </row>
    <row r="164" spans="5:7" ht="13.7" customHeight="1" x14ac:dyDescent="0.25">
      <c r="E164" s="21" t="s">
        <v>497</v>
      </c>
      <c r="F164" s="68" t="s">
        <v>498</v>
      </c>
      <c r="G164" s="69">
        <v>0</v>
      </c>
    </row>
    <row r="165" spans="5:7" ht="13.7" customHeight="1" x14ac:dyDescent="0.25">
      <c r="E165" s="21" t="s">
        <v>499</v>
      </c>
      <c r="F165" s="68" t="s">
        <v>500</v>
      </c>
      <c r="G165" s="69">
        <v>6493807</v>
      </c>
    </row>
    <row r="166" spans="5:7" ht="13.7" customHeight="1" x14ac:dyDescent="0.25">
      <c r="E166" s="21" t="s">
        <v>501</v>
      </c>
      <c r="F166" s="68" t="s">
        <v>502</v>
      </c>
      <c r="G166" s="69">
        <v>3162926</v>
      </c>
    </row>
    <row r="167" spans="5:7" ht="13.7" customHeight="1" x14ac:dyDescent="0.25">
      <c r="E167" s="21" t="s">
        <v>503</v>
      </c>
      <c r="F167" s="19" t="s">
        <v>504</v>
      </c>
      <c r="G167" s="20">
        <v>190563</v>
      </c>
    </row>
    <row r="168" spans="5:7" ht="13.7" customHeight="1" thickBot="1" x14ac:dyDescent="0.3">
      <c r="E168" s="21"/>
      <c r="F168" s="28" t="s">
        <v>505</v>
      </c>
      <c r="G168" s="37">
        <f>SUM(G155:G167)</f>
        <v>13431488</v>
      </c>
    </row>
    <row r="169" spans="5:7" ht="13.7" customHeight="1" thickBot="1" x14ac:dyDescent="0.3">
      <c r="E169" s="21"/>
      <c r="F169" s="48" t="s">
        <v>506</v>
      </c>
      <c r="G169" s="72">
        <f>G154-G168</f>
        <v>44222173</v>
      </c>
    </row>
    <row r="170" spans="5:7" ht="13.7" customHeight="1" thickBot="1" x14ac:dyDescent="0.3">
      <c r="E170" s="21"/>
      <c r="F170" s="78"/>
      <c r="G170" s="78"/>
    </row>
    <row r="171" spans="5:7" ht="13.7" customHeight="1" thickBot="1" x14ac:dyDescent="0.3">
      <c r="E171" s="21"/>
      <c r="F171" s="77" t="s">
        <v>507</v>
      </c>
      <c r="G171" s="79"/>
    </row>
    <row r="172" spans="5:7" ht="13.7" customHeight="1" thickBot="1" x14ac:dyDescent="0.3">
      <c r="E172" s="21"/>
      <c r="F172" s="80"/>
      <c r="G172" s="81">
        <f>+D155+G140+G169</f>
        <v>504247.74000008404</v>
      </c>
    </row>
    <row r="173" spans="5:7" ht="13.7" customHeight="1" thickBot="1" x14ac:dyDescent="0.3">
      <c r="E173" s="21"/>
      <c r="F173" s="5"/>
      <c r="G173" s="5"/>
    </row>
    <row r="174" spans="5:7" ht="13.7" customHeight="1" thickBot="1" x14ac:dyDescent="0.3">
      <c r="E174" s="21"/>
      <c r="F174" s="48" t="s">
        <v>508</v>
      </c>
      <c r="G174" s="17">
        <f>+G143</f>
        <v>2020</v>
      </c>
    </row>
    <row r="175" spans="5:7" ht="13.7" customHeight="1" x14ac:dyDescent="0.25">
      <c r="E175" s="21"/>
      <c r="F175" s="66" t="s">
        <v>509</v>
      </c>
      <c r="G175" s="67">
        <v>6217441</v>
      </c>
    </row>
    <row r="176" spans="5:7" ht="13.7" customHeight="1" x14ac:dyDescent="0.25">
      <c r="E176" s="21"/>
      <c r="F176" s="68" t="s">
        <v>510</v>
      </c>
      <c r="G176" s="69"/>
    </row>
    <row r="177" spans="1:8" ht="13.7" customHeight="1" thickBot="1" x14ac:dyDescent="0.3">
      <c r="F177" s="68" t="s">
        <v>511</v>
      </c>
      <c r="G177" s="69"/>
    </row>
    <row r="178" spans="1:8" ht="13.7" customHeight="1" thickBot="1" x14ac:dyDescent="0.3">
      <c r="F178" s="48" t="s">
        <v>512</v>
      </c>
      <c r="G178" s="72">
        <f>SUM(G175:G177)</f>
        <v>6217441</v>
      </c>
    </row>
    <row r="179" spans="1:8" ht="13.7" customHeight="1" thickBot="1" x14ac:dyDescent="0.3"/>
    <row r="180" spans="1:8" ht="13.7" customHeight="1" thickBot="1" x14ac:dyDescent="0.3">
      <c r="F180" s="77" t="s">
        <v>513</v>
      </c>
      <c r="G180" s="79"/>
    </row>
    <row r="181" spans="1:8" ht="13.7" customHeight="1" thickBot="1" x14ac:dyDescent="0.3">
      <c r="F181" s="83"/>
      <c r="G181" s="81">
        <f>+G172+G178</f>
        <v>6721688.740000084</v>
      </c>
    </row>
    <row r="182" spans="1:8" ht="13.7" customHeight="1" x14ac:dyDescent="0.25"/>
    <row r="183" spans="1:8" ht="13.5" customHeight="1" x14ac:dyDescent="0.25"/>
    <row r="184" spans="1:8" ht="13.7" customHeight="1" x14ac:dyDescent="0.25">
      <c r="E184" s="84"/>
      <c r="F184" s="84"/>
      <c r="G184" s="84"/>
      <c r="H184" s="84"/>
    </row>
    <row r="185" spans="1:8" s="84" customFormat="1" ht="13.7" customHeight="1" x14ac:dyDescent="0.25">
      <c r="A185" s="85"/>
      <c r="E185" s="82"/>
      <c r="F185" s="86"/>
      <c r="G185" s="86"/>
    </row>
    <row r="186" spans="1:8" s="84" customFormat="1" ht="12.75" x14ac:dyDescent="0.25">
      <c r="A186" s="85"/>
      <c r="E186" s="82"/>
      <c r="F186" s="86"/>
      <c r="G186" s="86"/>
    </row>
    <row r="187" spans="1:8" s="84" customFormat="1" ht="12.75" hidden="1" x14ac:dyDescent="0.25">
      <c r="A187" s="85"/>
      <c r="E187" s="82"/>
      <c r="F187" s="86"/>
      <c r="G187" s="86"/>
    </row>
    <row r="188" spans="1:8" s="84" customFormat="1" ht="12.75" hidden="1" x14ac:dyDescent="0.25">
      <c r="A188" s="85"/>
      <c r="E188" s="82"/>
      <c r="F188" s="86"/>
      <c r="G188" s="86"/>
    </row>
    <row r="189" spans="1:8" s="84" customFormat="1" ht="12.75" hidden="1" x14ac:dyDescent="0.25">
      <c r="A189" s="85"/>
      <c r="E189" s="82"/>
      <c r="F189" s="86"/>
      <c r="G189" s="86"/>
    </row>
    <row r="190" spans="1:8" s="84" customFormat="1" ht="12.75" hidden="1" x14ac:dyDescent="0.25">
      <c r="A190" s="85"/>
      <c r="E190" s="82"/>
      <c r="F190" s="86"/>
      <c r="G190" s="86"/>
    </row>
    <row r="191" spans="1:8" s="84" customFormat="1" ht="12.75" hidden="1" x14ac:dyDescent="0.25">
      <c r="A191" s="85"/>
      <c r="E191" s="82"/>
      <c r="F191" s="86"/>
      <c r="G191" s="86"/>
    </row>
    <row r="192" spans="1:8" s="84" customFormat="1" ht="12.75" hidden="1" x14ac:dyDescent="0.25">
      <c r="A192" s="85"/>
      <c r="E192" s="82"/>
      <c r="F192" s="86"/>
      <c r="G192" s="86"/>
    </row>
    <row r="193" spans="5:7" s="84" customFormat="1" ht="12.75" hidden="1" x14ac:dyDescent="0.25">
      <c r="E193" s="82"/>
      <c r="F193" s="86"/>
      <c r="G193" s="86"/>
    </row>
    <row r="194" spans="5:7" s="84" customFormat="1" ht="12.75" hidden="1" x14ac:dyDescent="0.25">
      <c r="E194" s="82"/>
      <c r="F194" s="86"/>
      <c r="G194" s="86"/>
    </row>
    <row r="195" spans="5:7" s="84" customFormat="1" ht="12.75" hidden="1" x14ac:dyDescent="0.25">
      <c r="E195" s="82"/>
      <c r="F195" s="86"/>
      <c r="G195" s="86"/>
    </row>
    <row r="196" spans="5:7" s="84" customFormat="1" ht="12.75" hidden="1" x14ac:dyDescent="0.25">
      <c r="E196" s="82"/>
      <c r="F196" s="86"/>
      <c r="G196" s="86"/>
    </row>
    <row r="197" spans="5:7" s="84" customFormat="1" ht="12.75" hidden="1" x14ac:dyDescent="0.25">
      <c r="E197" s="82"/>
      <c r="F197" s="86"/>
      <c r="G197" s="86"/>
    </row>
    <row r="198" spans="5:7" s="84" customFormat="1" ht="12.75" hidden="1" x14ac:dyDescent="0.25">
      <c r="E198" s="82"/>
      <c r="F198" s="86"/>
      <c r="G198" s="86"/>
    </row>
    <row r="199" spans="5:7" s="84" customFormat="1" ht="12.75" hidden="1" x14ac:dyDescent="0.25">
      <c r="E199" s="82"/>
      <c r="F199" s="86"/>
      <c r="G199" s="86"/>
    </row>
    <row r="200" spans="5:7" s="84" customFormat="1" ht="12.75" hidden="1" x14ac:dyDescent="0.25">
      <c r="E200" s="82"/>
      <c r="F200" s="86"/>
      <c r="G200" s="86"/>
    </row>
    <row r="201" spans="5:7" s="84" customFormat="1" ht="12.75" hidden="1" x14ac:dyDescent="0.25">
      <c r="E201" s="82"/>
      <c r="F201" s="86"/>
      <c r="G201" s="86"/>
    </row>
    <row r="202" spans="5:7" s="84" customFormat="1" ht="12.75" hidden="1" x14ac:dyDescent="0.25">
      <c r="E202" s="82"/>
      <c r="F202" s="86"/>
      <c r="G202" s="86"/>
    </row>
    <row r="203" spans="5:7" s="84" customFormat="1" ht="12.75" hidden="1" x14ac:dyDescent="0.25">
      <c r="E203" s="82"/>
      <c r="F203" s="86"/>
      <c r="G203" s="86"/>
    </row>
    <row r="204" spans="5:7" s="84" customFormat="1" ht="12.75" hidden="1" x14ac:dyDescent="0.25">
      <c r="E204" s="82"/>
      <c r="F204" s="86"/>
      <c r="G204" s="86"/>
    </row>
    <row r="205" spans="5:7" s="84" customFormat="1" ht="12.75" hidden="1" x14ac:dyDescent="0.25">
      <c r="E205" s="82"/>
      <c r="F205" s="86"/>
      <c r="G205" s="86"/>
    </row>
    <row r="206" spans="5:7" s="84" customFormat="1" ht="12.75" hidden="1" x14ac:dyDescent="0.25">
      <c r="E206" s="82"/>
      <c r="F206" s="86"/>
      <c r="G206" s="86"/>
    </row>
    <row r="207" spans="5:7" s="84" customFormat="1" ht="12.75" hidden="1" x14ac:dyDescent="0.25">
      <c r="E207" s="82"/>
      <c r="F207" s="86"/>
      <c r="G207" s="86"/>
    </row>
    <row r="208" spans="5:7" s="84" customFormat="1" ht="12.75" hidden="1" x14ac:dyDescent="0.25">
      <c r="E208" s="82"/>
      <c r="F208" s="86"/>
      <c r="G208" s="86"/>
    </row>
    <row r="209" spans="3:8" s="84" customFormat="1" ht="12.75" hidden="1" x14ac:dyDescent="0.25">
      <c r="E209" s="82"/>
      <c r="F209" s="86"/>
      <c r="G209" s="86"/>
    </row>
    <row r="210" spans="3:8" s="84" customFormat="1" ht="12.75" hidden="1" x14ac:dyDescent="0.25">
      <c r="E210" s="82"/>
      <c r="F210" s="86"/>
      <c r="G210" s="86"/>
    </row>
    <row r="211" spans="3:8" s="84" customFormat="1" ht="12.75" hidden="1" x14ac:dyDescent="0.25">
      <c r="E211" s="82"/>
      <c r="F211" s="86"/>
      <c r="G211" s="86"/>
    </row>
    <row r="212" spans="3:8" s="84" customFormat="1" ht="12.75" hidden="1" x14ac:dyDescent="0.25">
      <c r="E212" s="82"/>
      <c r="F212" s="86"/>
      <c r="G212" s="86"/>
    </row>
    <row r="213" spans="3:8" s="84" customFormat="1" ht="12.75" hidden="1" x14ac:dyDescent="0.25">
      <c r="E213" s="82"/>
      <c r="F213" s="86"/>
      <c r="G213" s="86"/>
    </row>
    <row r="214" spans="3:8" s="84" customFormat="1" hidden="1" x14ac:dyDescent="0.25">
      <c r="E214" s="82"/>
      <c r="F214" s="87"/>
      <c r="G214" s="58"/>
      <c r="H214" s="5"/>
    </row>
    <row r="215" spans="3:8" hidden="1" x14ac:dyDescent="0.25">
      <c r="C215" s="86"/>
      <c r="D215" s="86"/>
      <c r="F215" s="87"/>
    </row>
    <row r="216" spans="3:8" hidden="1" x14ac:dyDescent="0.25"/>
    <row r="217" spans="3:8" hidden="1" x14ac:dyDescent="0.25"/>
    <row r="218" spans="3:8" hidden="1" x14ac:dyDescent="0.25"/>
    <row r="219" spans="3:8" hidden="1" x14ac:dyDescent="0.25"/>
    <row r="220" spans="3:8" hidden="1" x14ac:dyDescent="0.25"/>
    <row r="221" spans="3:8" hidden="1" x14ac:dyDescent="0.25"/>
    <row r="222" spans="3:8" hidden="1" x14ac:dyDescent="0.25"/>
    <row r="223" spans="3:8" hidden="1" x14ac:dyDescent="0.25"/>
    <row r="224" spans="3:8"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sheetData>
  <mergeCells count="6">
    <mergeCell ref="C1:D1"/>
    <mergeCell ref="E1:F1"/>
    <mergeCell ref="C2:D2"/>
    <mergeCell ref="E2:F2"/>
    <mergeCell ref="C3:D3"/>
    <mergeCell ref="E3:F3"/>
  </mergeCells>
  <conditionalFormatting sqref="D7:D12">
    <cfRule type="cellIs" dxfId="231" priority="9" stopIfTrue="1" operator="greaterThan">
      <formula>50</formula>
    </cfRule>
    <cfRule type="cellIs" dxfId="230" priority="17" stopIfTrue="1" operator="equal">
      <formula>0</formula>
    </cfRule>
  </conditionalFormatting>
  <conditionalFormatting sqref="D7:D61">
    <cfRule type="cellIs" dxfId="229" priority="15" stopIfTrue="1" operator="between">
      <formula>-0.1</formula>
      <formula>-50</formula>
    </cfRule>
    <cfRule type="cellIs" dxfId="228" priority="16" stopIfTrue="1" operator="between">
      <formula>0.1</formula>
      <formula>50</formula>
    </cfRule>
  </conditionalFormatting>
  <conditionalFormatting sqref="G152:G154 G7:G27 G32:G143 G145:G150 G168:G181">
    <cfRule type="cellIs" dxfId="227" priority="13" stopIfTrue="1" operator="between">
      <formula>-0.1</formula>
      <formula>-50</formula>
    </cfRule>
    <cfRule type="cellIs" dxfId="226" priority="14" stopIfTrue="1" operator="between">
      <formula>0.1</formula>
      <formula>50</formula>
    </cfRule>
  </conditionalFormatting>
  <conditionalFormatting sqref="D111:D155">
    <cfRule type="cellIs" dxfId="225" priority="11" stopIfTrue="1" operator="between">
      <formula>-0.1</formula>
      <formula>-50</formula>
    </cfRule>
    <cfRule type="cellIs" dxfId="224" priority="12" stopIfTrue="1" operator="between">
      <formula>0.1</formula>
      <formula>50</formula>
    </cfRule>
  </conditionalFormatting>
  <conditionalFormatting sqref="G151">
    <cfRule type="expression" dxfId="223" priority="8" stopIfTrue="1">
      <formula>AND($G$151&gt;0,$G$165&gt;0)</formula>
    </cfRule>
  </conditionalFormatting>
  <conditionalFormatting sqref="G28:G31">
    <cfRule type="cellIs" dxfId="222" priority="6" stopIfTrue="1" operator="between">
      <formula>-0.1</formula>
      <formula>-50</formula>
    </cfRule>
    <cfRule type="cellIs" dxfId="221" priority="7" stopIfTrue="1" operator="between">
      <formula>0.1</formula>
      <formula>50</formula>
    </cfRule>
  </conditionalFormatting>
  <conditionalFormatting sqref="G144">
    <cfRule type="cellIs" dxfId="220" priority="4" stopIfTrue="1" operator="between">
      <formula>-0.1</formula>
      <formula>-50</formula>
    </cfRule>
    <cfRule type="cellIs" dxfId="219" priority="5" stopIfTrue="1" operator="between">
      <formula>0.1</formula>
      <formula>50</formula>
    </cfRule>
  </conditionalFormatting>
  <conditionalFormatting sqref="G155:G167">
    <cfRule type="cellIs" dxfId="218" priority="2" stopIfTrue="1" operator="between">
      <formula>-0.1</formula>
      <formula>-50</formula>
    </cfRule>
    <cfRule type="cellIs" dxfId="217" priority="3" stopIfTrue="1" operator="between">
      <formula>0.1</formula>
      <formula>50</formula>
    </cfRule>
  </conditionalFormatting>
  <conditionalFormatting sqref="G165">
    <cfRule type="expression" dxfId="216" priority="1" stopIfTrue="1">
      <formula>AND($G$165&gt;0,$G$151&gt;0)</formula>
    </cfRule>
  </conditionalFormatting>
  <dataValidations count="11">
    <dataValidation type="custom" operator="greaterThan" showInputMessage="1" showErrorMessage="1" errorTitle="RDM" error="No se admite ingresar RDM como ingresos y egresos a la vez. Tampoco se admiten valores menores a $50._x000a_" sqref="G151">
      <formula1>AND(OR(G151=0, G151&gt;50),G165=0)</formula1>
    </dataValidation>
    <dataValidation type="whole" operator="greaterThan" allowBlank="1" showInputMessage="1" showErrorMessage="1" sqref="D8:D12">
      <formula1>50</formula1>
    </dataValidation>
    <dataValidation type="whole" operator="greaterThan" showInputMessage="1" showErrorMessage="1" errorTitle="eee" error="Valores mayores a $50" sqref="D7">
      <formula1>50</formula1>
    </dataValidation>
    <dataValidation type="custom" operator="greaterThan" showInputMessage="1" showErrorMessage="1" errorTitle="eee" sqref="D56">
      <formula1>OR(D56=0, D56&lt;50)</formula1>
    </dataValidation>
    <dataValidation type="custom" operator="greaterThan" showInputMessage="1" showErrorMessage="1" errorTitle="eee" sqref="D57:D61">
      <formula1>OR(D57=0, D57&lt;0)</formula1>
    </dataValidation>
    <dataValidation type="custom" operator="greaterThan" showInputMessage="1" showErrorMessage="1" errorTitle="eee" sqref="G7:G140 D62:D155 G152:G164 G166:G181 G144:G150 D13:D55">
      <formula1>OR(D7=0, D7&gt;50)</formula1>
    </dataValidation>
    <dataValidation type="whole" allowBlank="1" showErrorMessage="1" errorTitle="Error de datos" error="Debe ingresar un valor entre 1 y 12" sqref="G1:G3">
      <formula1>1</formula1>
      <formula2>12</formula2>
    </dataValidation>
    <dataValidation allowBlank="1" errorTitle="Error de datos" error="Debe introducir una fecha válida" sqref="E3"/>
    <dataValidation allowBlank="1" sqref="G204"/>
    <dataValidation operator="greaterThanOrEqual" allowBlank="1" errorTitle="Error de datos" error="Debe ingresar un valor entero positivo" sqref="F6:F107 F203 C13:C47 C106:C153 F171 F174:F178 F180 F111:F119 C7:C10 F121:F140 F143:F169 C49:C62 C155 F109"/>
    <dataValidation type="custom" operator="greaterThan" showInputMessage="1" showErrorMessage="1" errorTitle="rdm2" error="No se admite ingresar a la vez RDM como ingresos y como egresos. Tampoco se admiten valores negattivos o positivos menores de 50" sqref="G165">
      <formula1>AND(OR(G165=0, G165&gt;50),G151=0)</formula1>
    </dataValidation>
  </dataValidations>
  <pageMargins left="0.7" right="0.7" top="0.75" bottom="0.75" header="0.3" footer="0.3"/>
  <ignoredErrors>
    <ignoredError sqref="E7:E181" numberStoredAsText="1"/>
    <ignoredError sqref="D7 G11 G31 D45 G41:G47 G77 G86 G97:G99 G121 D134:D136 G133:G137 G144" unlockedFormula="1"/>
  </ignoredErrors>
  <legacy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26"/>
  <sheetViews>
    <sheetView showGridLines="0" workbookViewId="0">
      <selection activeCell="F4" sqref="F4"/>
    </sheetView>
  </sheetViews>
  <sheetFormatPr baseColWidth="10" defaultColWidth="0" defaultRowHeight="15" zeroHeight="1" x14ac:dyDescent="0.25"/>
  <cols>
    <col min="1" max="1" width="3.7109375" style="151" customWidth="1"/>
    <col min="2" max="2" width="14.28515625" style="7" hidden="1" customWidth="1"/>
    <col min="3" max="3" width="58.7109375" style="58" customWidth="1"/>
    <col min="4" max="4" width="25.140625" style="58" customWidth="1"/>
    <col min="5" max="5" width="5.85546875" style="192" customWidth="1"/>
    <col min="6" max="6" width="57.28515625" style="58" customWidth="1"/>
    <col min="7" max="7" width="24.7109375" style="58" customWidth="1"/>
    <col min="8" max="8" width="5.42578125" style="5" customWidth="1"/>
    <col min="9" max="16384" width="0" style="5" hidden="1"/>
  </cols>
  <sheetData>
    <row r="1" spans="1:9" ht="15.75" x14ac:dyDescent="0.25">
      <c r="B1" s="2"/>
      <c r="C1" s="326" t="s">
        <v>0</v>
      </c>
      <c r="D1" s="327"/>
      <c r="E1" s="328" t="str">
        <f>[17]Presentacion!C2</f>
        <v>CAMOC</v>
      </c>
      <c r="F1" s="328"/>
      <c r="G1" s="152"/>
      <c r="H1" s="4"/>
    </row>
    <row r="2" spans="1:9" ht="15.75" x14ac:dyDescent="0.25">
      <c r="B2" s="6"/>
      <c r="C2" s="326" t="s">
        <v>1</v>
      </c>
      <c r="D2" s="327"/>
      <c r="E2" s="328" t="str">
        <f>[17]Presentacion!C3</f>
        <v>Colonia</v>
      </c>
      <c r="F2" s="328"/>
      <c r="G2" s="152"/>
      <c r="H2" s="4"/>
    </row>
    <row r="3" spans="1:9" ht="15.75" x14ac:dyDescent="0.25">
      <c r="B3" s="6"/>
      <c r="C3" s="326" t="s">
        <v>2</v>
      </c>
      <c r="D3" s="329"/>
      <c r="E3" s="330" t="s">
        <v>3</v>
      </c>
      <c r="F3" s="330"/>
      <c r="G3" s="152"/>
      <c r="H3" s="4"/>
    </row>
    <row r="4" spans="1:9" ht="15.75" thickBot="1" x14ac:dyDescent="0.3">
      <c r="C4" s="287"/>
      <c r="D4" s="8"/>
      <c r="E4" s="153"/>
      <c r="F4" s="10"/>
      <c r="G4" s="11"/>
    </row>
    <row r="5" spans="1:9" ht="16.5" thickBot="1" x14ac:dyDescent="0.3">
      <c r="B5" s="12"/>
      <c r="C5" s="154" t="s">
        <v>4</v>
      </c>
      <c r="D5" s="286" t="s">
        <v>5</v>
      </c>
      <c r="E5" s="155"/>
      <c r="F5" s="154" t="s">
        <v>6</v>
      </c>
      <c r="G5" s="286" t="s">
        <v>5</v>
      </c>
      <c r="I5" s="15"/>
    </row>
    <row r="6" spans="1:9" ht="16.5" thickBot="1" x14ac:dyDescent="0.3">
      <c r="B6" s="12"/>
      <c r="C6" s="156" t="s">
        <v>7</v>
      </c>
      <c r="D6" s="291">
        <f>+[17]E.S.P.!D6</f>
        <v>2020</v>
      </c>
      <c r="E6" s="158"/>
      <c r="F6" s="156" t="s">
        <v>8</v>
      </c>
      <c r="G6" s="291">
        <f>+D6</f>
        <v>2020</v>
      </c>
      <c r="H6" s="15"/>
    </row>
    <row r="7" spans="1:9" x14ac:dyDescent="0.25">
      <c r="B7" s="6" t="s">
        <v>9</v>
      </c>
      <c r="C7" s="19" t="s">
        <v>10</v>
      </c>
      <c r="D7" s="20">
        <v>16670777</v>
      </c>
      <c r="E7" s="159" t="s">
        <v>11</v>
      </c>
      <c r="F7" s="22" t="s">
        <v>12</v>
      </c>
      <c r="G7" s="23">
        <v>1172737</v>
      </c>
    </row>
    <row r="8" spans="1:9" x14ac:dyDescent="0.25">
      <c r="B8" s="6" t="s">
        <v>13</v>
      </c>
      <c r="C8" s="19" t="s">
        <v>14</v>
      </c>
      <c r="D8" s="20">
        <v>20272611</v>
      </c>
      <c r="E8" s="159" t="s">
        <v>15</v>
      </c>
      <c r="F8" s="19" t="s">
        <v>16</v>
      </c>
      <c r="G8" s="24"/>
    </row>
    <row r="9" spans="1:9" x14ac:dyDescent="0.25">
      <c r="B9" s="6" t="s">
        <v>17</v>
      </c>
      <c r="C9" s="19" t="s">
        <v>18</v>
      </c>
      <c r="D9" s="20">
        <v>617887078</v>
      </c>
      <c r="E9" s="159" t="s">
        <v>19</v>
      </c>
      <c r="F9" s="19" t="s">
        <v>20</v>
      </c>
      <c r="G9" s="20">
        <v>90343754</v>
      </c>
    </row>
    <row r="10" spans="1:9" x14ac:dyDescent="0.25">
      <c r="B10" s="6" t="s">
        <v>21</v>
      </c>
      <c r="C10" s="19" t="s">
        <v>22</v>
      </c>
      <c r="D10" s="20">
        <v>65364635</v>
      </c>
      <c r="E10" s="159" t="s">
        <v>23</v>
      </c>
      <c r="F10" s="19" t="s">
        <v>24</v>
      </c>
      <c r="G10" s="20">
        <v>10286130</v>
      </c>
    </row>
    <row r="11" spans="1:9" x14ac:dyDescent="0.25">
      <c r="B11" s="6" t="s">
        <v>25</v>
      </c>
      <c r="C11" s="19" t="s">
        <v>26</v>
      </c>
      <c r="D11" s="20">
        <v>14376861</v>
      </c>
      <c r="E11" s="159" t="s">
        <v>27</v>
      </c>
      <c r="F11" s="19" t="s">
        <v>28</v>
      </c>
      <c r="G11" s="20">
        <v>216362863</v>
      </c>
    </row>
    <row r="12" spans="1:9" x14ac:dyDescent="0.25">
      <c r="B12" s="6" t="s">
        <v>29</v>
      </c>
      <c r="C12" s="19" t="s">
        <v>30</v>
      </c>
      <c r="D12" s="20">
        <v>14629456</v>
      </c>
      <c r="E12" s="159" t="s">
        <v>31</v>
      </c>
      <c r="F12" s="19" t="s">
        <v>32</v>
      </c>
      <c r="G12" s="20">
        <v>38794959</v>
      </c>
    </row>
    <row r="13" spans="1:9" x14ac:dyDescent="0.25">
      <c r="B13" s="6" t="s">
        <v>33</v>
      </c>
      <c r="C13" s="19" t="s">
        <v>34</v>
      </c>
      <c r="D13" s="20"/>
      <c r="E13" s="159" t="s">
        <v>35</v>
      </c>
      <c r="F13" s="19" t="s">
        <v>36</v>
      </c>
      <c r="G13" s="20">
        <v>20734613</v>
      </c>
    </row>
    <row r="14" spans="1:9" x14ac:dyDescent="0.25">
      <c r="A14" s="160"/>
      <c r="B14" s="6" t="s">
        <v>37</v>
      </c>
      <c r="C14" s="19" t="s">
        <v>38</v>
      </c>
      <c r="D14" s="20"/>
      <c r="E14" s="159" t="s">
        <v>39</v>
      </c>
      <c r="F14" s="19" t="s">
        <v>40</v>
      </c>
      <c r="G14" s="20">
        <v>95106689</v>
      </c>
    </row>
    <row r="15" spans="1:9" x14ac:dyDescent="0.25">
      <c r="B15" s="6" t="s">
        <v>41</v>
      </c>
      <c r="C15" s="26" t="s">
        <v>42</v>
      </c>
      <c r="D15" s="20"/>
      <c r="E15" s="159" t="s">
        <v>43</v>
      </c>
      <c r="F15" s="19" t="s">
        <v>44</v>
      </c>
      <c r="G15" s="20">
        <v>6968504</v>
      </c>
    </row>
    <row r="16" spans="1:9" x14ac:dyDescent="0.25">
      <c r="B16" s="6" t="s">
        <v>45</v>
      </c>
      <c r="C16" s="19" t="s">
        <v>46</v>
      </c>
      <c r="D16" s="20">
        <v>2478</v>
      </c>
      <c r="E16" s="159" t="s">
        <v>47</v>
      </c>
      <c r="F16" s="19" t="s">
        <v>48</v>
      </c>
      <c r="G16" s="20">
        <v>37736083</v>
      </c>
    </row>
    <row r="17" spans="1:7" x14ac:dyDescent="0.25">
      <c r="B17" s="6" t="s">
        <v>49</v>
      </c>
      <c r="C17" s="19" t="s">
        <v>50</v>
      </c>
      <c r="D17" s="20"/>
      <c r="E17" s="159" t="s">
        <v>51</v>
      </c>
      <c r="F17" s="19" t="s">
        <v>52</v>
      </c>
      <c r="G17" s="20">
        <v>10694933</v>
      </c>
    </row>
    <row r="18" spans="1:7" x14ac:dyDescent="0.25">
      <c r="A18" s="160"/>
      <c r="B18" s="6" t="s">
        <v>53</v>
      </c>
      <c r="C18" s="19" t="s">
        <v>54</v>
      </c>
      <c r="D18" s="20"/>
      <c r="E18" s="159" t="s">
        <v>55</v>
      </c>
      <c r="F18" s="19" t="s">
        <v>56</v>
      </c>
      <c r="G18" s="27">
        <v>22872129</v>
      </c>
    </row>
    <row r="19" spans="1:7" ht="15.75" thickBot="1" x14ac:dyDescent="0.3">
      <c r="A19" s="160"/>
      <c r="B19" s="6" t="s">
        <v>57</v>
      </c>
      <c r="C19" s="19" t="s">
        <v>58</v>
      </c>
      <c r="D19" s="20">
        <v>31806967</v>
      </c>
      <c r="E19" s="159"/>
      <c r="F19" s="161" t="s">
        <v>59</v>
      </c>
      <c r="G19" s="162">
        <f>SUM(G7:G18)</f>
        <v>551073394</v>
      </c>
    </row>
    <row r="20" spans="1:7" ht="15.75" thickBot="1" x14ac:dyDescent="0.3">
      <c r="B20" s="6"/>
      <c r="C20" s="161" t="s">
        <v>60</v>
      </c>
      <c r="D20" s="162">
        <f>SUM(D7:D19)</f>
        <v>781010863</v>
      </c>
      <c r="E20" s="159" t="s">
        <v>61</v>
      </c>
      <c r="F20" s="22" t="s">
        <v>62</v>
      </c>
      <c r="G20" s="23">
        <v>45304</v>
      </c>
    </row>
    <row r="21" spans="1:7" x14ac:dyDescent="0.25">
      <c r="B21" s="6"/>
      <c r="C21" s="163" t="s">
        <v>63</v>
      </c>
      <c r="D21" s="164">
        <f>SUM(D22:D28)</f>
        <v>14263674</v>
      </c>
      <c r="E21" s="159" t="s">
        <v>64</v>
      </c>
      <c r="F21" s="19" t="s">
        <v>65</v>
      </c>
      <c r="G21" s="20">
        <v>21272318</v>
      </c>
    </row>
    <row r="22" spans="1:7" x14ac:dyDescent="0.25">
      <c r="B22" s="6" t="s">
        <v>66</v>
      </c>
      <c r="C22" s="19" t="s">
        <v>67</v>
      </c>
      <c r="D22" s="20">
        <v>8415540</v>
      </c>
      <c r="E22" s="159" t="s">
        <v>68</v>
      </c>
      <c r="F22" s="19" t="s">
        <v>69</v>
      </c>
      <c r="G22" s="20">
        <v>2553654</v>
      </c>
    </row>
    <row r="23" spans="1:7" x14ac:dyDescent="0.25">
      <c r="B23" s="6" t="s">
        <v>70</v>
      </c>
      <c r="C23" s="19" t="s">
        <v>71</v>
      </c>
      <c r="D23" s="20">
        <v>182945</v>
      </c>
      <c r="E23" s="159" t="s">
        <v>72</v>
      </c>
      <c r="F23" s="19" t="s">
        <v>73</v>
      </c>
      <c r="G23" s="20">
        <v>5885326</v>
      </c>
    </row>
    <row r="24" spans="1:7" x14ac:dyDescent="0.25">
      <c r="B24" s="6" t="s">
        <v>74</v>
      </c>
      <c r="C24" s="19" t="s">
        <v>75</v>
      </c>
      <c r="D24" s="20">
        <v>3312594</v>
      </c>
      <c r="E24" s="159" t="s">
        <v>76</v>
      </c>
      <c r="F24" s="19" t="s">
        <v>77</v>
      </c>
      <c r="G24" s="20"/>
    </row>
    <row r="25" spans="1:7" x14ac:dyDescent="0.25">
      <c r="B25" s="6" t="s">
        <v>78</v>
      </c>
      <c r="C25" s="19" t="s">
        <v>79</v>
      </c>
      <c r="D25" s="20">
        <v>974183</v>
      </c>
      <c r="E25" s="159" t="s">
        <v>80</v>
      </c>
      <c r="F25" s="19" t="s">
        <v>81</v>
      </c>
      <c r="G25" s="20"/>
    </row>
    <row r="26" spans="1:7" x14ac:dyDescent="0.25">
      <c r="B26" s="6" t="s">
        <v>82</v>
      </c>
      <c r="C26" s="19" t="s">
        <v>83</v>
      </c>
      <c r="D26" s="20">
        <v>593008</v>
      </c>
      <c r="E26" s="159" t="s">
        <v>84</v>
      </c>
      <c r="F26" s="19" t="s">
        <v>85</v>
      </c>
      <c r="G26" s="27">
        <v>1292166</v>
      </c>
    </row>
    <row r="27" spans="1:7" ht="15.75" thickBot="1" x14ac:dyDescent="0.3">
      <c r="B27" s="6" t="s">
        <v>86</v>
      </c>
      <c r="C27" s="19" t="s">
        <v>87</v>
      </c>
      <c r="D27" s="20">
        <v>173787</v>
      </c>
      <c r="E27" s="159"/>
      <c r="F27" s="161" t="s">
        <v>88</v>
      </c>
      <c r="G27" s="162">
        <f>SUM(G20:G26)</f>
        <v>31048768</v>
      </c>
    </row>
    <row r="28" spans="1:7" x14ac:dyDescent="0.25">
      <c r="B28" s="6" t="s">
        <v>89</v>
      </c>
      <c r="C28" s="19" t="s">
        <v>90</v>
      </c>
      <c r="D28" s="20">
        <v>611617</v>
      </c>
      <c r="E28" s="159" t="s">
        <v>91</v>
      </c>
      <c r="F28" s="22" t="s">
        <v>92</v>
      </c>
      <c r="G28" s="23">
        <v>33749129</v>
      </c>
    </row>
    <row r="29" spans="1:7" x14ac:dyDescent="0.25">
      <c r="B29" s="6"/>
      <c r="C29" s="165" t="s">
        <v>93</v>
      </c>
      <c r="D29" s="164">
        <f>SUM(D30:D34)</f>
        <v>61941970</v>
      </c>
      <c r="E29" s="159" t="s">
        <v>94</v>
      </c>
      <c r="F29" s="19" t="s">
        <v>95</v>
      </c>
      <c r="G29" s="20"/>
    </row>
    <row r="30" spans="1:7" x14ac:dyDescent="0.25">
      <c r="B30" s="6" t="s">
        <v>96</v>
      </c>
      <c r="C30" s="19" t="s">
        <v>97</v>
      </c>
      <c r="D30" s="20">
        <v>54037632</v>
      </c>
      <c r="E30" s="159" t="s">
        <v>98</v>
      </c>
      <c r="F30" s="19" t="s">
        <v>99</v>
      </c>
      <c r="G30" s="20">
        <v>1776861</v>
      </c>
    </row>
    <row r="31" spans="1:7" x14ac:dyDescent="0.25">
      <c r="B31" s="6" t="s">
        <v>100</v>
      </c>
      <c r="C31" s="19" t="s">
        <v>101</v>
      </c>
      <c r="D31" s="20">
        <v>3015835</v>
      </c>
      <c r="E31" s="159" t="s">
        <v>102</v>
      </c>
      <c r="F31" s="19" t="s">
        <v>103</v>
      </c>
      <c r="G31" s="27">
        <v>1558915</v>
      </c>
    </row>
    <row r="32" spans="1:7" ht="15.75" thickBot="1" x14ac:dyDescent="0.3">
      <c r="B32" s="6" t="s">
        <v>104</v>
      </c>
      <c r="C32" s="19" t="s">
        <v>105</v>
      </c>
      <c r="D32" s="20">
        <v>2219407</v>
      </c>
      <c r="E32" s="159"/>
      <c r="F32" s="161" t="s">
        <v>106</v>
      </c>
      <c r="G32" s="162">
        <f>SUM(G28:G31)</f>
        <v>37084905</v>
      </c>
    </row>
    <row r="33" spans="2:7" x14ac:dyDescent="0.25">
      <c r="B33" s="6" t="s">
        <v>107</v>
      </c>
      <c r="C33" s="19" t="s">
        <v>108</v>
      </c>
      <c r="D33" s="20">
        <v>150174</v>
      </c>
      <c r="E33" s="159"/>
      <c r="F33" s="165" t="s">
        <v>109</v>
      </c>
      <c r="G33" s="164">
        <f>SUM(G34:G39)</f>
        <v>45015085</v>
      </c>
    </row>
    <row r="34" spans="2:7" x14ac:dyDescent="0.25">
      <c r="B34" s="6" t="s">
        <v>110</v>
      </c>
      <c r="C34" s="19" t="s">
        <v>111</v>
      </c>
      <c r="D34" s="20">
        <v>2518922</v>
      </c>
      <c r="E34" s="159" t="s">
        <v>112</v>
      </c>
      <c r="F34" s="19" t="s">
        <v>113</v>
      </c>
      <c r="G34" s="20">
        <v>5393687</v>
      </c>
    </row>
    <row r="35" spans="2:7" ht="15.75" thickBot="1" x14ac:dyDescent="0.3">
      <c r="B35" s="6"/>
      <c r="C35" s="161" t="s">
        <v>114</v>
      </c>
      <c r="D35" s="162">
        <f>+D21+D29</f>
        <v>76205644</v>
      </c>
      <c r="E35" s="159" t="s">
        <v>115</v>
      </c>
      <c r="F35" s="19" t="s">
        <v>116</v>
      </c>
      <c r="G35" s="20">
        <v>445752</v>
      </c>
    </row>
    <row r="36" spans="2:7" x14ac:dyDescent="0.25">
      <c r="B36" s="6" t="s">
        <v>117</v>
      </c>
      <c r="C36" s="19" t="s">
        <v>118</v>
      </c>
      <c r="D36" s="20">
        <v>5737599</v>
      </c>
      <c r="E36" s="159" t="s">
        <v>119</v>
      </c>
      <c r="F36" s="19" t="s">
        <v>120</v>
      </c>
      <c r="G36" s="20">
        <v>1537037</v>
      </c>
    </row>
    <row r="37" spans="2:7" x14ac:dyDescent="0.25">
      <c r="B37" s="6" t="s">
        <v>121</v>
      </c>
      <c r="C37" s="19" t="s">
        <v>122</v>
      </c>
      <c r="D37" s="20">
        <v>17226040</v>
      </c>
      <c r="E37" s="159" t="s">
        <v>123</v>
      </c>
      <c r="F37" s="19" t="s">
        <v>124</v>
      </c>
      <c r="G37" s="20">
        <v>4093016</v>
      </c>
    </row>
    <row r="38" spans="2:7" x14ac:dyDescent="0.25">
      <c r="B38" s="6" t="s">
        <v>125</v>
      </c>
      <c r="C38" s="19" t="s">
        <v>126</v>
      </c>
      <c r="D38" s="20"/>
      <c r="E38" s="159" t="s">
        <v>127</v>
      </c>
      <c r="F38" s="19" t="s">
        <v>128</v>
      </c>
      <c r="G38" s="20">
        <v>4546762</v>
      </c>
    </row>
    <row r="39" spans="2:7" x14ac:dyDescent="0.25">
      <c r="B39" s="6" t="s">
        <v>129</v>
      </c>
      <c r="C39" s="19" t="s">
        <v>130</v>
      </c>
      <c r="D39" s="20"/>
      <c r="E39" s="159" t="s">
        <v>131</v>
      </c>
      <c r="F39" s="19" t="s">
        <v>132</v>
      </c>
      <c r="G39" s="20">
        <v>28998831</v>
      </c>
    </row>
    <row r="40" spans="2:7" x14ac:dyDescent="0.25">
      <c r="B40" s="6" t="s">
        <v>133</v>
      </c>
      <c r="C40" s="19" t="s">
        <v>134</v>
      </c>
      <c r="D40" s="20">
        <v>9660945</v>
      </c>
      <c r="E40" s="159"/>
      <c r="F40" s="166" t="s">
        <v>135</v>
      </c>
      <c r="G40" s="167">
        <f>SUM(G41:G46)</f>
        <v>15477752</v>
      </c>
    </row>
    <row r="41" spans="2:7" x14ac:dyDescent="0.25">
      <c r="B41" s="6" t="s">
        <v>136</v>
      </c>
      <c r="C41" s="19" t="s">
        <v>137</v>
      </c>
      <c r="D41" s="20">
        <v>28640239</v>
      </c>
      <c r="E41" s="159" t="s">
        <v>138</v>
      </c>
      <c r="F41" s="19" t="s">
        <v>139</v>
      </c>
      <c r="G41" s="20">
        <v>2444999</v>
      </c>
    </row>
    <row r="42" spans="2:7" x14ac:dyDescent="0.25">
      <c r="B42" s="6" t="s">
        <v>140</v>
      </c>
      <c r="C42" s="19" t="s">
        <v>141</v>
      </c>
      <c r="D42" s="20">
        <v>19697268</v>
      </c>
      <c r="E42" s="159" t="s">
        <v>142</v>
      </c>
      <c r="F42" s="19" t="s">
        <v>143</v>
      </c>
      <c r="G42" s="20">
        <v>31921</v>
      </c>
    </row>
    <row r="43" spans="2:7" x14ac:dyDescent="0.25">
      <c r="B43" s="6" t="s">
        <v>144</v>
      </c>
      <c r="C43" s="19" t="s">
        <v>145</v>
      </c>
      <c r="D43" s="20"/>
      <c r="E43" s="159" t="s">
        <v>146</v>
      </c>
      <c r="F43" s="19" t="s">
        <v>147</v>
      </c>
      <c r="G43" s="20">
        <v>1519183</v>
      </c>
    </row>
    <row r="44" spans="2:7" x14ac:dyDescent="0.25">
      <c r="B44" s="6" t="s">
        <v>148</v>
      </c>
      <c r="C44" s="19" t="s">
        <v>149</v>
      </c>
      <c r="D44" s="20"/>
      <c r="E44" s="159" t="s">
        <v>150</v>
      </c>
      <c r="F44" s="19" t="s">
        <v>151</v>
      </c>
      <c r="G44" s="20">
        <v>279546</v>
      </c>
    </row>
    <row r="45" spans="2:7" x14ac:dyDescent="0.25">
      <c r="B45" s="6" t="s">
        <v>152</v>
      </c>
      <c r="C45" s="19" t="s">
        <v>153</v>
      </c>
      <c r="D45" s="20">
        <v>4979935</v>
      </c>
      <c r="E45" s="159" t="s">
        <v>154</v>
      </c>
      <c r="F45" s="19" t="s">
        <v>155</v>
      </c>
      <c r="G45" s="20">
        <v>282804</v>
      </c>
    </row>
    <row r="46" spans="2:7" x14ac:dyDescent="0.25">
      <c r="B46" s="6" t="s">
        <v>156</v>
      </c>
      <c r="C46" s="19" t="s">
        <v>157</v>
      </c>
      <c r="D46" s="20">
        <v>3537140</v>
      </c>
      <c r="E46" s="159" t="s">
        <v>158</v>
      </c>
      <c r="F46" s="19" t="s">
        <v>159</v>
      </c>
      <c r="G46" s="20">
        <v>10919299</v>
      </c>
    </row>
    <row r="47" spans="2:7" ht="15.75" thickBot="1" x14ac:dyDescent="0.3">
      <c r="B47" s="6"/>
      <c r="C47" s="161" t="s">
        <v>160</v>
      </c>
      <c r="D47" s="162">
        <f>SUM(D36:D46)</f>
        <v>89479166</v>
      </c>
      <c r="E47" s="159" t="s">
        <v>161</v>
      </c>
      <c r="F47" s="19" t="s">
        <v>162</v>
      </c>
      <c r="G47" s="27">
        <v>2572920</v>
      </c>
    </row>
    <row r="48" spans="2:7" ht="15.75" thickBot="1" x14ac:dyDescent="0.3">
      <c r="B48" s="6"/>
      <c r="C48" s="168" t="s">
        <v>163</v>
      </c>
      <c r="D48" s="169"/>
      <c r="E48" s="159"/>
      <c r="F48" s="161" t="s">
        <v>164</v>
      </c>
      <c r="G48" s="170">
        <f>+G33+G40+G47</f>
        <v>63065757</v>
      </c>
    </row>
    <row r="49" spans="2:7" x14ac:dyDescent="0.25">
      <c r="B49" s="6" t="s">
        <v>165</v>
      </c>
      <c r="C49" s="38" t="s">
        <v>166</v>
      </c>
      <c r="D49" s="39"/>
      <c r="E49" s="159" t="s">
        <v>167</v>
      </c>
      <c r="F49" s="22" t="s">
        <v>168</v>
      </c>
      <c r="G49" s="23"/>
    </row>
    <row r="50" spans="2:7" x14ac:dyDescent="0.25">
      <c r="B50" s="6" t="s">
        <v>169</v>
      </c>
      <c r="C50" s="19" t="s">
        <v>163</v>
      </c>
      <c r="D50" s="20">
        <v>1518064</v>
      </c>
      <c r="E50" s="159" t="s">
        <v>170</v>
      </c>
      <c r="F50" s="19" t="s">
        <v>171</v>
      </c>
      <c r="G50" s="20">
        <v>24583335</v>
      </c>
    </row>
    <row r="51" spans="2:7" x14ac:dyDescent="0.25">
      <c r="B51" s="6" t="s">
        <v>172</v>
      </c>
      <c r="C51" s="19" t="s">
        <v>173</v>
      </c>
      <c r="D51" s="27">
        <v>383</v>
      </c>
      <c r="E51" s="159" t="s">
        <v>174</v>
      </c>
      <c r="F51" s="19" t="s">
        <v>175</v>
      </c>
      <c r="G51" s="20">
        <v>461369</v>
      </c>
    </row>
    <row r="52" spans="2:7" ht="15.75" thickBot="1" x14ac:dyDescent="0.3">
      <c r="B52" s="12"/>
      <c r="C52" s="161" t="s">
        <v>176</v>
      </c>
      <c r="D52" s="162">
        <f>SUM(D49:D51)</f>
        <v>1518447</v>
      </c>
      <c r="E52" s="159" t="s">
        <v>177</v>
      </c>
      <c r="F52" s="19" t="s">
        <v>178</v>
      </c>
      <c r="G52" s="20">
        <v>902465</v>
      </c>
    </row>
    <row r="53" spans="2:7" ht="15.75" thickBot="1" x14ac:dyDescent="0.3">
      <c r="B53" s="6"/>
      <c r="C53" s="171" t="s">
        <v>179</v>
      </c>
      <c r="D53" s="172">
        <f>D20+D35+D47+D52</f>
        <v>948214120</v>
      </c>
      <c r="E53" s="159" t="s">
        <v>180</v>
      </c>
      <c r="F53" s="19" t="s">
        <v>181</v>
      </c>
      <c r="G53" s="20">
        <v>3788681</v>
      </c>
    </row>
    <row r="54" spans="2:7" x14ac:dyDescent="0.25">
      <c r="C54" s="42"/>
      <c r="D54" s="43"/>
      <c r="E54" s="159" t="s">
        <v>182</v>
      </c>
      <c r="F54" s="19" t="s">
        <v>183</v>
      </c>
      <c r="G54" s="20">
        <v>833736</v>
      </c>
    </row>
    <row r="55" spans="2:7" x14ac:dyDescent="0.25">
      <c r="C55" s="173" t="s">
        <v>184</v>
      </c>
      <c r="D55" s="174"/>
      <c r="E55" s="159" t="s">
        <v>185</v>
      </c>
      <c r="F55" s="19" t="s">
        <v>186</v>
      </c>
      <c r="G55" s="20">
        <v>119926</v>
      </c>
    </row>
    <row r="56" spans="2:7" x14ac:dyDescent="0.25">
      <c r="B56" s="6" t="s">
        <v>187</v>
      </c>
      <c r="C56" s="46" t="s">
        <v>188</v>
      </c>
      <c r="D56" s="20"/>
      <c r="E56" s="159" t="s">
        <v>189</v>
      </c>
      <c r="F56" s="19" t="s">
        <v>190</v>
      </c>
      <c r="G56" s="27">
        <v>2076920</v>
      </c>
    </row>
    <row r="57" spans="2:7" ht="15.75" thickBot="1" x14ac:dyDescent="0.3">
      <c r="B57" s="6" t="s">
        <v>191</v>
      </c>
      <c r="C57" s="46" t="s">
        <v>192</v>
      </c>
      <c r="D57" s="20"/>
      <c r="E57" s="159"/>
      <c r="F57" s="161" t="s">
        <v>193</v>
      </c>
      <c r="G57" s="162">
        <f>SUM(G49:G56)</f>
        <v>32766432</v>
      </c>
    </row>
    <row r="58" spans="2:7" x14ac:dyDescent="0.25">
      <c r="B58" s="6" t="s">
        <v>194</v>
      </c>
      <c r="C58" s="46" t="s">
        <v>195</v>
      </c>
      <c r="D58" s="20"/>
      <c r="E58" s="159" t="s">
        <v>196</v>
      </c>
      <c r="F58" s="22" t="s">
        <v>197</v>
      </c>
      <c r="G58" s="23"/>
    </row>
    <row r="59" spans="2:7" x14ac:dyDescent="0.25">
      <c r="B59" s="6" t="s">
        <v>198</v>
      </c>
      <c r="C59" s="19" t="s">
        <v>199</v>
      </c>
      <c r="D59" s="27"/>
      <c r="E59" s="159" t="s">
        <v>200</v>
      </c>
      <c r="F59" s="19" t="s">
        <v>201</v>
      </c>
      <c r="G59" s="20">
        <v>13669560</v>
      </c>
    </row>
    <row r="60" spans="2:7" ht="15.75" thickBot="1" x14ac:dyDescent="0.3">
      <c r="B60" s="6"/>
      <c r="C60" s="161" t="s">
        <v>202</v>
      </c>
      <c r="D60" s="162">
        <f>SUM(D56:D59)</f>
        <v>0</v>
      </c>
      <c r="E60" s="159" t="s">
        <v>203</v>
      </c>
      <c r="F60" s="19" t="s">
        <v>204</v>
      </c>
      <c r="G60" s="20">
        <v>247784</v>
      </c>
    </row>
    <row r="61" spans="2:7" ht="16.5" thickBot="1" x14ac:dyDescent="0.3">
      <c r="B61" s="47"/>
      <c r="C61" s="175" t="s">
        <v>205</v>
      </c>
      <c r="D61" s="176">
        <f>D53+D60</f>
        <v>948214120</v>
      </c>
      <c r="E61" s="159" t="s">
        <v>206</v>
      </c>
      <c r="F61" s="19" t="s">
        <v>207</v>
      </c>
      <c r="G61" s="20"/>
    </row>
    <row r="62" spans="2:7" x14ac:dyDescent="0.25">
      <c r="B62" s="50"/>
      <c r="C62" s="51"/>
      <c r="D62" s="51"/>
      <c r="E62" s="159" t="s">
        <v>208</v>
      </c>
      <c r="F62" s="19" t="s">
        <v>209</v>
      </c>
      <c r="G62" s="20">
        <v>482610</v>
      </c>
    </row>
    <row r="63" spans="2:7" x14ac:dyDescent="0.25">
      <c r="B63" s="177"/>
      <c r="C63" s="178" t="s">
        <v>8</v>
      </c>
      <c r="D63" s="178"/>
      <c r="E63" s="159" t="s">
        <v>210</v>
      </c>
      <c r="F63" s="19" t="s">
        <v>211</v>
      </c>
      <c r="G63" s="20">
        <f>14735047+5310764</f>
        <v>20045811</v>
      </c>
    </row>
    <row r="64" spans="2:7" x14ac:dyDescent="0.25">
      <c r="B64" s="179" t="s">
        <v>212</v>
      </c>
      <c r="C64" s="180" t="s">
        <v>213</v>
      </c>
      <c r="D64" s="180">
        <f>[17]Amortizaciones!D6</f>
        <v>5681208.1352889594</v>
      </c>
      <c r="E64" s="159" t="s">
        <v>214</v>
      </c>
      <c r="F64" s="19" t="s">
        <v>215</v>
      </c>
      <c r="G64" s="20"/>
    </row>
    <row r="65" spans="2:7" x14ac:dyDescent="0.25">
      <c r="B65" s="179" t="s">
        <v>216</v>
      </c>
      <c r="C65" s="180" t="s">
        <v>217</v>
      </c>
      <c r="D65" s="180">
        <f>[17]Amortizaciones!D7</f>
        <v>0</v>
      </c>
      <c r="E65" s="159" t="s">
        <v>218</v>
      </c>
      <c r="F65" s="19" t="s">
        <v>219</v>
      </c>
      <c r="G65" s="20">
        <v>1182639</v>
      </c>
    </row>
    <row r="66" spans="2:7" x14ac:dyDescent="0.25">
      <c r="B66" s="179" t="s">
        <v>220</v>
      </c>
      <c r="C66" s="180" t="s">
        <v>221</v>
      </c>
      <c r="D66" s="180">
        <f>[17]Amortizaciones!D8</f>
        <v>11704908.041260727</v>
      </c>
      <c r="E66" s="159" t="s">
        <v>222</v>
      </c>
      <c r="F66" s="19" t="s">
        <v>223</v>
      </c>
      <c r="G66" s="20">
        <v>2239277</v>
      </c>
    </row>
    <row r="67" spans="2:7" x14ac:dyDescent="0.25">
      <c r="B67" s="179" t="s">
        <v>224</v>
      </c>
      <c r="C67" s="180" t="s">
        <v>225</v>
      </c>
      <c r="D67" s="180">
        <f>[17]Amortizaciones!D9</f>
        <v>131640.03252291749</v>
      </c>
      <c r="E67" s="159" t="s">
        <v>226</v>
      </c>
      <c r="F67" s="19" t="s">
        <v>227</v>
      </c>
      <c r="G67" s="20"/>
    </row>
    <row r="68" spans="2:7" x14ac:dyDescent="0.25">
      <c r="B68" s="179" t="s">
        <v>228</v>
      </c>
      <c r="C68" s="180" t="s">
        <v>229</v>
      </c>
      <c r="D68" s="180">
        <f>[17]Amortizaciones!D10</f>
        <v>239951.55469333334</v>
      </c>
      <c r="E68" s="159" t="s">
        <v>230</v>
      </c>
      <c r="F68" s="19" t="s">
        <v>231</v>
      </c>
      <c r="G68" s="20"/>
    </row>
    <row r="69" spans="2:7" x14ac:dyDescent="0.25">
      <c r="B69" s="179" t="s">
        <v>232</v>
      </c>
      <c r="C69" s="180" t="s">
        <v>233</v>
      </c>
      <c r="D69" s="180">
        <f>[17]Amortizaciones!D11</f>
        <v>5612.0758333333342</v>
      </c>
      <c r="E69" s="159" t="s">
        <v>234</v>
      </c>
      <c r="F69" s="19" t="s">
        <v>235</v>
      </c>
      <c r="G69" s="20">
        <v>288997</v>
      </c>
    </row>
    <row r="70" spans="2:7" x14ac:dyDescent="0.25">
      <c r="B70" s="179" t="s">
        <v>236</v>
      </c>
      <c r="C70" s="180" t="s">
        <v>237</v>
      </c>
      <c r="D70" s="180">
        <f>[17]Amortizaciones!D12</f>
        <v>1622118.4883834268</v>
      </c>
      <c r="E70" s="159" t="s">
        <v>238</v>
      </c>
      <c r="F70" s="19" t="s">
        <v>239</v>
      </c>
      <c r="G70" s="20"/>
    </row>
    <row r="71" spans="2:7" x14ac:dyDescent="0.25">
      <c r="B71" s="179" t="s">
        <v>240</v>
      </c>
      <c r="C71" s="180" t="s">
        <v>241</v>
      </c>
      <c r="D71" s="180">
        <f>[17]Amortizaciones!D13</f>
        <v>347242.33272220008</v>
      </c>
      <c r="E71" s="159" t="s">
        <v>242</v>
      </c>
      <c r="F71" s="19" t="s">
        <v>243</v>
      </c>
      <c r="G71" s="20"/>
    </row>
    <row r="72" spans="2:7" x14ac:dyDescent="0.25">
      <c r="B72" s="179" t="s">
        <v>244</v>
      </c>
      <c r="C72" s="180" t="s">
        <v>245</v>
      </c>
      <c r="D72" s="180">
        <f>[17]Amortizaciones!D14</f>
        <v>1109692.7464350709</v>
      </c>
      <c r="E72" s="159" t="s">
        <v>246</v>
      </c>
      <c r="F72" s="19" t="s">
        <v>247</v>
      </c>
      <c r="G72" s="20">
        <v>166420</v>
      </c>
    </row>
    <row r="73" spans="2:7" x14ac:dyDescent="0.25">
      <c r="B73" s="179" t="s">
        <v>248</v>
      </c>
      <c r="C73" s="180" t="s">
        <v>249</v>
      </c>
      <c r="D73" s="180">
        <f>[17]Amortizaciones!D15</f>
        <v>0</v>
      </c>
      <c r="E73" s="159" t="s">
        <v>250</v>
      </c>
      <c r="F73" s="19" t="s">
        <v>251</v>
      </c>
      <c r="G73" s="20"/>
    </row>
    <row r="74" spans="2:7" x14ac:dyDescent="0.25">
      <c r="B74" s="179" t="s">
        <v>252</v>
      </c>
      <c r="C74" s="180" t="s">
        <v>253</v>
      </c>
      <c r="D74" s="180">
        <f>[17]Amortizaciones!D16</f>
        <v>1791526.5603058187</v>
      </c>
      <c r="E74" s="159" t="s">
        <v>254</v>
      </c>
      <c r="F74" s="19" t="s">
        <v>255</v>
      </c>
      <c r="G74" s="20"/>
    </row>
    <row r="75" spans="2:7" x14ac:dyDescent="0.25">
      <c r="B75" s="179" t="s">
        <v>256</v>
      </c>
      <c r="C75" s="180" t="s">
        <v>257</v>
      </c>
      <c r="D75" s="180">
        <f>[17]Amortizaciones!D17</f>
        <v>0</v>
      </c>
      <c r="E75" s="159" t="s">
        <v>258</v>
      </c>
      <c r="F75" s="19" t="s">
        <v>259</v>
      </c>
      <c r="G75" s="20">
        <v>1650224</v>
      </c>
    </row>
    <row r="76" spans="2:7" x14ac:dyDescent="0.25">
      <c r="B76" s="179" t="s">
        <v>260</v>
      </c>
      <c r="C76" s="180" t="s">
        <v>261</v>
      </c>
      <c r="D76" s="180">
        <f>[17]Amortizaciones!D18</f>
        <v>0</v>
      </c>
      <c r="E76" s="159" t="s">
        <v>262</v>
      </c>
      <c r="F76" s="19" t="s">
        <v>263</v>
      </c>
      <c r="G76" s="20">
        <v>13627179</v>
      </c>
    </row>
    <row r="77" spans="2:7" x14ac:dyDescent="0.25">
      <c r="B77" s="179" t="s">
        <v>264</v>
      </c>
      <c r="C77" s="180" t="s">
        <v>265</v>
      </c>
      <c r="D77" s="180">
        <f>SUM(D64:D76)</f>
        <v>22633899.967445787</v>
      </c>
      <c r="E77" s="159" t="s">
        <v>266</v>
      </c>
      <c r="F77" s="19" t="s">
        <v>267</v>
      </c>
      <c r="G77" s="20">
        <f>3611900+489021</f>
        <v>4100921</v>
      </c>
    </row>
    <row r="78" spans="2:7" x14ac:dyDescent="0.25">
      <c r="B78" s="179"/>
      <c r="C78" s="180"/>
      <c r="D78" s="180"/>
      <c r="E78" s="159" t="s">
        <v>268</v>
      </c>
      <c r="F78" s="19" t="s">
        <v>269</v>
      </c>
      <c r="G78" s="27">
        <f>1362670</f>
        <v>1362670</v>
      </c>
    </row>
    <row r="79" spans="2:7" ht="15.75" thickBot="1" x14ac:dyDescent="0.3">
      <c r="B79" s="179"/>
      <c r="C79" s="178" t="s">
        <v>270</v>
      </c>
      <c r="D79" s="181"/>
      <c r="E79" s="159"/>
      <c r="F79" s="161" t="s">
        <v>271</v>
      </c>
      <c r="G79" s="162">
        <f>SUM(G58:G78)</f>
        <v>59064092</v>
      </c>
    </row>
    <row r="80" spans="2:7" x14ac:dyDescent="0.25">
      <c r="B80" s="179" t="s">
        <v>272</v>
      </c>
      <c r="C80" s="180" t="s">
        <v>237</v>
      </c>
      <c r="D80" s="180">
        <f>[17]Amortizaciones!D22</f>
        <v>0</v>
      </c>
      <c r="E80" s="159" t="s">
        <v>273</v>
      </c>
      <c r="F80" s="22" t="s">
        <v>274</v>
      </c>
      <c r="G80" s="23">
        <v>14400</v>
      </c>
    </row>
    <row r="81" spans="2:7" x14ac:dyDescent="0.25">
      <c r="B81" s="179" t="s">
        <v>275</v>
      </c>
      <c r="C81" s="180" t="s">
        <v>241</v>
      </c>
      <c r="D81" s="180">
        <f>[17]Amortizaciones!D23</f>
        <v>0</v>
      </c>
      <c r="E81" s="159" t="s">
        <v>276</v>
      </c>
      <c r="F81" s="19" t="s">
        <v>277</v>
      </c>
      <c r="G81" s="20">
        <v>4167706</v>
      </c>
    </row>
    <row r="82" spans="2:7" x14ac:dyDescent="0.25">
      <c r="B82" s="179" t="s">
        <v>278</v>
      </c>
      <c r="C82" s="180" t="s">
        <v>245</v>
      </c>
      <c r="D82" s="180">
        <f>[17]Amortizaciones!D24</f>
        <v>0</v>
      </c>
      <c r="E82" s="159" t="s">
        <v>279</v>
      </c>
      <c r="F82" s="19" t="s">
        <v>280</v>
      </c>
      <c r="G82" s="20">
        <v>1391573</v>
      </c>
    </row>
    <row r="83" spans="2:7" x14ac:dyDescent="0.25">
      <c r="B83" s="179" t="s">
        <v>281</v>
      </c>
      <c r="C83" s="180" t="s">
        <v>249</v>
      </c>
      <c r="D83" s="180">
        <f>[17]Amortizaciones!D25</f>
        <v>0</v>
      </c>
      <c r="E83" s="159" t="s">
        <v>282</v>
      </c>
      <c r="F83" s="19" t="s">
        <v>283</v>
      </c>
      <c r="G83" s="20">
        <v>4808171</v>
      </c>
    </row>
    <row r="84" spans="2:7" x14ac:dyDescent="0.25">
      <c r="B84" s="179" t="s">
        <v>284</v>
      </c>
      <c r="C84" s="180" t="s">
        <v>285</v>
      </c>
      <c r="D84" s="180">
        <v>0</v>
      </c>
      <c r="E84" s="159" t="s">
        <v>286</v>
      </c>
      <c r="F84" s="19" t="s">
        <v>287</v>
      </c>
      <c r="G84" s="20">
        <v>7835890</v>
      </c>
    </row>
    <row r="85" spans="2:7" x14ac:dyDescent="0.25">
      <c r="B85" s="179" t="s">
        <v>288</v>
      </c>
      <c r="C85" s="180" t="s">
        <v>289</v>
      </c>
      <c r="D85" s="180">
        <f>[17]Amortizaciones!D27</f>
        <v>0</v>
      </c>
      <c r="E85" s="159" t="s">
        <v>290</v>
      </c>
      <c r="F85" s="19" t="s">
        <v>291</v>
      </c>
      <c r="G85" s="20">
        <v>4444533</v>
      </c>
    </row>
    <row r="86" spans="2:7" x14ac:dyDescent="0.25">
      <c r="B86" s="179" t="s">
        <v>292</v>
      </c>
      <c r="C86" s="180" t="s">
        <v>293</v>
      </c>
      <c r="D86" s="180">
        <f>[17]Amortizaciones!D28</f>
        <v>0</v>
      </c>
      <c r="E86" s="159" t="s">
        <v>294</v>
      </c>
      <c r="F86" s="19" t="s">
        <v>295</v>
      </c>
      <c r="G86" s="20">
        <v>3446577</v>
      </c>
    </row>
    <row r="87" spans="2:7" x14ac:dyDescent="0.25">
      <c r="B87" s="179" t="s">
        <v>296</v>
      </c>
      <c r="C87" s="180" t="s">
        <v>297</v>
      </c>
      <c r="D87" s="180">
        <f>[17]Amortizaciones!D29</f>
        <v>0</v>
      </c>
      <c r="E87" s="159" t="s">
        <v>298</v>
      </c>
      <c r="F87" s="19" t="s">
        <v>299</v>
      </c>
      <c r="G87" s="20"/>
    </row>
    <row r="88" spans="2:7" x14ac:dyDescent="0.25">
      <c r="B88" s="179" t="s">
        <v>300</v>
      </c>
      <c r="C88" s="180" t="s">
        <v>301</v>
      </c>
      <c r="D88" s="180">
        <f>[17]Amortizaciones!D30</f>
        <v>0</v>
      </c>
      <c r="E88" s="159" t="s">
        <v>302</v>
      </c>
      <c r="F88" s="19" t="s">
        <v>303</v>
      </c>
      <c r="G88" s="20">
        <v>2137380</v>
      </c>
    </row>
    <row r="89" spans="2:7" x14ac:dyDescent="0.25">
      <c r="B89" s="179" t="s">
        <v>304</v>
      </c>
      <c r="C89" s="180" t="s">
        <v>213</v>
      </c>
      <c r="D89" s="180">
        <f>[17]Amortizaciones!D31</f>
        <v>0</v>
      </c>
      <c r="E89" s="159" t="s">
        <v>305</v>
      </c>
      <c r="F89" s="19" t="s">
        <v>306</v>
      </c>
      <c r="G89" s="20"/>
    </row>
    <row r="90" spans="2:7" x14ac:dyDescent="0.25">
      <c r="B90" s="179" t="s">
        <v>307</v>
      </c>
      <c r="C90" s="180" t="s">
        <v>229</v>
      </c>
      <c r="D90" s="180">
        <f>[17]Amortizaciones!D32</f>
        <v>0</v>
      </c>
      <c r="E90" s="159" t="s">
        <v>308</v>
      </c>
      <c r="F90" s="19" t="s">
        <v>309</v>
      </c>
      <c r="G90" s="20"/>
    </row>
    <row r="91" spans="2:7" x14ac:dyDescent="0.25">
      <c r="B91" s="179" t="s">
        <v>310</v>
      </c>
      <c r="C91" s="180" t="s">
        <v>311</v>
      </c>
      <c r="D91" s="180">
        <f>SUM(D80:D90)</f>
        <v>0</v>
      </c>
      <c r="E91" s="177" t="s">
        <v>312</v>
      </c>
      <c r="F91" s="19" t="s">
        <v>313</v>
      </c>
      <c r="G91" s="20"/>
    </row>
    <row r="92" spans="2:7" x14ac:dyDescent="0.25">
      <c r="B92" s="179"/>
      <c r="C92" s="182" t="s">
        <v>314</v>
      </c>
      <c r="D92" s="180">
        <f>D77+D91</f>
        <v>22633899.967445787</v>
      </c>
      <c r="E92" s="177" t="s">
        <v>315</v>
      </c>
      <c r="F92" s="19" t="s">
        <v>316</v>
      </c>
      <c r="G92" s="20"/>
    </row>
    <row r="93" spans="2:7" x14ac:dyDescent="0.25">
      <c r="E93" s="177" t="s">
        <v>317</v>
      </c>
      <c r="F93" s="19" t="s">
        <v>318</v>
      </c>
      <c r="G93" s="20">
        <v>24124924</v>
      </c>
    </row>
    <row r="94" spans="2:7" x14ac:dyDescent="0.25">
      <c r="E94" s="177" t="s">
        <v>319</v>
      </c>
      <c r="F94" s="19" t="s">
        <v>320</v>
      </c>
      <c r="G94" s="27">
        <v>2098084</v>
      </c>
    </row>
    <row r="95" spans="2:7" ht="13.5" customHeight="1" thickBot="1" x14ac:dyDescent="0.3">
      <c r="E95" s="159"/>
      <c r="F95" s="161" t="s">
        <v>321</v>
      </c>
      <c r="G95" s="162">
        <f>SUM(G80:G94)</f>
        <v>54469238</v>
      </c>
    </row>
    <row r="96" spans="2:7" x14ac:dyDescent="0.25">
      <c r="E96" s="177" t="s">
        <v>322</v>
      </c>
      <c r="F96" s="22" t="s">
        <v>323</v>
      </c>
      <c r="G96" s="23">
        <v>1443688</v>
      </c>
    </row>
    <row r="97" spans="2:7" x14ac:dyDescent="0.25">
      <c r="E97" s="177" t="s">
        <v>324</v>
      </c>
      <c r="F97" s="19" t="s">
        <v>325</v>
      </c>
      <c r="G97" s="20">
        <v>1747861</v>
      </c>
    </row>
    <row r="98" spans="2:7" x14ac:dyDescent="0.25">
      <c r="E98" s="177" t="s">
        <v>326</v>
      </c>
      <c r="F98" s="19" t="s">
        <v>327</v>
      </c>
      <c r="G98" s="20">
        <v>114957</v>
      </c>
    </row>
    <row r="99" spans="2:7" x14ac:dyDescent="0.25">
      <c r="E99" s="177" t="s">
        <v>328</v>
      </c>
      <c r="F99" s="19" t="s">
        <v>329</v>
      </c>
      <c r="G99" s="20">
        <v>980754</v>
      </c>
    </row>
    <row r="100" spans="2:7" x14ac:dyDescent="0.25">
      <c r="E100" s="177" t="s">
        <v>330</v>
      </c>
      <c r="F100" s="19" t="s">
        <v>331</v>
      </c>
      <c r="G100" s="27">
        <v>252252</v>
      </c>
    </row>
    <row r="101" spans="2:7" ht="15.75" thickBot="1" x14ac:dyDescent="0.3">
      <c r="E101" s="159"/>
      <c r="F101" s="161" t="s">
        <v>332</v>
      </c>
      <c r="G101" s="162">
        <f>SUM(G96:G100)</f>
        <v>4539512</v>
      </c>
    </row>
    <row r="102" spans="2:7" ht="15.75" thickBot="1" x14ac:dyDescent="0.3">
      <c r="E102" s="177"/>
      <c r="F102" s="183" t="s">
        <v>333</v>
      </c>
      <c r="G102" s="184">
        <f>[17]Amortizaciones!D19</f>
        <v>22633899.967445787</v>
      </c>
    </row>
    <row r="103" spans="2:7" x14ac:dyDescent="0.25">
      <c r="E103" s="177" t="s">
        <v>334</v>
      </c>
      <c r="F103" s="19" t="s">
        <v>335</v>
      </c>
      <c r="G103" s="23"/>
    </row>
    <row r="104" spans="2:7" x14ac:dyDescent="0.25">
      <c r="E104" s="177" t="s">
        <v>336</v>
      </c>
      <c r="F104" s="61" t="s">
        <v>337</v>
      </c>
      <c r="G104" s="20"/>
    </row>
    <row r="105" spans="2:7" ht="15.75" thickBot="1" x14ac:dyDescent="0.3">
      <c r="E105" s="159"/>
      <c r="F105" s="161" t="s">
        <v>338</v>
      </c>
      <c r="G105" s="162">
        <f>SUM(G103:G104)</f>
        <v>0</v>
      </c>
    </row>
    <row r="106" spans="2:7" ht="13.7" customHeight="1" thickBot="1" x14ac:dyDescent="0.3">
      <c r="B106" s="6"/>
      <c r="C106" s="62"/>
      <c r="D106" s="62"/>
      <c r="E106" s="177"/>
      <c r="F106" s="175" t="s">
        <v>339</v>
      </c>
      <c r="G106" s="176">
        <f>G19+G27+G32+G48+G57+G79+G95+G101+G102+G105</f>
        <v>855745997.96744573</v>
      </c>
    </row>
    <row r="107" spans="2:7" ht="13.7" customHeight="1" x14ac:dyDescent="0.25">
      <c r="B107" s="6"/>
      <c r="C107" s="62"/>
      <c r="D107" s="62"/>
      <c r="E107" s="159"/>
      <c r="F107" s="63"/>
      <c r="G107" s="64"/>
    </row>
    <row r="108" spans="2:7" ht="13.7" customHeight="1" thickBot="1" x14ac:dyDescent="0.3">
      <c r="B108" s="6"/>
      <c r="C108" s="62"/>
      <c r="D108" s="62"/>
      <c r="E108" s="159"/>
    </row>
    <row r="109" spans="2:7" ht="13.7" customHeight="1" thickBot="1" x14ac:dyDescent="0.3">
      <c r="B109" s="6"/>
      <c r="C109" s="62"/>
      <c r="D109" s="62"/>
      <c r="E109" s="159"/>
      <c r="F109" s="154" t="s">
        <v>340</v>
      </c>
      <c r="G109" s="185">
        <f>D61-G106</f>
        <v>92468122.032554269</v>
      </c>
    </row>
    <row r="110" spans="2:7" ht="13.7" customHeight="1" thickBot="1" x14ac:dyDescent="0.3">
      <c r="B110" s="6"/>
      <c r="C110" s="62"/>
      <c r="D110" s="62"/>
      <c r="E110" s="159"/>
    </row>
    <row r="111" spans="2:7" ht="13.7" customHeight="1" thickBot="1" x14ac:dyDescent="0.3">
      <c r="C111" s="175" t="s">
        <v>270</v>
      </c>
      <c r="D111" s="157">
        <f>+[17]E.S.P.!D6</f>
        <v>2020</v>
      </c>
      <c r="E111" s="177"/>
      <c r="F111" s="175" t="s">
        <v>341</v>
      </c>
      <c r="G111" s="157">
        <f>+[17]E.S.P.!D6</f>
        <v>2020</v>
      </c>
    </row>
    <row r="112" spans="2:7" ht="13.7" customHeight="1" x14ac:dyDescent="0.25">
      <c r="B112" s="6" t="s">
        <v>342</v>
      </c>
      <c r="C112" s="66" t="s">
        <v>343</v>
      </c>
      <c r="D112" s="67">
        <v>6706729</v>
      </c>
      <c r="E112" s="159" t="s">
        <v>344</v>
      </c>
      <c r="F112" s="66" t="s">
        <v>309</v>
      </c>
      <c r="G112" s="67"/>
    </row>
    <row r="113" spans="2:7" ht="13.7" customHeight="1" x14ac:dyDescent="0.25">
      <c r="B113" s="6" t="s">
        <v>345</v>
      </c>
      <c r="C113" s="68" t="s">
        <v>346</v>
      </c>
      <c r="D113" s="69">
        <v>68679831</v>
      </c>
      <c r="E113" s="159" t="s">
        <v>347</v>
      </c>
      <c r="F113" s="68" t="s">
        <v>348</v>
      </c>
      <c r="G113" s="69"/>
    </row>
    <row r="114" spans="2:7" ht="13.7" customHeight="1" x14ac:dyDescent="0.25">
      <c r="B114" s="6" t="s">
        <v>349</v>
      </c>
      <c r="C114" s="68" t="s">
        <v>48</v>
      </c>
      <c r="D114" s="69"/>
      <c r="E114" s="159" t="s">
        <v>350</v>
      </c>
      <c r="F114" s="68" t="s">
        <v>351</v>
      </c>
      <c r="G114" s="69"/>
    </row>
    <row r="115" spans="2:7" ht="13.7" customHeight="1" x14ac:dyDescent="0.25">
      <c r="B115" s="6" t="s">
        <v>352</v>
      </c>
      <c r="C115" s="68" t="s">
        <v>353</v>
      </c>
      <c r="D115" s="69">
        <v>277354</v>
      </c>
      <c r="E115" s="159" t="s">
        <v>354</v>
      </c>
      <c r="F115" s="68" t="s">
        <v>355</v>
      </c>
      <c r="G115" s="69"/>
    </row>
    <row r="116" spans="2:7" ht="13.7" customHeight="1" x14ac:dyDescent="0.25">
      <c r="B116" s="6" t="s">
        <v>356</v>
      </c>
      <c r="C116" s="68" t="s">
        <v>357</v>
      </c>
      <c r="D116" s="69">
        <v>2834225</v>
      </c>
      <c r="E116" s="159" t="s">
        <v>358</v>
      </c>
      <c r="F116" s="68" t="s">
        <v>359</v>
      </c>
      <c r="G116" s="69">
        <v>5379990</v>
      </c>
    </row>
    <row r="117" spans="2:7" ht="13.7" customHeight="1" x14ac:dyDescent="0.25">
      <c r="B117" s="6" t="s">
        <v>360</v>
      </c>
      <c r="C117" s="68" t="s">
        <v>361</v>
      </c>
      <c r="D117" s="69"/>
      <c r="E117" s="159" t="s">
        <v>362</v>
      </c>
      <c r="F117" s="68" t="s">
        <v>363</v>
      </c>
      <c r="G117" s="69"/>
    </row>
    <row r="118" spans="2:7" ht="13.7" customHeight="1" x14ac:dyDescent="0.25">
      <c r="B118" s="6" t="s">
        <v>364</v>
      </c>
      <c r="C118" s="68" t="s">
        <v>365</v>
      </c>
      <c r="D118" s="69"/>
      <c r="E118" s="159" t="s">
        <v>366</v>
      </c>
      <c r="F118" s="68" t="s">
        <v>367</v>
      </c>
      <c r="G118" s="69"/>
    </row>
    <row r="119" spans="2:7" ht="13.7" customHeight="1" x14ac:dyDescent="0.25">
      <c r="B119" s="6" t="s">
        <v>368</v>
      </c>
      <c r="C119" s="68" t="s">
        <v>369</v>
      </c>
      <c r="D119" s="69"/>
      <c r="E119" s="159" t="s">
        <v>370</v>
      </c>
      <c r="F119" s="68" t="s">
        <v>371</v>
      </c>
      <c r="G119" s="69"/>
    </row>
    <row r="120" spans="2:7" ht="13.7" customHeight="1" x14ac:dyDescent="0.25">
      <c r="B120" s="6" t="s">
        <v>372</v>
      </c>
      <c r="C120" s="68" t="s">
        <v>373</v>
      </c>
      <c r="D120" s="69"/>
      <c r="E120" s="159" t="s">
        <v>374</v>
      </c>
      <c r="F120" s="68" t="s">
        <v>375</v>
      </c>
      <c r="G120" s="69"/>
    </row>
    <row r="121" spans="2:7" ht="13.7" customHeight="1" x14ac:dyDescent="0.25">
      <c r="B121" s="6" t="s">
        <v>376</v>
      </c>
      <c r="C121" s="19" t="s">
        <v>377</v>
      </c>
      <c r="D121" s="69">
        <v>3469718</v>
      </c>
      <c r="E121" s="159" t="s">
        <v>378</v>
      </c>
      <c r="F121" s="68" t="s">
        <v>379</v>
      </c>
      <c r="G121" s="69">
        <v>2562070</v>
      </c>
    </row>
    <row r="122" spans="2:7" ht="13.7" customHeight="1" thickBot="1" x14ac:dyDescent="0.3">
      <c r="B122" s="6"/>
      <c r="C122" s="161" t="s">
        <v>380</v>
      </c>
      <c r="D122" s="170">
        <f>SUM(D112:D121)</f>
        <v>81967857</v>
      </c>
      <c r="E122" s="159" t="s">
        <v>381</v>
      </c>
      <c r="F122" s="19" t="s">
        <v>382</v>
      </c>
      <c r="G122" s="20">
        <v>80207</v>
      </c>
    </row>
    <row r="123" spans="2:7" ht="13.7" customHeight="1" thickBot="1" x14ac:dyDescent="0.3">
      <c r="B123" s="6" t="s">
        <v>383</v>
      </c>
      <c r="C123" s="70" t="s">
        <v>309</v>
      </c>
      <c r="D123" s="67">
        <v>1590975</v>
      </c>
      <c r="E123" s="177"/>
      <c r="F123" s="161" t="s">
        <v>384</v>
      </c>
      <c r="G123" s="170">
        <f>SUM(G112:G122)</f>
        <v>8022267</v>
      </c>
    </row>
    <row r="124" spans="2:7" ht="13.7" customHeight="1" x14ac:dyDescent="0.25">
      <c r="B124" s="6" t="s">
        <v>385</v>
      </c>
      <c r="C124" s="68" t="s">
        <v>313</v>
      </c>
      <c r="D124" s="69"/>
      <c r="E124" s="159" t="s">
        <v>386</v>
      </c>
      <c r="F124" s="68" t="s">
        <v>387</v>
      </c>
      <c r="G124" s="69"/>
    </row>
    <row r="125" spans="2:7" ht="13.7" customHeight="1" x14ac:dyDescent="0.25">
      <c r="B125" s="6" t="s">
        <v>388</v>
      </c>
      <c r="C125" s="19" t="s">
        <v>389</v>
      </c>
      <c r="D125" s="69">
        <v>65656</v>
      </c>
      <c r="E125" s="159" t="s">
        <v>390</v>
      </c>
      <c r="F125" s="68" t="s">
        <v>391</v>
      </c>
      <c r="G125" s="69"/>
    </row>
    <row r="126" spans="2:7" ht="13.7" customHeight="1" thickBot="1" x14ac:dyDescent="0.3">
      <c r="B126" s="6"/>
      <c r="C126" s="161" t="s">
        <v>392</v>
      </c>
      <c r="D126" s="170">
        <f>SUM(D123:D125)</f>
        <v>1656631</v>
      </c>
      <c r="E126" s="159" t="s">
        <v>393</v>
      </c>
      <c r="F126" s="68" t="s">
        <v>394</v>
      </c>
      <c r="G126" s="69"/>
    </row>
    <row r="127" spans="2:7" ht="13.7" customHeight="1" x14ac:dyDescent="0.25">
      <c r="B127" s="6" t="s">
        <v>395</v>
      </c>
      <c r="C127" s="66" t="s">
        <v>274</v>
      </c>
      <c r="D127" s="67">
        <v>1680957</v>
      </c>
      <c r="E127" s="159" t="s">
        <v>396</v>
      </c>
      <c r="F127" s="68" t="s">
        <v>397</v>
      </c>
      <c r="G127" s="69"/>
    </row>
    <row r="128" spans="2:7" ht="13.7" customHeight="1" x14ac:dyDescent="0.25">
      <c r="B128" s="6" t="s">
        <v>398</v>
      </c>
      <c r="C128" s="68" t="s">
        <v>399</v>
      </c>
      <c r="D128" s="69">
        <v>1431116</v>
      </c>
      <c r="E128" s="159" t="s">
        <v>400</v>
      </c>
      <c r="F128" s="68" t="s">
        <v>401</v>
      </c>
      <c r="G128" s="69"/>
    </row>
    <row r="129" spans="2:7" ht="13.7" customHeight="1" x14ac:dyDescent="0.25">
      <c r="B129" s="6" t="s">
        <v>402</v>
      </c>
      <c r="C129" s="68" t="s">
        <v>277</v>
      </c>
      <c r="D129" s="69"/>
      <c r="E129" s="159" t="s">
        <v>403</v>
      </c>
      <c r="F129" s="68" t="s">
        <v>404</v>
      </c>
      <c r="G129" s="69"/>
    </row>
    <row r="130" spans="2:7" ht="13.7" customHeight="1" x14ac:dyDescent="0.25">
      <c r="B130" s="6" t="s">
        <v>405</v>
      </c>
      <c r="C130" s="68" t="s">
        <v>283</v>
      </c>
      <c r="D130" s="69"/>
      <c r="E130" s="159" t="s">
        <v>406</v>
      </c>
      <c r="F130" s="68" t="s">
        <v>407</v>
      </c>
      <c r="G130" s="69"/>
    </row>
    <row r="131" spans="2:7" ht="13.7" customHeight="1" x14ac:dyDescent="0.25">
      <c r="B131" s="6" t="s">
        <v>408</v>
      </c>
      <c r="C131" s="68" t="s">
        <v>287</v>
      </c>
      <c r="D131" s="69"/>
      <c r="E131" s="159" t="s">
        <v>409</v>
      </c>
      <c r="F131" s="68" t="s">
        <v>410</v>
      </c>
      <c r="G131" s="69"/>
    </row>
    <row r="132" spans="2:7" ht="13.7" customHeight="1" x14ac:dyDescent="0.25">
      <c r="B132" s="6" t="s">
        <v>411</v>
      </c>
      <c r="C132" s="68" t="s">
        <v>291</v>
      </c>
      <c r="D132" s="69"/>
      <c r="E132" s="159" t="s">
        <v>412</v>
      </c>
      <c r="F132" s="68" t="s">
        <v>413</v>
      </c>
      <c r="G132" s="69">
        <v>166708</v>
      </c>
    </row>
    <row r="133" spans="2:7" ht="13.7" customHeight="1" x14ac:dyDescent="0.25">
      <c r="B133" s="6" t="s">
        <v>414</v>
      </c>
      <c r="C133" s="68" t="s">
        <v>295</v>
      </c>
      <c r="D133" s="69">
        <v>419713</v>
      </c>
      <c r="E133" s="159" t="s">
        <v>415</v>
      </c>
      <c r="F133" s="68" t="s">
        <v>416</v>
      </c>
      <c r="G133" s="69"/>
    </row>
    <row r="134" spans="2:7" ht="13.7" customHeight="1" x14ac:dyDescent="0.25">
      <c r="B134" s="6" t="s">
        <v>417</v>
      </c>
      <c r="C134" s="68" t="s">
        <v>418</v>
      </c>
      <c r="D134" s="69">
        <v>891671</v>
      </c>
      <c r="E134" s="159" t="s">
        <v>419</v>
      </c>
      <c r="F134" s="68" t="s">
        <v>420</v>
      </c>
      <c r="G134" s="69"/>
    </row>
    <row r="135" spans="2:7" ht="13.7" customHeight="1" x14ac:dyDescent="0.25">
      <c r="B135" s="6" t="s">
        <v>421</v>
      </c>
      <c r="C135" s="68" t="s">
        <v>422</v>
      </c>
      <c r="D135" s="69"/>
      <c r="E135" s="159" t="s">
        <v>423</v>
      </c>
      <c r="F135" s="68" t="s">
        <v>424</v>
      </c>
      <c r="G135" s="69"/>
    </row>
    <row r="136" spans="2:7" ht="13.7" customHeight="1" x14ac:dyDescent="0.25">
      <c r="B136" s="6" t="s">
        <v>425</v>
      </c>
      <c r="C136" s="68" t="s">
        <v>318</v>
      </c>
      <c r="D136" s="69">
        <v>1589696</v>
      </c>
      <c r="E136" s="159" t="s">
        <v>426</v>
      </c>
      <c r="F136" s="68" t="s">
        <v>427</v>
      </c>
      <c r="G136" s="69">
        <v>2702313</v>
      </c>
    </row>
    <row r="137" spans="2:7" ht="13.7" customHeight="1" x14ac:dyDescent="0.25">
      <c r="B137" s="6" t="s">
        <v>428</v>
      </c>
      <c r="C137" s="19" t="s">
        <v>320</v>
      </c>
      <c r="D137" s="71">
        <v>255681</v>
      </c>
      <c r="E137" s="159" t="s">
        <v>429</v>
      </c>
      <c r="F137" s="68" t="s">
        <v>430</v>
      </c>
      <c r="G137" s="69">
        <v>2413867</v>
      </c>
    </row>
    <row r="138" spans="2:7" ht="13.7" customHeight="1" thickBot="1" x14ac:dyDescent="0.3">
      <c r="B138" s="6"/>
      <c r="C138" s="161" t="s">
        <v>321</v>
      </c>
      <c r="D138" s="170">
        <f>SUM(D127:D137)</f>
        <v>6268834</v>
      </c>
      <c r="E138" s="159" t="s">
        <v>431</v>
      </c>
      <c r="F138" s="19" t="s">
        <v>432</v>
      </c>
      <c r="G138" s="20">
        <v>183994</v>
      </c>
    </row>
    <row r="139" spans="2:7" ht="13.7" customHeight="1" thickBot="1" x14ac:dyDescent="0.3">
      <c r="B139" s="6" t="s">
        <v>433</v>
      </c>
      <c r="C139" s="66" t="s">
        <v>327</v>
      </c>
      <c r="D139" s="67"/>
      <c r="E139" s="7"/>
      <c r="F139" s="161" t="s">
        <v>434</v>
      </c>
      <c r="G139" s="170">
        <f>SUM(G124:G138)</f>
        <v>5466882</v>
      </c>
    </row>
    <row r="140" spans="2:7" ht="13.7" customHeight="1" thickBot="1" x14ac:dyDescent="0.3">
      <c r="B140" s="6" t="s">
        <v>435</v>
      </c>
      <c r="C140" s="68" t="s">
        <v>329</v>
      </c>
      <c r="D140" s="69">
        <v>18146</v>
      </c>
      <c r="E140" s="7"/>
      <c r="F140" s="175" t="s">
        <v>436</v>
      </c>
      <c r="G140" s="186">
        <f>G123-G139</f>
        <v>2555385</v>
      </c>
    </row>
    <row r="141" spans="2:7" ht="13.7" customHeight="1" x14ac:dyDescent="0.25">
      <c r="B141" s="6" t="s">
        <v>437</v>
      </c>
      <c r="C141" s="19" t="s">
        <v>331</v>
      </c>
      <c r="D141" s="71">
        <v>587</v>
      </c>
      <c r="E141" s="73"/>
    </row>
    <row r="142" spans="2:7" ht="13.7" customHeight="1" thickBot="1" x14ac:dyDescent="0.3">
      <c r="B142" s="6"/>
      <c r="C142" s="161" t="s">
        <v>332</v>
      </c>
      <c r="D142" s="170">
        <f>SUM(D139:D141)</f>
        <v>18733</v>
      </c>
      <c r="E142" s="73"/>
    </row>
    <row r="143" spans="2:7" ht="13.7" customHeight="1" thickBot="1" x14ac:dyDescent="0.3">
      <c r="B143" s="6"/>
      <c r="C143" s="183" t="s">
        <v>438</v>
      </c>
      <c r="D143" s="187">
        <f>[17]Amortizaciones!D33</f>
        <v>0</v>
      </c>
      <c r="E143" s="159"/>
      <c r="F143" s="175" t="s">
        <v>439</v>
      </c>
      <c r="G143" s="157">
        <f>+[17]E.S.P.!D6</f>
        <v>2020</v>
      </c>
    </row>
    <row r="144" spans="2:7" ht="13.7" customHeight="1" x14ac:dyDescent="0.25">
      <c r="B144" s="6" t="s">
        <v>440</v>
      </c>
      <c r="C144" s="66" t="s">
        <v>441</v>
      </c>
      <c r="D144" s="67">
        <v>3160079</v>
      </c>
      <c r="E144" s="159" t="s">
        <v>442</v>
      </c>
      <c r="F144" s="66" t="s">
        <v>443</v>
      </c>
      <c r="G144" s="67">
        <v>147072</v>
      </c>
    </row>
    <row r="145" spans="2:7" ht="13.7" customHeight="1" x14ac:dyDescent="0.25">
      <c r="B145" s="6" t="s">
        <v>444</v>
      </c>
      <c r="C145" s="68" t="s">
        <v>445</v>
      </c>
      <c r="D145" s="69"/>
      <c r="E145" s="159" t="s">
        <v>446</v>
      </c>
      <c r="F145" s="68" t="s">
        <v>447</v>
      </c>
      <c r="G145" s="69">
        <v>382556</v>
      </c>
    </row>
    <row r="146" spans="2:7" ht="13.7" customHeight="1" x14ac:dyDescent="0.25">
      <c r="B146" s="6" t="s">
        <v>448</v>
      </c>
      <c r="C146" s="75" t="s">
        <v>449</v>
      </c>
      <c r="D146" s="69"/>
      <c r="E146" s="159" t="s">
        <v>450</v>
      </c>
      <c r="F146" s="68" t="s">
        <v>451</v>
      </c>
      <c r="G146" s="69">
        <v>260735</v>
      </c>
    </row>
    <row r="147" spans="2:7" ht="13.7" customHeight="1" x14ac:dyDescent="0.25">
      <c r="B147" s="6" t="s">
        <v>452</v>
      </c>
      <c r="C147" s="19" t="s">
        <v>453</v>
      </c>
      <c r="D147" s="71">
        <v>125622</v>
      </c>
      <c r="E147" s="159" t="s">
        <v>454</v>
      </c>
      <c r="F147" s="68" t="s">
        <v>455</v>
      </c>
      <c r="G147" s="69"/>
    </row>
    <row r="148" spans="2:7" ht="13.7" customHeight="1" thickBot="1" x14ac:dyDescent="0.3">
      <c r="B148" s="6"/>
      <c r="C148" s="161" t="s">
        <v>456</v>
      </c>
      <c r="D148" s="170">
        <f>SUM(D144:D147)</f>
        <v>3285701</v>
      </c>
      <c r="E148" s="159" t="s">
        <v>457</v>
      </c>
      <c r="F148" s="68" t="s">
        <v>458</v>
      </c>
      <c r="G148" s="69"/>
    </row>
    <row r="149" spans="2:7" ht="13.7" customHeight="1" x14ac:dyDescent="0.25">
      <c r="B149" s="6" t="s">
        <v>459</v>
      </c>
      <c r="C149" s="66" t="s">
        <v>460</v>
      </c>
      <c r="D149" s="67"/>
      <c r="E149" s="159" t="s">
        <v>461</v>
      </c>
      <c r="F149" s="68" t="s">
        <v>462</v>
      </c>
      <c r="G149" s="69"/>
    </row>
    <row r="150" spans="2:7" ht="13.7" customHeight="1" x14ac:dyDescent="0.25">
      <c r="B150" s="6" t="s">
        <v>463</v>
      </c>
      <c r="C150" s="68" t="s">
        <v>464</v>
      </c>
      <c r="D150" s="69"/>
      <c r="E150" s="159" t="s">
        <v>465</v>
      </c>
      <c r="F150" s="68" t="s">
        <v>466</v>
      </c>
      <c r="G150" s="69"/>
    </row>
    <row r="151" spans="2:7" ht="13.7" customHeight="1" x14ac:dyDescent="0.25">
      <c r="B151" s="6" t="s">
        <v>467</v>
      </c>
      <c r="C151" s="19" t="s">
        <v>468</v>
      </c>
      <c r="D151" s="71"/>
      <c r="E151" s="159" t="s">
        <v>469</v>
      </c>
      <c r="F151" s="68" t="s">
        <v>470</v>
      </c>
      <c r="G151" s="69">
        <v>2315738</v>
      </c>
    </row>
    <row r="152" spans="2:7" ht="13.7" customHeight="1" thickBot="1" x14ac:dyDescent="0.3">
      <c r="B152" s="6"/>
      <c r="C152" s="161" t="s">
        <v>471</v>
      </c>
      <c r="D152" s="170">
        <f>SUM(D149:D151)</f>
        <v>0</v>
      </c>
      <c r="E152" s="159" t="s">
        <v>472</v>
      </c>
      <c r="F152" s="68" t="s">
        <v>473</v>
      </c>
      <c r="G152" s="69">
        <v>6731336</v>
      </c>
    </row>
    <row r="153" spans="2:7" ht="13.7" customHeight="1" thickBot="1" x14ac:dyDescent="0.3">
      <c r="B153" s="6"/>
      <c r="C153" s="175" t="s">
        <v>474</v>
      </c>
      <c r="D153" s="188">
        <f>D122+D126+D138+D142+D143+D148+D152</f>
        <v>93197756</v>
      </c>
      <c r="E153" s="159" t="s">
        <v>475</v>
      </c>
      <c r="F153" s="19" t="s">
        <v>476</v>
      </c>
      <c r="G153" s="20">
        <v>15872</v>
      </c>
    </row>
    <row r="154" spans="2:7" ht="13.7" customHeight="1" thickBot="1" x14ac:dyDescent="0.3">
      <c r="B154" s="6"/>
      <c r="E154" s="159"/>
      <c r="F154" s="161" t="s">
        <v>477</v>
      </c>
      <c r="G154" s="170">
        <f>SUM(G144:G153)</f>
        <v>9853309</v>
      </c>
    </row>
    <row r="155" spans="2:7" ht="13.7" customHeight="1" thickBot="1" x14ac:dyDescent="0.3">
      <c r="B155" s="6"/>
      <c r="C155" s="154" t="s">
        <v>478</v>
      </c>
      <c r="D155" s="185">
        <f>G109-D153</f>
        <v>-729633.96744573116</v>
      </c>
      <c r="E155" s="159" t="s">
        <v>479</v>
      </c>
      <c r="F155" s="66" t="s">
        <v>480</v>
      </c>
      <c r="G155" s="67">
        <v>115650</v>
      </c>
    </row>
    <row r="156" spans="2:7" ht="13.7" customHeight="1" x14ac:dyDescent="0.25">
      <c r="E156" s="159" t="s">
        <v>481</v>
      </c>
      <c r="F156" s="68" t="s">
        <v>482</v>
      </c>
      <c r="G156" s="69">
        <v>1794615</v>
      </c>
    </row>
    <row r="157" spans="2:7" ht="13.7" customHeight="1" x14ac:dyDescent="0.25">
      <c r="E157" s="159" t="s">
        <v>483</v>
      </c>
      <c r="F157" s="68" t="s">
        <v>484</v>
      </c>
      <c r="G157" s="69"/>
    </row>
    <row r="158" spans="2:7" ht="13.7" customHeight="1" x14ac:dyDescent="0.25">
      <c r="E158" s="159" t="s">
        <v>485</v>
      </c>
      <c r="F158" s="68" t="s">
        <v>486</v>
      </c>
      <c r="G158" s="69"/>
    </row>
    <row r="159" spans="2:7" ht="13.7" customHeight="1" x14ac:dyDescent="0.25">
      <c r="E159" s="159" t="s">
        <v>487</v>
      </c>
      <c r="F159" s="68" t="s">
        <v>488</v>
      </c>
      <c r="G159" s="69"/>
    </row>
    <row r="160" spans="2:7" ht="13.7" customHeight="1" x14ac:dyDescent="0.25">
      <c r="E160" s="159" t="s">
        <v>489</v>
      </c>
      <c r="F160" s="68" t="s">
        <v>490</v>
      </c>
      <c r="G160" s="69"/>
    </row>
    <row r="161" spans="5:7" ht="13.7" customHeight="1" x14ac:dyDescent="0.25">
      <c r="E161" s="159" t="s">
        <v>491</v>
      </c>
      <c r="F161" s="68" t="s">
        <v>492</v>
      </c>
      <c r="G161" s="69"/>
    </row>
    <row r="162" spans="5:7" ht="13.7" customHeight="1" x14ac:dyDescent="0.25">
      <c r="E162" s="159" t="s">
        <v>493</v>
      </c>
      <c r="F162" s="68" t="s">
        <v>494</v>
      </c>
      <c r="G162" s="69"/>
    </row>
    <row r="163" spans="5:7" ht="13.7" customHeight="1" x14ac:dyDescent="0.25">
      <c r="E163" s="159" t="s">
        <v>495</v>
      </c>
      <c r="F163" s="68" t="s">
        <v>496</v>
      </c>
      <c r="G163" s="69"/>
    </row>
    <row r="164" spans="5:7" ht="13.7" customHeight="1" x14ac:dyDescent="0.25">
      <c r="E164" s="159" t="s">
        <v>497</v>
      </c>
      <c r="F164" s="68" t="s">
        <v>498</v>
      </c>
      <c r="G164" s="69">
        <v>2515308</v>
      </c>
    </row>
    <row r="165" spans="5:7" ht="13.7" customHeight="1" x14ac:dyDescent="0.25">
      <c r="E165" s="159" t="s">
        <v>499</v>
      </c>
      <c r="F165" s="68" t="s">
        <v>500</v>
      </c>
      <c r="G165" s="69"/>
    </row>
    <row r="166" spans="5:7" ht="13.7" customHeight="1" x14ac:dyDescent="0.25">
      <c r="E166" s="159" t="s">
        <v>501</v>
      </c>
      <c r="F166" s="68" t="s">
        <v>502</v>
      </c>
      <c r="G166" s="69">
        <v>1060681</v>
      </c>
    </row>
    <row r="167" spans="5:7" ht="13.7" customHeight="1" x14ac:dyDescent="0.25">
      <c r="E167" s="159" t="s">
        <v>503</v>
      </c>
      <c r="F167" s="19" t="s">
        <v>504</v>
      </c>
      <c r="G167" s="20">
        <v>48940</v>
      </c>
    </row>
    <row r="168" spans="5:7" ht="13.7" customHeight="1" thickBot="1" x14ac:dyDescent="0.3">
      <c r="E168" s="159"/>
      <c r="F168" s="161" t="s">
        <v>505</v>
      </c>
      <c r="G168" s="170">
        <f>SUM(G155:G167)</f>
        <v>5535194</v>
      </c>
    </row>
    <row r="169" spans="5:7" ht="13.7" customHeight="1" thickBot="1" x14ac:dyDescent="0.3">
      <c r="E169" s="159"/>
      <c r="F169" s="175" t="s">
        <v>506</v>
      </c>
      <c r="G169" s="186">
        <f>G154-G168</f>
        <v>4318115</v>
      </c>
    </row>
    <row r="170" spans="5:7" ht="13.7" customHeight="1" thickBot="1" x14ac:dyDescent="0.3">
      <c r="E170" s="159"/>
      <c r="F170" s="78"/>
      <c r="G170" s="78"/>
    </row>
    <row r="171" spans="5:7" ht="13.7" customHeight="1" thickBot="1" x14ac:dyDescent="0.3">
      <c r="E171" s="159"/>
      <c r="F171" s="154" t="s">
        <v>507</v>
      </c>
      <c r="G171" s="189"/>
    </row>
    <row r="172" spans="5:7" ht="13.7" customHeight="1" thickBot="1" x14ac:dyDescent="0.3">
      <c r="E172" s="159"/>
      <c r="F172" s="190"/>
      <c r="G172" s="191">
        <f>+D155+G140+G169</f>
        <v>6143866.0325542688</v>
      </c>
    </row>
    <row r="173" spans="5:7" ht="13.7" customHeight="1" thickBot="1" x14ac:dyDescent="0.3">
      <c r="E173" s="159"/>
      <c r="F173" s="5"/>
      <c r="G173" s="5"/>
    </row>
    <row r="174" spans="5:7" ht="13.7" customHeight="1" thickBot="1" x14ac:dyDescent="0.3">
      <c r="E174" s="159"/>
      <c r="F174" s="175" t="s">
        <v>508</v>
      </c>
      <c r="G174" s="157">
        <f>+G143</f>
        <v>2020</v>
      </c>
    </row>
    <row r="175" spans="5:7" ht="13.7" customHeight="1" x14ac:dyDescent="0.25">
      <c r="E175" s="159"/>
      <c r="F175" s="66" t="s">
        <v>509</v>
      </c>
      <c r="G175" s="67"/>
    </row>
    <row r="176" spans="5:7" ht="13.7" customHeight="1" x14ac:dyDescent="0.25">
      <c r="E176" s="159"/>
      <c r="F176" s="68" t="s">
        <v>510</v>
      </c>
      <c r="G176" s="69"/>
    </row>
    <row r="177" spans="1:8" ht="13.7" customHeight="1" thickBot="1" x14ac:dyDescent="0.3">
      <c r="F177" s="68" t="s">
        <v>511</v>
      </c>
      <c r="G177" s="69"/>
    </row>
    <row r="178" spans="1:8" ht="13.7" customHeight="1" thickBot="1" x14ac:dyDescent="0.3">
      <c r="F178" s="175" t="s">
        <v>512</v>
      </c>
      <c r="G178" s="186">
        <f>SUM(G175:G177)</f>
        <v>0</v>
      </c>
    </row>
    <row r="179" spans="1:8" ht="13.7" customHeight="1" thickBot="1" x14ac:dyDescent="0.3"/>
    <row r="180" spans="1:8" ht="13.7" customHeight="1" thickBot="1" x14ac:dyDescent="0.3">
      <c r="F180" s="154" t="s">
        <v>513</v>
      </c>
      <c r="G180" s="189"/>
    </row>
    <row r="181" spans="1:8" ht="13.7" customHeight="1" thickBot="1" x14ac:dyDescent="0.3">
      <c r="F181" s="193"/>
      <c r="G181" s="191">
        <f>+G172+G178</f>
        <v>6143866.0325542688</v>
      </c>
    </row>
    <row r="182" spans="1:8" ht="13.7" customHeight="1" x14ac:dyDescent="0.25"/>
    <row r="183" spans="1:8" ht="13.5" customHeight="1" x14ac:dyDescent="0.25"/>
    <row r="184" spans="1:8" ht="13.7" customHeight="1" x14ac:dyDescent="0.25">
      <c r="E184" s="194"/>
      <c r="F184" s="194"/>
      <c r="G184" s="194"/>
      <c r="H184" s="194"/>
    </row>
    <row r="185" spans="1:8" s="194" customFormat="1" ht="13.7" customHeight="1" x14ac:dyDescent="0.25">
      <c r="A185" s="195"/>
      <c r="E185" s="192"/>
      <c r="F185" s="51"/>
      <c r="G185" s="51"/>
    </row>
    <row r="186" spans="1:8" s="194" customFormat="1" ht="12.75" x14ac:dyDescent="0.25">
      <c r="A186" s="195"/>
      <c r="E186" s="192"/>
      <c r="F186" s="51"/>
      <c r="G186" s="51"/>
    </row>
    <row r="187" spans="1:8" s="194" customFormat="1" ht="12.75" hidden="1" x14ac:dyDescent="0.25">
      <c r="A187" s="195"/>
      <c r="E187" s="192"/>
      <c r="F187" s="51"/>
      <c r="G187" s="51"/>
    </row>
    <row r="188" spans="1:8" s="194" customFormat="1" ht="12.75" hidden="1" x14ac:dyDescent="0.25">
      <c r="A188" s="195"/>
      <c r="E188" s="192"/>
      <c r="F188" s="51"/>
      <c r="G188" s="51"/>
    </row>
    <row r="189" spans="1:8" s="194" customFormat="1" ht="12.75" hidden="1" x14ac:dyDescent="0.25">
      <c r="A189" s="195"/>
      <c r="E189" s="192"/>
      <c r="F189" s="51"/>
      <c r="G189" s="51"/>
    </row>
    <row r="190" spans="1:8" s="194" customFormat="1" ht="12.75" hidden="1" x14ac:dyDescent="0.25">
      <c r="A190" s="195"/>
      <c r="E190" s="192"/>
      <c r="F190" s="51"/>
      <c r="G190" s="51"/>
    </row>
    <row r="191" spans="1:8" s="194" customFormat="1" ht="12.75" hidden="1" x14ac:dyDescent="0.25">
      <c r="A191" s="195"/>
      <c r="E191" s="192"/>
      <c r="F191" s="51"/>
      <c r="G191" s="51"/>
    </row>
    <row r="192" spans="1:8" s="194" customFormat="1" ht="12.75" hidden="1" x14ac:dyDescent="0.25">
      <c r="A192" s="195"/>
      <c r="E192" s="192"/>
      <c r="F192" s="51"/>
      <c r="G192" s="51"/>
    </row>
    <row r="193" spans="5:7" s="194" customFormat="1" ht="12.75" hidden="1" x14ac:dyDescent="0.25">
      <c r="E193" s="192"/>
      <c r="F193" s="51"/>
      <c r="G193" s="51"/>
    </row>
    <row r="194" spans="5:7" s="194" customFormat="1" ht="12.75" hidden="1" x14ac:dyDescent="0.25">
      <c r="E194" s="192"/>
      <c r="F194" s="51"/>
      <c r="G194" s="51"/>
    </row>
    <row r="195" spans="5:7" s="194" customFormat="1" ht="12.75" hidden="1" x14ac:dyDescent="0.25">
      <c r="E195" s="192"/>
      <c r="F195" s="51"/>
      <c r="G195" s="51"/>
    </row>
    <row r="196" spans="5:7" s="194" customFormat="1" ht="12.75" hidden="1" x14ac:dyDescent="0.25">
      <c r="E196" s="192"/>
      <c r="F196" s="51"/>
      <c r="G196" s="51"/>
    </row>
    <row r="197" spans="5:7" s="194" customFormat="1" ht="12.75" hidden="1" x14ac:dyDescent="0.25">
      <c r="E197" s="192"/>
      <c r="F197" s="51"/>
      <c r="G197" s="51"/>
    </row>
    <row r="198" spans="5:7" s="194" customFormat="1" ht="12.75" hidden="1" x14ac:dyDescent="0.25">
      <c r="E198" s="192"/>
      <c r="F198" s="51"/>
      <c r="G198" s="51"/>
    </row>
    <row r="199" spans="5:7" s="194" customFormat="1" ht="12.75" hidden="1" x14ac:dyDescent="0.25">
      <c r="E199" s="192"/>
      <c r="F199" s="51"/>
      <c r="G199" s="51"/>
    </row>
    <row r="200" spans="5:7" s="194" customFormat="1" ht="12.75" hidden="1" x14ac:dyDescent="0.25">
      <c r="E200" s="192"/>
      <c r="F200" s="51"/>
      <c r="G200" s="51"/>
    </row>
    <row r="201" spans="5:7" s="194" customFormat="1" ht="12.75" hidden="1" x14ac:dyDescent="0.25">
      <c r="E201" s="192"/>
      <c r="F201" s="51"/>
      <c r="G201" s="51"/>
    </row>
    <row r="202" spans="5:7" s="194" customFormat="1" ht="12.75" hidden="1" x14ac:dyDescent="0.25">
      <c r="E202" s="192"/>
      <c r="F202" s="51"/>
      <c r="G202" s="51"/>
    </row>
    <row r="203" spans="5:7" s="194" customFormat="1" ht="12.75" hidden="1" x14ac:dyDescent="0.25">
      <c r="E203" s="192"/>
      <c r="F203" s="51"/>
      <c r="G203" s="51"/>
    </row>
    <row r="204" spans="5:7" s="194" customFormat="1" ht="12.75" hidden="1" x14ac:dyDescent="0.25">
      <c r="E204" s="192"/>
      <c r="F204" s="51"/>
      <c r="G204" s="51"/>
    </row>
    <row r="205" spans="5:7" s="194" customFormat="1" ht="12.75" hidden="1" x14ac:dyDescent="0.25">
      <c r="E205" s="192"/>
      <c r="F205" s="51"/>
      <c r="G205" s="51"/>
    </row>
    <row r="206" spans="5:7" s="194" customFormat="1" ht="12.75" hidden="1" x14ac:dyDescent="0.25">
      <c r="E206" s="192"/>
      <c r="F206" s="51"/>
      <c r="G206" s="51"/>
    </row>
    <row r="207" spans="5:7" s="194" customFormat="1" ht="12.75" hidden="1" x14ac:dyDescent="0.25">
      <c r="E207" s="192"/>
      <c r="F207" s="51"/>
      <c r="G207" s="51"/>
    </row>
    <row r="208" spans="5:7" s="194" customFormat="1" ht="12.75" hidden="1" x14ac:dyDescent="0.25">
      <c r="E208" s="192"/>
      <c r="F208" s="51"/>
      <c r="G208" s="51"/>
    </row>
    <row r="209" spans="3:8" s="194" customFormat="1" ht="12.75" hidden="1" x14ac:dyDescent="0.25">
      <c r="E209" s="192"/>
      <c r="F209" s="51"/>
      <c r="G209" s="51"/>
    </row>
    <row r="210" spans="3:8" s="194" customFormat="1" ht="12.75" hidden="1" x14ac:dyDescent="0.25">
      <c r="E210" s="192"/>
      <c r="F210" s="51"/>
      <c r="G210" s="51"/>
    </row>
    <row r="211" spans="3:8" s="194" customFormat="1" ht="12.75" hidden="1" x14ac:dyDescent="0.25">
      <c r="E211" s="192"/>
      <c r="F211" s="51"/>
      <c r="G211" s="51"/>
    </row>
    <row r="212" spans="3:8" s="194" customFormat="1" ht="12.75" hidden="1" x14ac:dyDescent="0.25">
      <c r="E212" s="192"/>
      <c r="F212" s="51"/>
      <c r="G212" s="51"/>
    </row>
    <row r="213" spans="3:8" s="194" customFormat="1" ht="12.75" hidden="1" x14ac:dyDescent="0.25">
      <c r="E213" s="192"/>
      <c r="F213" s="51"/>
      <c r="G213" s="51"/>
    </row>
    <row r="214" spans="3:8" s="194" customFormat="1" hidden="1" x14ac:dyDescent="0.25">
      <c r="E214" s="192"/>
      <c r="F214" s="196"/>
      <c r="G214" s="58"/>
      <c r="H214" s="5"/>
    </row>
    <row r="215" spans="3:8" hidden="1" x14ac:dyDescent="0.25">
      <c r="C215" s="51"/>
      <c r="D215" s="51"/>
      <c r="F215" s="196"/>
    </row>
    <row r="216" spans="3:8" hidden="1" x14ac:dyDescent="0.25"/>
    <row r="217" spans="3:8" hidden="1" x14ac:dyDescent="0.25"/>
    <row r="218" spans="3:8" hidden="1" x14ac:dyDescent="0.25"/>
    <row r="219" spans="3:8" hidden="1" x14ac:dyDescent="0.25"/>
    <row r="220" spans="3:8" hidden="1" x14ac:dyDescent="0.25"/>
    <row r="221" spans="3:8" hidden="1" x14ac:dyDescent="0.25"/>
    <row r="222" spans="3:8" hidden="1" x14ac:dyDescent="0.25"/>
    <row r="223" spans="3:8" hidden="1" x14ac:dyDescent="0.25"/>
    <row r="224" spans="3:8"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sheetData>
  <mergeCells count="6">
    <mergeCell ref="C1:D1"/>
    <mergeCell ref="E1:F1"/>
    <mergeCell ref="C2:D2"/>
    <mergeCell ref="E2:F2"/>
    <mergeCell ref="C3:D3"/>
    <mergeCell ref="E3:F3"/>
  </mergeCells>
  <conditionalFormatting sqref="D7:D12">
    <cfRule type="cellIs" dxfId="215" priority="20" stopIfTrue="1" operator="greaterThan">
      <formula>50</formula>
    </cfRule>
    <cfRule type="cellIs" dxfId="214" priority="29" stopIfTrue="1" operator="equal">
      <formula>0</formula>
    </cfRule>
  </conditionalFormatting>
  <conditionalFormatting sqref="D7:D61">
    <cfRule type="cellIs" dxfId="213" priority="27" stopIfTrue="1" operator="between">
      <formula>-0.1</formula>
      <formula>-50</formula>
    </cfRule>
    <cfRule type="cellIs" dxfId="212" priority="28" stopIfTrue="1" operator="between">
      <formula>0.1</formula>
      <formula>50</formula>
    </cfRule>
  </conditionalFormatting>
  <conditionalFormatting sqref="G152:G181 G19 G27 G32:G33 G40 G48 G57 G79 G95 G101:G150">
    <cfRule type="cellIs" dxfId="211" priority="25" stopIfTrue="1" operator="between">
      <formula>-0.1</formula>
      <formula>-50</formula>
    </cfRule>
    <cfRule type="cellIs" dxfId="210" priority="26" stopIfTrue="1" operator="between">
      <formula>0.1</formula>
      <formula>50</formula>
    </cfRule>
  </conditionalFormatting>
  <conditionalFormatting sqref="D111:D155">
    <cfRule type="cellIs" dxfId="209" priority="23" stopIfTrue="1" operator="between">
      <formula>-0.1</formula>
      <formula>-50</formula>
    </cfRule>
    <cfRule type="cellIs" dxfId="208" priority="24" stopIfTrue="1" operator="between">
      <formula>0.1</formula>
      <formula>50</formula>
    </cfRule>
  </conditionalFormatting>
  <conditionalFormatting sqref="G165">
    <cfRule type="expression" dxfId="207" priority="22" stopIfTrue="1">
      <formula>AND($G$165&gt;0,$G$151&gt;0)</formula>
    </cfRule>
  </conditionalFormatting>
  <conditionalFormatting sqref="G151">
    <cfRule type="expression" dxfId="206" priority="19" stopIfTrue="1">
      <formula>AND($G$151&gt;0,$G$165&gt;0)</formula>
    </cfRule>
  </conditionalFormatting>
  <conditionalFormatting sqref="G7:G18">
    <cfRule type="cellIs" dxfId="205" priority="17" stopIfTrue="1" operator="between">
      <formula>-0.1</formula>
      <formula>-50</formula>
    </cfRule>
    <cfRule type="cellIs" dxfId="204" priority="18" stopIfTrue="1" operator="between">
      <formula>0.1</formula>
      <formula>50</formula>
    </cfRule>
  </conditionalFormatting>
  <conditionalFormatting sqref="G20:G26">
    <cfRule type="cellIs" dxfId="203" priority="15" stopIfTrue="1" operator="between">
      <formula>-0.1</formula>
      <formula>-50</formula>
    </cfRule>
    <cfRule type="cellIs" dxfId="202" priority="16" stopIfTrue="1" operator="between">
      <formula>0.1</formula>
      <formula>50</formula>
    </cfRule>
  </conditionalFormatting>
  <conditionalFormatting sqref="G28:G31">
    <cfRule type="cellIs" dxfId="201" priority="13" stopIfTrue="1" operator="between">
      <formula>-0.1</formula>
      <formula>-50</formula>
    </cfRule>
    <cfRule type="cellIs" dxfId="200" priority="14" stopIfTrue="1" operator="between">
      <formula>0.1</formula>
      <formula>50</formula>
    </cfRule>
  </conditionalFormatting>
  <conditionalFormatting sqref="G34:G39">
    <cfRule type="cellIs" dxfId="199" priority="11" stopIfTrue="1" operator="between">
      <formula>-0.1</formula>
      <formula>-50</formula>
    </cfRule>
    <cfRule type="cellIs" dxfId="198" priority="12" stopIfTrue="1" operator="between">
      <formula>0.1</formula>
      <formula>50</formula>
    </cfRule>
  </conditionalFormatting>
  <conditionalFormatting sqref="G41:G47">
    <cfRule type="cellIs" dxfId="197" priority="9" stopIfTrue="1" operator="between">
      <formula>-0.1</formula>
      <formula>-50</formula>
    </cfRule>
    <cfRule type="cellIs" dxfId="196" priority="10" stopIfTrue="1" operator="between">
      <formula>0.1</formula>
      <formula>50</formula>
    </cfRule>
  </conditionalFormatting>
  <conditionalFormatting sqref="G49:G56">
    <cfRule type="cellIs" dxfId="195" priority="7" stopIfTrue="1" operator="between">
      <formula>-0.1</formula>
      <formula>-50</formula>
    </cfRule>
    <cfRule type="cellIs" dxfId="194" priority="8" stopIfTrue="1" operator="between">
      <formula>0.1</formula>
      <formula>50</formula>
    </cfRule>
  </conditionalFormatting>
  <conditionalFormatting sqref="G58:G78">
    <cfRule type="cellIs" dxfId="193" priority="5" stopIfTrue="1" operator="between">
      <formula>-0.1</formula>
      <formula>-50</formula>
    </cfRule>
    <cfRule type="cellIs" dxfId="192" priority="6" stopIfTrue="1" operator="between">
      <formula>0.1</formula>
      <formula>50</formula>
    </cfRule>
  </conditionalFormatting>
  <conditionalFormatting sqref="G80:G94">
    <cfRule type="cellIs" dxfId="191" priority="3" stopIfTrue="1" operator="between">
      <formula>-0.1</formula>
      <formula>-50</formula>
    </cfRule>
    <cfRule type="cellIs" dxfId="190" priority="4" stopIfTrue="1" operator="between">
      <formula>0.1</formula>
      <formula>50</formula>
    </cfRule>
  </conditionalFormatting>
  <conditionalFormatting sqref="G96:G100">
    <cfRule type="cellIs" dxfId="189" priority="1" stopIfTrue="1" operator="between">
      <formula>-0.1</formula>
      <formula>-50</formula>
    </cfRule>
    <cfRule type="cellIs" dxfId="188" priority="2" stopIfTrue="1" operator="between">
      <formula>0.1</formula>
      <formula>50</formula>
    </cfRule>
  </conditionalFormatting>
  <dataValidations count="11">
    <dataValidation type="custom" operator="greaterThan" showInputMessage="1" showErrorMessage="1" errorTitle="RDM" error="No se admite ingresar RDM como ingresos y egresos a la vez. Tampoco se admiten valores menores a $50._x000a_" sqref="G151">
      <formula1>AND(OR(G151=0, G151&gt;50),G165=0)</formula1>
    </dataValidation>
    <dataValidation type="whole" operator="greaterThan" allowBlank="1" showInputMessage="1" showErrorMessage="1" sqref="D8:D12">
      <formula1>50</formula1>
    </dataValidation>
    <dataValidation type="whole" operator="greaterThan" showInputMessage="1" showErrorMessage="1" errorTitle="eee" error="Valores mayores a $50" sqref="D7">
      <formula1>50</formula1>
    </dataValidation>
    <dataValidation type="custom" operator="greaterThan" showInputMessage="1" showErrorMessage="1" errorTitle="eee" sqref="D56">
      <formula1>OR(D56=0, D56&lt;50)</formula1>
    </dataValidation>
    <dataValidation type="custom" operator="greaterThan" showInputMessage="1" showErrorMessage="1" errorTitle="eee" sqref="D57:D61">
      <formula1>OR(D57=0, D57&lt;0)</formula1>
    </dataValidation>
    <dataValidation type="custom" operator="greaterThan" showInputMessage="1" showErrorMessage="1" errorTitle="eee" sqref="G7:G140 D62:D155 G152:G164 G166:G181 G144:G150 D13:D55">
      <formula1>OR(D7=0, D7&gt;50)</formula1>
    </dataValidation>
    <dataValidation type="whole" allowBlank="1" showErrorMessage="1" errorTitle="Error de datos" error="Debe ingresar un valor entre 1 y 12" sqref="G1:G3">
      <formula1>1</formula1>
      <formula2>12</formula2>
    </dataValidation>
    <dataValidation allowBlank="1" errorTitle="Error de datos" error="Debe introducir una fecha válida" sqref="E3"/>
    <dataValidation allowBlank="1" sqref="G204"/>
    <dataValidation operator="greaterThanOrEqual" allowBlank="1" errorTitle="Error de datos" error="Debe ingresar un valor entero positivo" sqref="F6:F107 F203 C13:C47 C106:C153 F171 F174:F178 F180 F111:F119 C7:C10 F121:F140 F143:F169 C49:C62 C155 F109"/>
    <dataValidation type="custom" operator="greaterThan" showInputMessage="1" showErrorMessage="1" errorTitle="rdm2" error="No se admite ingresar a la vez RDM como ingresos y como egresos. Tampoco se admiten valores negattivos o positivos menores de 50" sqref="G165">
      <formula1>AND(OR(G165=0, G165&gt;50),G151=0)</formula1>
    </dataValidation>
  </dataValidations>
  <pageMargins left="0.7" right="0.7" top="0.75" bottom="0.75" header="0.3" footer="0.3"/>
  <ignoredErrors>
    <ignoredError sqref="E7:E181" numberStoredAsText="1"/>
    <ignoredError sqref="G63 G77:G78" unlockedFormula="1"/>
  </ignoredErrors>
  <legacy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26"/>
  <sheetViews>
    <sheetView showGridLines="0" workbookViewId="0">
      <selection activeCell="F4" sqref="F4"/>
    </sheetView>
  </sheetViews>
  <sheetFormatPr baseColWidth="10" defaultColWidth="0" defaultRowHeight="15" zeroHeight="1" x14ac:dyDescent="0.25"/>
  <cols>
    <col min="1" max="1" width="3.7109375" style="151" customWidth="1"/>
    <col min="2" max="2" width="14.28515625" style="7" hidden="1" customWidth="1"/>
    <col min="3" max="3" width="58.7109375" style="58" customWidth="1"/>
    <col min="4" max="4" width="25.140625" style="58" customWidth="1"/>
    <col min="5" max="5" width="5.85546875" style="192" customWidth="1"/>
    <col min="6" max="6" width="57.28515625" style="58" customWidth="1"/>
    <col min="7" max="7" width="24.7109375" style="58" customWidth="1"/>
    <col min="8" max="8" width="5.42578125" style="5" customWidth="1"/>
    <col min="9" max="16384" width="0" style="5" hidden="1"/>
  </cols>
  <sheetData>
    <row r="1" spans="1:9" ht="15.75" x14ac:dyDescent="0.25">
      <c r="B1" s="2"/>
      <c r="C1" s="326" t="s">
        <v>0</v>
      </c>
      <c r="D1" s="327"/>
      <c r="E1" s="328" t="str">
        <f>[18]Presentacion!C2</f>
        <v>CAMEDUR</v>
      </c>
      <c r="F1" s="328"/>
      <c r="G1" s="152"/>
      <c r="H1" s="4"/>
    </row>
    <row r="2" spans="1:9" ht="15.75" x14ac:dyDescent="0.25">
      <c r="B2" s="6"/>
      <c r="C2" s="326" t="s">
        <v>1</v>
      </c>
      <c r="D2" s="327"/>
      <c r="E2" s="328" t="str">
        <f>[18]Presentacion!C3</f>
        <v>Durazno</v>
      </c>
      <c r="F2" s="328"/>
      <c r="G2" s="152"/>
      <c r="H2" s="4"/>
    </row>
    <row r="3" spans="1:9" ht="15.75" x14ac:dyDescent="0.25">
      <c r="B3" s="6"/>
      <c r="C3" s="326" t="s">
        <v>2</v>
      </c>
      <c r="D3" s="329"/>
      <c r="E3" s="330" t="s">
        <v>3</v>
      </c>
      <c r="F3" s="330"/>
      <c r="G3" s="152"/>
      <c r="H3" s="4"/>
    </row>
    <row r="4" spans="1:9" ht="15.75" thickBot="1" x14ac:dyDescent="0.3">
      <c r="C4" s="287"/>
      <c r="D4" s="8"/>
      <c r="E4" s="153"/>
      <c r="F4" s="10"/>
      <c r="G4" s="11"/>
    </row>
    <row r="5" spans="1:9" ht="16.5" thickBot="1" x14ac:dyDescent="0.3">
      <c r="B5" s="12"/>
      <c r="C5" s="154" t="s">
        <v>4</v>
      </c>
      <c r="D5" s="286" t="s">
        <v>5</v>
      </c>
      <c r="E5" s="155"/>
      <c r="F5" s="154" t="s">
        <v>6</v>
      </c>
      <c r="G5" s="286" t="s">
        <v>5</v>
      </c>
      <c r="I5" s="15"/>
    </row>
    <row r="6" spans="1:9" ht="16.5" thickBot="1" x14ac:dyDescent="0.3">
      <c r="B6" s="12"/>
      <c r="C6" s="156" t="s">
        <v>7</v>
      </c>
      <c r="D6" s="291">
        <f>+[18]E.S.P.!D6</f>
        <v>2020</v>
      </c>
      <c r="E6" s="158"/>
      <c r="F6" s="156" t="s">
        <v>8</v>
      </c>
      <c r="G6" s="291">
        <f>+D6</f>
        <v>2020</v>
      </c>
      <c r="H6" s="15"/>
    </row>
    <row r="7" spans="1:9" x14ac:dyDescent="0.25">
      <c r="B7" s="6" t="s">
        <v>9</v>
      </c>
      <c r="C7" s="19" t="s">
        <v>10</v>
      </c>
      <c r="D7" s="20">
        <f>17148365+364805</f>
        <v>17513170</v>
      </c>
      <c r="E7" s="159" t="s">
        <v>11</v>
      </c>
      <c r="F7" s="22" t="s">
        <v>12</v>
      </c>
      <c r="G7" s="23">
        <v>3344096</v>
      </c>
    </row>
    <row r="8" spans="1:9" x14ac:dyDescent="0.25">
      <c r="B8" s="6" t="s">
        <v>13</v>
      </c>
      <c r="C8" s="19" t="s">
        <v>14</v>
      </c>
      <c r="D8" s="20">
        <v>49225327</v>
      </c>
      <c r="E8" s="159" t="s">
        <v>15</v>
      </c>
      <c r="F8" s="19" t="s">
        <v>16</v>
      </c>
      <c r="G8" s="24"/>
    </row>
    <row r="9" spans="1:9" x14ac:dyDescent="0.25">
      <c r="B9" s="6" t="s">
        <v>17</v>
      </c>
      <c r="C9" s="19" t="s">
        <v>18</v>
      </c>
      <c r="D9" s="20">
        <v>905336316</v>
      </c>
      <c r="E9" s="159" t="s">
        <v>19</v>
      </c>
      <c r="F9" s="19" t="s">
        <v>20</v>
      </c>
      <c r="G9" s="20"/>
    </row>
    <row r="10" spans="1:9" x14ac:dyDescent="0.25">
      <c r="B10" s="6" t="s">
        <v>21</v>
      </c>
      <c r="C10" s="19" t="s">
        <v>22</v>
      </c>
      <c r="D10" s="20">
        <v>93297215</v>
      </c>
      <c r="E10" s="159" t="s">
        <v>23</v>
      </c>
      <c r="F10" s="19" t="s">
        <v>24</v>
      </c>
      <c r="G10" s="20">
        <v>7502300</v>
      </c>
    </row>
    <row r="11" spans="1:9" x14ac:dyDescent="0.25">
      <c r="B11" s="6" t="s">
        <v>25</v>
      </c>
      <c r="C11" s="19" t="s">
        <v>26</v>
      </c>
      <c r="D11" s="20">
        <v>18603178</v>
      </c>
      <c r="E11" s="159" t="s">
        <v>27</v>
      </c>
      <c r="F11" s="19" t="s">
        <v>28</v>
      </c>
      <c r="G11" s="20">
        <v>283323659</v>
      </c>
    </row>
    <row r="12" spans="1:9" x14ac:dyDescent="0.25">
      <c r="B12" s="6" t="s">
        <v>29</v>
      </c>
      <c r="C12" s="19" t="s">
        <v>30</v>
      </c>
      <c r="D12" s="20">
        <v>18052083</v>
      </c>
      <c r="E12" s="159" t="s">
        <v>31</v>
      </c>
      <c r="F12" s="19" t="s">
        <v>32</v>
      </c>
      <c r="G12" s="20">
        <v>65765270</v>
      </c>
    </row>
    <row r="13" spans="1:9" x14ac:dyDescent="0.25">
      <c r="B13" s="6" t="s">
        <v>33</v>
      </c>
      <c r="C13" s="19" t="s">
        <v>34</v>
      </c>
      <c r="D13" s="20">
        <v>3762559</v>
      </c>
      <c r="E13" s="159" t="s">
        <v>35</v>
      </c>
      <c r="F13" s="19" t="s">
        <v>36</v>
      </c>
      <c r="G13" s="20"/>
    </row>
    <row r="14" spans="1:9" x14ac:dyDescent="0.25">
      <c r="A14" s="160"/>
      <c r="B14" s="6" t="s">
        <v>37</v>
      </c>
      <c r="C14" s="19" t="s">
        <v>38</v>
      </c>
      <c r="D14" s="20">
        <v>1375183</v>
      </c>
      <c r="E14" s="159" t="s">
        <v>39</v>
      </c>
      <c r="F14" s="19" t="s">
        <v>40</v>
      </c>
      <c r="G14" s="20">
        <v>189742265</v>
      </c>
    </row>
    <row r="15" spans="1:9" x14ac:dyDescent="0.25">
      <c r="B15" s="6" t="s">
        <v>41</v>
      </c>
      <c r="C15" s="26" t="s">
        <v>42</v>
      </c>
      <c r="D15" s="20"/>
      <c r="E15" s="159" t="s">
        <v>43</v>
      </c>
      <c r="F15" s="19" t="s">
        <v>44</v>
      </c>
      <c r="G15" s="20">
        <v>38232972</v>
      </c>
    </row>
    <row r="16" spans="1:9" x14ac:dyDescent="0.25">
      <c r="B16" s="6" t="s">
        <v>45</v>
      </c>
      <c r="C16" s="19" t="s">
        <v>46</v>
      </c>
      <c r="D16" s="20"/>
      <c r="E16" s="159" t="s">
        <v>47</v>
      </c>
      <c r="F16" s="19" t="s">
        <v>48</v>
      </c>
      <c r="G16" s="20">
        <v>55637036</v>
      </c>
    </row>
    <row r="17" spans="1:7" x14ac:dyDescent="0.25">
      <c r="B17" s="6" t="s">
        <v>49</v>
      </c>
      <c r="C17" s="19" t="s">
        <v>50</v>
      </c>
      <c r="D17" s="20"/>
      <c r="E17" s="159" t="s">
        <v>51</v>
      </c>
      <c r="F17" s="19" t="s">
        <v>52</v>
      </c>
      <c r="G17" s="20"/>
    </row>
    <row r="18" spans="1:7" x14ac:dyDescent="0.25">
      <c r="A18" s="160"/>
      <c r="B18" s="6" t="s">
        <v>53</v>
      </c>
      <c r="C18" s="19" t="s">
        <v>54</v>
      </c>
      <c r="D18" s="20">
        <v>9319758</v>
      </c>
      <c r="E18" s="159" t="s">
        <v>55</v>
      </c>
      <c r="F18" s="19" t="s">
        <v>56</v>
      </c>
      <c r="G18" s="27">
        <v>27992934</v>
      </c>
    </row>
    <row r="19" spans="1:7" ht="15.75" thickBot="1" x14ac:dyDescent="0.3">
      <c r="A19" s="160"/>
      <c r="B19" s="6" t="s">
        <v>57</v>
      </c>
      <c r="C19" s="19" t="s">
        <v>58</v>
      </c>
      <c r="D19" s="20">
        <f>47241271+160444</f>
        <v>47401715</v>
      </c>
      <c r="E19" s="159"/>
      <c r="F19" s="161" t="s">
        <v>59</v>
      </c>
      <c r="G19" s="162">
        <f>SUM(G7:G18)</f>
        <v>671540532</v>
      </c>
    </row>
    <row r="20" spans="1:7" ht="15.75" thickBot="1" x14ac:dyDescent="0.3">
      <c r="B20" s="6"/>
      <c r="C20" s="161" t="s">
        <v>60</v>
      </c>
      <c r="D20" s="162">
        <f>SUM(D7:D19)</f>
        <v>1163886504</v>
      </c>
      <c r="E20" s="159" t="s">
        <v>61</v>
      </c>
      <c r="F20" s="22" t="s">
        <v>62</v>
      </c>
      <c r="G20" s="23">
        <v>118640</v>
      </c>
    </row>
    <row r="21" spans="1:7" x14ac:dyDescent="0.25">
      <c r="B21" s="6"/>
      <c r="C21" s="163" t="s">
        <v>63</v>
      </c>
      <c r="D21" s="164">
        <f>SUM(D22:D28)</f>
        <v>13435592</v>
      </c>
      <c r="E21" s="159" t="s">
        <v>64</v>
      </c>
      <c r="F21" s="19" t="s">
        <v>65</v>
      </c>
      <c r="G21" s="20">
        <v>20171704</v>
      </c>
    </row>
    <row r="22" spans="1:7" x14ac:dyDescent="0.25">
      <c r="B22" s="6" t="s">
        <v>66</v>
      </c>
      <c r="C22" s="19" t="s">
        <v>67</v>
      </c>
      <c r="D22" s="20">
        <v>9018875</v>
      </c>
      <c r="E22" s="159" t="s">
        <v>68</v>
      </c>
      <c r="F22" s="19" t="s">
        <v>69</v>
      </c>
      <c r="G22" s="20">
        <v>2784232</v>
      </c>
    </row>
    <row r="23" spans="1:7" x14ac:dyDescent="0.25">
      <c r="B23" s="6" t="s">
        <v>70</v>
      </c>
      <c r="C23" s="19" t="s">
        <v>71</v>
      </c>
      <c r="D23" s="20">
        <v>72349</v>
      </c>
      <c r="E23" s="159" t="s">
        <v>72</v>
      </c>
      <c r="F23" s="19" t="s">
        <v>73</v>
      </c>
      <c r="G23" s="20">
        <v>12290421</v>
      </c>
    </row>
    <row r="24" spans="1:7" x14ac:dyDescent="0.25">
      <c r="B24" s="6" t="s">
        <v>74</v>
      </c>
      <c r="C24" s="19" t="s">
        <v>75</v>
      </c>
      <c r="D24" s="20">
        <v>2515174</v>
      </c>
      <c r="E24" s="159" t="s">
        <v>76</v>
      </c>
      <c r="F24" s="19" t="s">
        <v>77</v>
      </c>
      <c r="G24" s="20">
        <v>7085832</v>
      </c>
    </row>
    <row r="25" spans="1:7" x14ac:dyDescent="0.25">
      <c r="B25" s="6" t="s">
        <v>78</v>
      </c>
      <c r="C25" s="19" t="s">
        <v>79</v>
      </c>
      <c r="D25" s="20">
        <v>425113</v>
      </c>
      <c r="E25" s="159" t="s">
        <v>80</v>
      </c>
      <c r="F25" s="19" t="s">
        <v>81</v>
      </c>
      <c r="G25" s="20">
        <v>5237827</v>
      </c>
    </row>
    <row r="26" spans="1:7" x14ac:dyDescent="0.25">
      <c r="B26" s="6" t="s">
        <v>82</v>
      </c>
      <c r="C26" s="19" t="s">
        <v>83</v>
      </c>
      <c r="D26" s="20">
        <v>829875</v>
      </c>
      <c r="E26" s="159" t="s">
        <v>84</v>
      </c>
      <c r="F26" s="19" t="s">
        <v>85</v>
      </c>
      <c r="G26" s="27">
        <v>2063341</v>
      </c>
    </row>
    <row r="27" spans="1:7" ht="15.75" thickBot="1" x14ac:dyDescent="0.3">
      <c r="B27" s="6" t="s">
        <v>86</v>
      </c>
      <c r="C27" s="19" t="s">
        <v>87</v>
      </c>
      <c r="D27" s="20"/>
      <c r="E27" s="159"/>
      <c r="F27" s="161" t="s">
        <v>88</v>
      </c>
      <c r="G27" s="162">
        <f>SUM(G20:G26)</f>
        <v>49751997</v>
      </c>
    </row>
    <row r="28" spans="1:7" x14ac:dyDescent="0.25">
      <c r="B28" s="6" t="s">
        <v>89</v>
      </c>
      <c r="C28" s="19" t="s">
        <v>90</v>
      </c>
      <c r="D28" s="20">
        <v>574206</v>
      </c>
      <c r="E28" s="159" t="s">
        <v>91</v>
      </c>
      <c r="F28" s="22" t="s">
        <v>92</v>
      </c>
      <c r="G28" s="23">
        <v>84370084</v>
      </c>
    </row>
    <row r="29" spans="1:7" x14ac:dyDescent="0.25">
      <c r="B29" s="6"/>
      <c r="C29" s="165" t="s">
        <v>93</v>
      </c>
      <c r="D29" s="164">
        <f>SUM(D30:D34)</f>
        <v>75151807</v>
      </c>
      <c r="E29" s="159" t="s">
        <v>94</v>
      </c>
      <c r="F29" s="19" t="s">
        <v>95</v>
      </c>
      <c r="G29" s="20">
        <v>0</v>
      </c>
    </row>
    <row r="30" spans="1:7" x14ac:dyDescent="0.25">
      <c r="B30" s="6" t="s">
        <v>96</v>
      </c>
      <c r="C30" s="19" t="s">
        <v>97</v>
      </c>
      <c r="D30" s="20">
        <v>65457280</v>
      </c>
      <c r="E30" s="159" t="s">
        <v>98</v>
      </c>
      <c r="F30" s="19" t="s">
        <v>99</v>
      </c>
      <c r="G30" s="20">
        <v>2127385</v>
      </c>
    </row>
    <row r="31" spans="1:7" x14ac:dyDescent="0.25">
      <c r="B31" s="6" t="s">
        <v>100</v>
      </c>
      <c r="C31" s="19" t="s">
        <v>101</v>
      </c>
      <c r="D31" s="20">
        <v>4137577</v>
      </c>
      <c r="E31" s="159" t="s">
        <v>102</v>
      </c>
      <c r="F31" s="19" t="s">
        <v>103</v>
      </c>
      <c r="G31" s="27">
        <v>3669714</v>
      </c>
    </row>
    <row r="32" spans="1:7" ht="15.75" thickBot="1" x14ac:dyDescent="0.3">
      <c r="B32" s="6" t="s">
        <v>104</v>
      </c>
      <c r="C32" s="19" t="s">
        <v>105</v>
      </c>
      <c r="D32" s="20">
        <v>2326168</v>
      </c>
      <c r="E32" s="159"/>
      <c r="F32" s="161" t="s">
        <v>106</v>
      </c>
      <c r="G32" s="162">
        <f>SUM(G28:G31)</f>
        <v>90167183</v>
      </c>
    </row>
    <row r="33" spans="2:7" x14ac:dyDescent="0.25">
      <c r="B33" s="6" t="s">
        <v>107</v>
      </c>
      <c r="C33" s="19" t="s">
        <v>108</v>
      </c>
      <c r="D33" s="20">
        <v>223691</v>
      </c>
      <c r="E33" s="159"/>
      <c r="F33" s="165" t="s">
        <v>109</v>
      </c>
      <c r="G33" s="164">
        <f>SUM(G34:G39)</f>
        <v>88118313</v>
      </c>
    </row>
    <row r="34" spans="2:7" x14ac:dyDescent="0.25">
      <c r="B34" s="6" t="s">
        <v>110</v>
      </c>
      <c r="C34" s="19" t="s">
        <v>111</v>
      </c>
      <c r="D34" s="20">
        <v>3007091</v>
      </c>
      <c r="E34" s="159" t="s">
        <v>112</v>
      </c>
      <c r="F34" s="19" t="s">
        <v>113</v>
      </c>
      <c r="G34" s="20">
        <v>5354155</v>
      </c>
    </row>
    <row r="35" spans="2:7" ht="15.75" thickBot="1" x14ac:dyDescent="0.3">
      <c r="B35" s="6"/>
      <c r="C35" s="161" t="s">
        <v>114</v>
      </c>
      <c r="D35" s="162">
        <f>+D21+D29</f>
        <v>88587399</v>
      </c>
      <c r="E35" s="159" t="s">
        <v>115</v>
      </c>
      <c r="F35" s="19" t="s">
        <v>116</v>
      </c>
      <c r="G35" s="20">
        <v>962269</v>
      </c>
    </row>
    <row r="36" spans="2:7" x14ac:dyDescent="0.25">
      <c r="B36" s="6" t="s">
        <v>117</v>
      </c>
      <c r="C36" s="19" t="s">
        <v>118</v>
      </c>
      <c r="D36" s="20">
        <v>7470847</v>
      </c>
      <c r="E36" s="159" t="s">
        <v>119</v>
      </c>
      <c r="F36" s="19" t="s">
        <v>120</v>
      </c>
      <c r="G36" s="20">
        <v>1894322</v>
      </c>
    </row>
    <row r="37" spans="2:7" x14ac:dyDescent="0.25">
      <c r="B37" s="6" t="s">
        <v>121</v>
      </c>
      <c r="C37" s="19" t="s">
        <v>122</v>
      </c>
      <c r="D37" s="20">
        <f>30795402+119306</f>
        <v>30914708</v>
      </c>
      <c r="E37" s="159" t="s">
        <v>123</v>
      </c>
      <c r="F37" s="19" t="s">
        <v>124</v>
      </c>
      <c r="G37" s="20">
        <v>4548212</v>
      </c>
    </row>
    <row r="38" spans="2:7" x14ac:dyDescent="0.25">
      <c r="B38" s="6" t="s">
        <v>125</v>
      </c>
      <c r="C38" s="19" t="s">
        <v>126</v>
      </c>
      <c r="D38" s="20"/>
      <c r="E38" s="159" t="s">
        <v>127</v>
      </c>
      <c r="F38" s="19" t="s">
        <v>128</v>
      </c>
      <c r="G38" s="20">
        <v>10967285</v>
      </c>
    </row>
    <row r="39" spans="2:7" x14ac:dyDescent="0.25">
      <c r="B39" s="6" t="s">
        <v>129</v>
      </c>
      <c r="C39" s="19" t="s">
        <v>130</v>
      </c>
      <c r="D39" s="20"/>
      <c r="E39" s="159" t="s">
        <v>131</v>
      </c>
      <c r="F39" s="19" t="s">
        <v>132</v>
      </c>
      <c r="G39" s="20">
        <v>64392070</v>
      </c>
    </row>
    <row r="40" spans="2:7" x14ac:dyDescent="0.25">
      <c r="B40" s="6" t="s">
        <v>133</v>
      </c>
      <c r="C40" s="19" t="s">
        <v>134</v>
      </c>
      <c r="D40" s="20"/>
      <c r="E40" s="159"/>
      <c r="F40" s="166" t="s">
        <v>135</v>
      </c>
      <c r="G40" s="167">
        <f>SUM(G41:G46)</f>
        <v>18980973</v>
      </c>
    </row>
    <row r="41" spans="2:7" x14ac:dyDescent="0.25">
      <c r="B41" s="6" t="s">
        <v>136</v>
      </c>
      <c r="C41" s="19" t="s">
        <v>137</v>
      </c>
      <c r="D41" s="20">
        <v>48227840</v>
      </c>
      <c r="E41" s="159" t="s">
        <v>138</v>
      </c>
      <c r="F41" s="19" t="s">
        <v>139</v>
      </c>
      <c r="G41" s="20">
        <v>2737346</v>
      </c>
    </row>
    <row r="42" spans="2:7" x14ac:dyDescent="0.25">
      <c r="B42" s="6" t="s">
        <v>140</v>
      </c>
      <c r="C42" s="19" t="s">
        <v>141</v>
      </c>
      <c r="D42" s="20">
        <v>63621128</v>
      </c>
      <c r="E42" s="159" t="s">
        <v>142</v>
      </c>
      <c r="F42" s="19" t="s">
        <v>143</v>
      </c>
      <c r="G42" s="20">
        <v>0</v>
      </c>
    </row>
    <row r="43" spans="2:7" x14ac:dyDescent="0.25">
      <c r="B43" s="6" t="s">
        <v>144</v>
      </c>
      <c r="C43" s="19" t="s">
        <v>145</v>
      </c>
      <c r="D43" s="20"/>
      <c r="E43" s="159" t="s">
        <v>146</v>
      </c>
      <c r="F43" s="19" t="s">
        <v>147</v>
      </c>
      <c r="G43" s="20">
        <v>1564908</v>
      </c>
    </row>
    <row r="44" spans="2:7" x14ac:dyDescent="0.25">
      <c r="B44" s="6" t="s">
        <v>148</v>
      </c>
      <c r="C44" s="19" t="s">
        <v>149</v>
      </c>
      <c r="D44" s="20"/>
      <c r="E44" s="159" t="s">
        <v>150</v>
      </c>
      <c r="F44" s="19" t="s">
        <v>151</v>
      </c>
      <c r="G44" s="20">
        <v>1563972</v>
      </c>
    </row>
    <row r="45" spans="2:7" x14ac:dyDescent="0.25">
      <c r="B45" s="6" t="s">
        <v>152</v>
      </c>
      <c r="C45" s="19" t="s">
        <v>153</v>
      </c>
      <c r="D45" s="20"/>
      <c r="E45" s="159" t="s">
        <v>154</v>
      </c>
      <c r="F45" s="19" t="s">
        <v>155</v>
      </c>
      <c r="G45" s="20">
        <v>682803</v>
      </c>
    </row>
    <row r="46" spans="2:7" x14ac:dyDescent="0.25">
      <c r="B46" s="6" t="s">
        <v>156</v>
      </c>
      <c r="C46" s="19" t="s">
        <v>157</v>
      </c>
      <c r="D46" s="20">
        <v>6567836</v>
      </c>
      <c r="E46" s="159" t="s">
        <v>158</v>
      </c>
      <c r="F46" s="19" t="s">
        <v>159</v>
      </c>
      <c r="G46" s="20">
        <v>12431944</v>
      </c>
    </row>
    <row r="47" spans="2:7" ht="15.75" thickBot="1" x14ac:dyDescent="0.3">
      <c r="B47" s="6"/>
      <c r="C47" s="161" t="s">
        <v>160</v>
      </c>
      <c r="D47" s="162">
        <f>SUM(D36:D46)</f>
        <v>156802359</v>
      </c>
      <c r="E47" s="159" t="s">
        <v>161</v>
      </c>
      <c r="F47" s="19" t="s">
        <v>162</v>
      </c>
      <c r="G47" s="27">
        <v>4376874</v>
      </c>
    </row>
    <row r="48" spans="2:7" ht="15.75" thickBot="1" x14ac:dyDescent="0.3">
      <c r="B48" s="6"/>
      <c r="C48" s="168" t="s">
        <v>163</v>
      </c>
      <c r="D48" s="169"/>
      <c r="E48" s="159"/>
      <c r="F48" s="161" t="s">
        <v>164</v>
      </c>
      <c r="G48" s="170">
        <f>+G33+G40+G47</f>
        <v>111476160</v>
      </c>
    </row>
    <row r="49" spans="2:7" x14ac:dyDescent="0.25">
      <c r="B49" s="6" t="s">
        <v>165</v>
      </c>
      <c r="C49" s="38" t="s">
        <v>166</v>
      </c>
      <c r="D49" s="39"/>
      <c r="E49" s="159" t="s">
        <v>167</v>
      </c>
      <c r="F49" s="22" t="s">
        <v>168</v>
      </c>
      <c r="G49" s="23">
        <v>30003909</v>
      </c>
    </row>
    <row r="50" spans="2:7" x14ac:dyDescent="0.25">
      <c r="B50" s="6" t="s">
        <v>169</v>
      </c>
      <c r="C50" s="19" t="s">
        <v>163</v>
      </c>
      <c r="D50" s="20">
        <v>347349</v>
      </c>
      <c r="E50" s="159" t="s">
        <v>170</v>
      </c>
      <c r="F50" s="19" t="s">
        <v>171</v>
      </c>
      <c r="G50" s="20">
        <v>55600517</v>
      </c>
    </row>
    <row r="51" spans="2:7" x14ac:dyDescent="0.25">
      <c r="B51" s="6" t="s">
        <v>172</v>
      </c>
      <c r="C51" s="19" t="s">
        <v>173</v>
      </c>
      <c r="D51" s="27">
        <v>18216</v>
      </c>
      <c r="E51" s="159" t="s">
        <v>174</v>
      </c>
      <c r="F51" s="19" t="s">
        <v>175</v>
      </c>
      <c r="G51" s="20">
        <v>0</v>
      </c>
    </row>
    <row r="52" spans="2:7" ht="15.75" thickBot="1" x14ac:dyDescent="0.3">
      <c r="B52" s="12"/>
      <c r="C52" s="161" t="s">
        <v>176</v>
      </c>
      <c r="D52" s="162">
        <f>SUM(D49:D51)</f>
        <v>365565</v>
      </c>
      <c r="E52" s="159" t="s">
        <v>177</v>
      </c>
      <c r="F52" s="19" t="s">
        <v>178</v>
      </c>
      <c r="G52" s="20">
        <v>3384805</v>
      </c>
    </row>
    <row r="53" spans="2:7" ht="15.75" thickBot="1" x14ac:dyDescent="0.3">
      <c r="B53" s="6"/>
      <c r="C53" s="171" t="s">
        <v>179</v>
      </c>
      <c r="D53" s="172">
        <f>D20+D35+D47+D52</f>
        <v>1409641827</v>
      </c>
      <c r="E53" s="159" t="s">
        <v>180</v>
      </c>
      <c r="F53" s="19" t="s">
        <v>181</v>
      </c>
      <c r="G53" s="20">
        <v>6014284</v>
      </c>
    </row>
    <row r="54" spans="2:7" x14ac:dyDescent="0.25">
      <c r="C54" s="42"/>
      <c r="D54" s="43"/>
      <c r="E54" s="159" t="s">
        <v>182</v>
      </c>
      <c r="F54" s="19" t="s">
        <v>183</v>
      </c>
      <c r="G54" s="20">
        <v>2987155</v>
      </c>
    </row>
    <row r="55" spans="2:7" x14ac:dyDescent="0.25">
      <c r="C55" s="173" t="s">
        <v>184</v>
      </c>
      <c r="D55" s="174"/>
      <c r="E55" s="159" t="s">
        <v>185</v>
      </c>
      <c r="F55" s="19" t="s">
        <v>186</v>
      </c>
      <c r="G55" s="20">
        <v>3501655</v>
      </c>
    </row>
    <row r="56" spans="2:7" x14ac:dyDescent="0.25">
      <c r="B56" s="6" t="s">
        <v>187</v>
      </c>
      <c r="C56" s="46" t="s">
        <v>188</v>
      </c>
      <c r="D56" s="20"/>
      <c r="E56" s="159" t="s">
        <v>189</v>
      </c>
      <c r="F56" s="19" t="s">
        <v>190</v>
      </c>
      <c r="G56" s="27">
        <v>4029247</v>
      </c>
    </row>
    <row r="57" spans="2:7" ht="15.75" thickBot="1" x14ac:dyDescent="0.3">
      <c r="B57" s="6" t="s">
        <v>191</v>
      </c>
      <c r="C57" s="46" t="s">
        <v>192</v>
      </c>
      <c r="D57" s="20"/>
      <c r="E57" s="159"/>
      <c r="F57" s="161" t="s">
        <v>193</v>
      </c>
      <c r="G57" s="162">
        <f>SUM(G49:G56)</f>
        <v>105521572</v>
      </c>
    </row>
    <row r="58" spans="2:7" x14ac:dyDescent="0.25">
      <c r="B58" s="6" t="s">
        <v>194</v>
      </c>
      <c r="C58" s="46" t="s">
        <v>195</v>
      </c>
      <c r="D58" s="20"/>
      <c r="E58" s="159" t="s">
        <v>196</v>
      </c>
      <c r="F58" s="22" t="s">
        <v>197</v>
      </c>
      <c r="G58" s="23">
        <v>13025553</v>
      </c>
    </row>
    <row r="59" spans="2:7" x14ac:dyDescent="0.25">
      <c r="B59" s="6" t="s">
        <v>198</v>
      </c>
      <c r="C59" s="19" t="s">
        <v>199</v>
      </c>
      <c r="D59" s="27"/>
      <c r="E59" s="159" t="s">
        <v>200</v>
      </c>
      <c r="F59" s="19" t="s">
        <v>201</v>
      </c>
      <c r="G59" s="20">
        <v>23195009</v>
      </c>
    </row>
    <row r="60" spans="2:7" ht="15.75" thickBot="1" x14ac:dyDescent="0.3">
      <c r="B60" s="6"/>
      <c r="C60" s="161" t="s">
        <v>202</v>
      </c>
      <c r="D60" s="162">
        <f>SUM(D56:D59)</f>
        <v>0</v>
      </c>
      <c r="E60" s="159" t="s">
        <v>203</v>
      </c>
      <c r="F60" s="19" t="s">
        <v>204</v>
      </c>
      <c r="G60" s="20">
        <v>5223157</v>
      </c>
    </row>
    <row r="61" spans="2:7" ht="16.5" thickBot="1" x14ac:dyDescent="0.3">
      <c r="B61" s="47"/>
      <c r="C61" s="175" t="s">
        <v>205</v>
      </c>
      <c r="D61" s="176">
        <f>D53+D60</f>
        <v>1409641827</v>
      </c>
      <c r="E61" s="159" t="s">
        <v>206</v>
      </c>
      <c r="F61" s="19" t="s">
        <v>207</v>
      </c>
      <c r="G61" s="20">
        <v>4961612</v>
      </c>
    </row>
    <row r="62" spans="2:7" x14ac:dyDescent="0.25">
      <c r="B62" s="50"/>
      <c r="C62" s="51"/>
      <c r="D62" s="51"/>
      <c r="E62" s="159" t="s">
        <v>208</v>
      </c>
      <c r="F62" s="19" t="s">
        <v>209</v>
      </c>
      <c r="G62" s="20">
        <v>0</v>
      </c>
    </row>
    <row r="63" spans="2:7" x14ac:dyDescent="0.25">
      <c r="B63" s="177"/>
      <c r="C63" s="178" t="s">
        <v>8</v>
      </c>
      <c r="D63" s="178"/>
      <c r="E63" s="159" t="s">
        <v>210</v>
      </c>
      <c r="F63" s="19" t="s">
        <v>211</v>
      </c>
      <c r="G63" s="20">
        <v>6173480</v>
      </c>
    </row>
    <row r="64" spans="2:7" x14ac:dyDescent="0.25">
      <c r="B64" s="179" t="s">
        <v>212</v>
      </c>
      <c r="C64" s="180" t="s">
        <v>213</v>
      </c>
      <c r="D64" s="180">
        <f>[18]Amortizaciones!D6</f>
        <v>6293372</v>
      </c>
      <c r="E64" s="159" t="s">
        <v>214</v>
      </c>
      <c r="F64" s="19" t="s">
        <v>215</v>
      </c>
      <c r="G64" s="20">
        <v>3272699</v>
      </c>
    </row>
    <row r="65" spans="2:7" x14ac:dyDescent="0.25">
      <c r="B65" s="179" t="s">
        <v>216</v>
      </c>
      <c r="C65" s="180" t="s">
        <v>217</v>
      </c>
      <c r="D65" s="180">
        <f>[18]Amortizaciones!D7</f>
        <v>0</v>
      </c>
      <c r="E65" s="159" t="s">
        <v>218</v>
      </c>
      <c r="F65" s="19" t="s">
        <v>219</v>
      </c>
      <c r="G65" s="20">
        <v>1660126</v>
      </c>
    </row>
    <row r="66" spans="2:7" x14ac:dyDescent="0.25">
      <c r="B66" s="179" t="s">
        <v>220</v>
      </c>
      <c r="C66" s="180" t="s">
        <v>221</v>
      </c>
      <c r="D66" s="180">
        <f>[18]Amortizaciones!D8</f>
        <v>5437673</v>
      </c>
      <c r="E66" s="159" t="s">
        <v>222</v>
      </c>
      <c r="F66" s="19" t="s">
        <v>223</v>
      </c>
      <c r="G66" s="20">
        <v>9031780</v>
      </c>
    </row>
    <row r="67" spans="2:7" x14ac:dyDescent="0.25">
      <c r="B67" s="179" t="s">
        <v>224</v>
      </c>
      <c r="C67" s="180" t="s">
        <v>225</v>
      </c>
      <c r="D67" s="180">
        <f>[18]Amortizaciones!D9</f>
        <v>588288</v>
      </c>
      <c r="E67" s="159" t="s">
        <v>226</v>
      </c>
      <c r="F67" s="19" t="s">
        <v>227</v>
      </c>
      <c r="G67" s="20">
        <v>967758</v>
      </c>
    </row>
    <row r="68" spans="2:7" x14ac:dyDescent="0.25">
      <c r="B68" s="179" t="s">
        <v>228</v>
      </c>
      <c r="C68" s="180" t="s">
        <v>229</v>
      </c>
      <c r="D68" s="180">
        <f>[18]Amortizaciones!D10</f>
        <v>214222</v>
      </c>
      <c r="E68" s="159" t="s">
        <v>230</v>
      </c>
      <c r="F68" s="19" t="s">
        <v>231</v>
      </c>
      <c r="G68" s="20"/>
    </row>
    <row r="69" spans="2:7" x14ac:dyDescent="0.25">
      <c r="B69" s="179" t="s">
        <v>232</v>
      </c>
      <c r="C69" s="180" t="s">
        <v>233</v>
      </c>
      <c r="D69" s="180">
        <f>[18]Amortizaciones!D11</f>
        <v>957505</v>
      </c>
      <c r="E69" s="159" t="s">
        <v>234</v>
      </c>
      <c r="F69" s="19" t="s">
        <v>235</v>
      </c>
      <c r="G69" s="20">
        <v>1361051</v>
      </c>
    </row>
    <row r="70" spans="2:7" x14ac:dyDescent="0.25">
      <c r="B70" s="179" t="s">
        <v>236</v>
      </c>
      <c r="C70" s="180" t="s">
        <v>237</v>
      </c>
      <c r="D70" s="180">
        <f>[18]Amortizaciones!D12</f>
        <v>1353527</v>
      </c>
      <c r="E70" s="159" t="s">
        <v>238</v>
      </c>
      <c r="F70" s="19" t="s">
        <v>239</v>
      </c>
      <c r="G70" s="20">
        <v>781948</v>
      </c>
    </row>
    <row r="71" spans="2:7" x14ac:dyDescent="0.25">
      <c r="B71" s="179" t="s">
        <v>240</v>
      </c>
      <c r="C71" s="180" t="s">
        <v>241</v>
      </c>
      <c r="D71" s="180">
        <f>[18]Amortizaciones!D13</f>
        <v>1754622</v>
      </c>
      <c r="E71" s="159" t="s">
        <v>242</v>
      </c>
      <c r="F71" s="19" t="s">
        <v>243</v>
      </c>
      <c r="G71" s="20"/>
    </row>
    <row r="72" spans="2:7" x14ac:dyDescent="0.25">
      <c r="B72" s="179" t="s">
        <v>244</v>
      </c>
      <c r="C72" s="180" t="s">
        <v>245</v>
      </c>
      <c r="D72" s="180">
        <f>[18]Amortizaciones!D14</f>
        <v>1854970</v>
      </c>
      <c r="E72" s="159" t="s">
        <v>246</v>
      </c>
      <c r="F72" s="19" t="s">
        <v>247</v>
      </c>
      <c r="G72" s="20"/>
    </row>
    <row r="73" spans="2:7" x14ac:dyDescent="0.25">
      <c r="B73" s="179" t="s">
        <v>248</v>
      </c>
      <c r="C73" s="180" t="s">
        <v>249</v>
      </c>
      <c r="D73" s="180">
        <f>[18]Amortizaciones!D15</f>
        <v>0</v>
      </c>
      <c r="E73" s="159" t="s">
        <v>250</v>
      </c>
      <c r="F73" s="19" t="s">
        <v>251</v>
      </c>
      <c r="G73" s="20"/>
    </row>
    <row r="74" spans="2:7" x14ac:dyDescent="0.25">
      <c r="B74" s="179" t="s">
        <v>252</v>
      </c>
      <c r="C74" s="180" t="s">
        <v>253</v>
      </c>
      <c r="D74" s="180">
        <f>[18]Amortizaciones!D16</f>
        <v>0</v>
      </c>
      <c r="E74" s="159" t="s">
        <v>254</v>
      </c>
      <c r="F74" s="19" t="s">
        <v>255</v>
      </c>
      <c r="G74" s="20"/>
    </row>
    <row r="75" spans="2:7" x14ac:dyDescent="0.25">
      <c r="B75" s="179" t="s">
        <v>256</v>
      </c>
      <c r="C75" s="180" t="s">
        <v>257</v>
      </c>
      <c r="D75" s="180">
        <f>[18]Amortizaciones!D17</f>
        <v>0</v>
      </c>
      <c r="E75" s="159" t="s">
        <v>258</v>
      </c>
      <c r="F75" s="19" t="s">
        <v>259</v>
      </c>
      <c r="G75" s="20">
        <v>111496</v>
      </c>
    </row>
    <row r="76" spans="2:7" x14ac:dyDescent="0.25">
      <c r="B76" s="179" t="s">
        <v>260</v>
      </c>
      <c r="C76" s="180" t="s">
        <v>261</v>
      </c>
      <c r="D76" s="180">
        <f>[18]Amortizaciones!D18</f>
        <v>0</v>
      </c>
      <c r="E76" s="159" t="s">
        <v>262</v>
      </c>
      <c r="F76" s="19" t="s">
        <v>263</v>
      </c>
      <c r="G76" s="20">
        <v>16258880</v>
      </c>
    </row>
    <row r="77" spans="2:7" x14ac:dyDescent="0.25">
      <c r="B77" s="179" t="s">
        <v>264</v>
      </c>
      <c r="C77" s="180" t="s">
        <v>265</v>
      </c>
      <c r="D77" s="180">
        <f>SUM(D64:D76)</f>
        <v>18454179</v>
      </c>
      <c r="E77" s="159" t="s">
        <v>266</v>
      </c>
      <c r="F77" s="19" t="s">
        <v>267</v>
      </c>
      <c r="G77" s="20">
        <v>8797524</v>
      </c>
    </row>
    <row r="78" spans="2:7" x14ac:dyDescent="0.25">
      <c r="B78" s="179"/>
      <c r="C78" s="180"/>
      <c r="D78" s="180"/>
      <c r="E78" s="159" t="s">
        <v>268</v>
      </c>
      <c r="F78" s="19" t="s">
        <v>269</v>
      </c>
      <c r="G78" s="27">
        <v>4001704</v>
      </c>
    </row>
    <row r="79" spans="2:7" ht="15.75" thickBot="1" x14ac:dyDescent="0.3">
      <c r="B79" s="179"/>
      <c r="C79" s="178" t="s">
        <v>270</v>
      </c>
      <c r="D79" s="181"/>
      <c r="E79" s="159"/>
      <c r="F79" s="161" t="s">
        <v>271</v>
      </c>
      <c r="G79" s="162">
        <f>SUM(G58:G78)</f>
        <v>98823777</v>
      </c>
    </row>
    <row r="80" spans="2:7" x14ac:dyDescent="0.25">
      <c r="B80" s="179" t="s">
        <v>272</v>
      </c>
      <c r="C80" s="180" t="s">
        <v>237</v>
      </c>
      <c r="D80" s="180">
        <f>[18]Amortizaciones!D22</f>
        <v>338382</v>
      </c>
      <c r="E80" s="159" t="s">
        <v>273</v>
      </c>
      <c r="F80" s="22" t="s">
        <v>274</v>
      </c>
      <c r="G80" s="23">
        <v>15830</v>
      </c>
    </row>
    <row r="81" spans="2:7" x14ac:dyDescent="0.25">
      <c r="B81" s="179" t="s">
        <v>275</v>
      </c>
      <c r="C81" s="180" t="s">
        <v>241</v>
      </c>
      <c r="D81" s="180">
        <f>[18]Amortizaciones!D23</f>
        <v>0</v>
      </c>
      <c r="E81" s="159" t="s">
        <v>276</v>
      </c>
      <c r="F81" s="19" t="s">
        <v>277</v>
      </c>
      <c r="G81" s="20">
        <v>5834148</v>
      </c>
    </row>
    <row r="82" spans="2:7" x14ac:dyDescent="0.25">
      <c r="B82" s="179" t="s">
        <v>278</v>
      </c>
      <c r="C82" s="180" t="s">
        <v>245</v>
      </c>
      <c r="D82" s="180">
        <f>[18]Amortizaciones!D24</f>
        <v>151377</v>
      </c>
      <c r="E82" s="159" t="s">
        <v>279</v>
      </c>
      <c r="F82" s="19" t="s">
        <v>280</v>
      </c>
      <c r="G82" s="20">
        <v>2970804</v>
      </c>
    </row>
    <row r="83" spans="2:7" x14ac:dyDescent="0.25">
      <c r="B83" s="179" t="s">
        <v>281</v>
      </c>
      <c r="C83" s="180" t="s">
        <v>249</v>
      </c>
      <c r="D83" s="180">
        <f>[18]Amortizaciones!D25</f>
        <v>0</v>
      </c>
      <c r="E83" s="159" t="s">
        <v>282</v>
      </c>
      <c r="F83" s="19" t="s">
        <v>283</v>
      </c>
      <c r="G83" s="20">
        <v>3481091</v>
      </c>
    </row>
    <row r="84" spans="2:7" x14ac:dyDescent="0.25">
      <c r="B84" s="179" t="s">
        <v>284</v>
      </c>
      <c r="C84" s="180" t="s">
        <v>285</v>
      </c>
      <c r="D84" s="180">
        <v>0</v>
      </c>
      <c r="E84" s="159" t="s">
        <v>286</v>
      </c>
      <c r="F84" s="19" t="s">
        <v>287</v>
      </c>
      <c r="G84" s="20">
        <v>5857275</v>
      </c>
    </row>
    <row r="85" spans="2:7" x14ac:dyDescent="0.25">
      <c r="B85" s="179" t="s">
        <v>288</v>
      </c>
      <c r="C85" s="180" t="s">
        <v>289</v>
      </c>
      <c r="D85" s="180">
        <f>[18]Amortizaciones!D27</f>
        <v>0</v>
      </c>
      <c r="E85" s="159" t="s">
        <v>290</v>
      </c>
      <c r="F85" s="19" t="s">
        <v>291</v>
      </c>
      <c r="G85" s="20">
        <v>1055634</v>
      </c>
    </row>
    <row r="86" spans="2:7" x14ac:dyDescent="0.25">
      <c r="B86" s="179" t="s">
        <v>292</v>
      </c>
      <c r="C86" s="180" t="s">
        <v>293</v>
      </c>
      <c r="D86" s="180">
        <f>[18]Amortizaciones!D28</f>
        <v>0</v>
      </c>
      <c r="E86" s="159" t="s">
        <v>294</v>
      </c>
      <c r="F86" s="19" t="s">
        <v>295</v>
      </c>
      <c r="G86" s="20">
        <v>1291519</v>
      </c>
    </row>
    <row r="87" spans="2:7" x14ac:dyDescent="0.25">
      <c r="B87" s="179" t="s">
        <v>296</v>
      </c>
      <c r="C87" s="180" t="s">
        <v>297</v>
      </c>
      <c r="D87" s="180">
        <f>[18]Amortizaciones!D29</f>
        <v>0</v>
      </c>
      <c r="E87" s="159" t="s">
        <v>298</v>
      </c>
      <c r="F87" s="19" t="s">
        <v>299</v>
      </c>
      <c r="G87" s="20">
        <v>931274</v>
      </c>
    </row>
    <row r="88" spans="2:7" x14ac:dyDescent="0.25">
      <c r="B88" s="179" t="s">
        <v>300</v>
      </c>
      <c r="C88" s="180" t="s">
        <v>301</v>
      </c>
      <c r="D88" s="180">
        <f>[18]Amortizaciones!D30</f>
        <v>0</v>
      </c>
      <c r="E88" s="159" t="s">
        <v>302</v>
      </c>
      <c r="F88" s="19" t="s">
        <v>303</v>
      </c>
      <c r="G88" s="20">
        <v>3686810</v>
      </c>
    </row>
    <row r="89" spans="2:7" x14ac:dyDescent="0.25">
      <c r="B89" s="179" t="s">
        <v>304</v>
      </c>
      <c r="C89" s="180" t="s">
        <v>213</v>
      </c>
      <c r="D89" s="180">
        <f>[18]Amortizaciones!D31</f>
        <v>263752</v>
      </c>
      <c r="E89" s="159" t="s">
        <v>305</v>
      </c>
      <c r="F89" s="19" t="s">
        <v>306</v>
      </c>
      <c r="G89" s="20"/>
    </row>
    <row r="90" spans="2:7" x14ac:dyDescent="0.25">
      <c r="B90" s="179" t="s">
        <v>307</v>
      </c>
      <c r="C90" s="180" t="s">
        <v>229</v>
      </c>
      <c r="D90" s="180">
        <f>[18]Amortizaciones!D32</f>
        <v>0</v>
      </c>
      <c r="E90" s="159" t="s">
        <v>308</v>
      </c>
      <c r="F90" s="19" t="s">
        <v>309</v>
      </c>
      <c r="G90" s="20">
        <v>343552</v>
      </c>
    </row>
    <row r="91" spans="2:7" x14ac:dyDescent="0.25">
      <c r="B91" s="179" t="s">
        <v>310</v>
      </c>
      <c r="C91" s="180" t="s">
        <v>311</v>
      </c>
      <c r="D91" s="180">
        <f>SUM(D80:D90)</f>
        <v>753511</v>
      </c>
      <c r="E91" s="177" t="s">
        <v>312</v>
      </c>
      <c r="F91" s="19" t="s">
        <v>313</v>
      </c>
      <c r="G91" s="20">
        <v>203587</v>
      </c>
    </row>
    <row r="92" spans="2:7" x14ac:dyDescent="0.25">
      <c r="B92" s="179"/>
      <c r="C92" s="182" t="s">
        <v>314</v>
      </c>
      <c r="D92" s="180">
        <f>D77+D91</f>
        <v>19207690</v>
      </c>
      <c r="E92" s="177" t="s">
        <v>315</v>
      </c>
      <c r="F92" s="19" t="s">
        <v>316</v>
      </c>
      <c r="G92" s="20"/>
    </row>
    <row r="93" spans="2:7" x14ac:dyDescent="0.25">
      <c r="E93" s="177" t="s">
        <v>317</v>
      </c>
      <c r="F93" s="19" t="s">
        <v>318</v>
      </c>
      <c r="G93" s="20">
        <v>9840937</v>
      </c>
    </row>
    <row r="94" spans="2:7" x14ac:dyDescent="0.25">
      <c r="E94" s="177" t="s">
        <v>319</v>
      </c>
      <c r="F94" s="19" t="s">
        <v>320</v>
      </c>
      <c r="G94" s="27">
        <v>1453760</v>
      </c>
    </row>
    <row r="95" spans="2:7" ht="13.5" customHeight="1" thickBot="1" x14ac:dyDescent="0.3">
      <c r="E95" s="159"/>
      <c r="F95" s="161" t="s">
        <v>321</v>
      </c>
      <c r="G95" s="162">
        <f>SUM(G80:G94)</f>
        <v>36966221</v>
      </c>
    </row>
    <row r="96" spans="2:7" x14ac:dyDescent="0.25">
      <c r="E96" s="177" t="s">
        <v>322</v>
      </c>
      <c r="F96" s="22" t="s">
        <v>323</v>
      </c>
      <c r="G96" s="23">
        <v>2163999</v>
      </c>
    </row>
    <row r="97" spans="2:7" x14ac:dyDescent="0.25">
      <c r="E97" s="177" t="s">
        <v>324</v>
      </c>
      <c r="F97" s="19" t="s">
        <v>325</v>
      </c>
      <c r="G97" s="20">
        <v>5825975</v>
      </c>
    </row>
    <row r="98" spans="2:7" x14ac:dyDescent="0.25">
      <c r="E98" s="177" t="s">
        <v>326</v>
      </c>
      <c r="F98" s="19" t="s">
        <v>327</v>
      </c>
      <c r="G98" s="20">
        <v>1255962</v>
      </c>
    </row>
    <row r="99" spans="2:7" x14ac:dyDescent="0.25">
      <c r="E99" s="177" t="s">
        <v>328</v>
      </c>
      <c r="F99" s="19" t="s">
        <v>329</v>
      </c>
      <c r="G99" s="20">
        <f>9626893-2</f>
        <v>9626891</v>
      </c>
    </row>
    <row r="100" spans="2:7" x14ac:dyDescent="0.25">
      <c r="E100" s="177" t="s">
        <v>330</v>
      </c>
      <c r="F100" s="19" t="s">
        <v>331</v>
      </c>
      <c r="G100" s="27">
        <v>801011</v>
      </c>
    </row>
    <row r="101" spans="2:7" ht="15.75" thickBot="1" x14ac:dyDescent="0.3">
      <c r="E101" s="159"/>
      <c r="F101" s="161" t="s">
        <v>332</v>
      </c>
      <c r="G101" s="162">
        <f>SUM(G96:G100)</f>
        <v>19673838</v>
      </c>
    </row>
    <row r="102" spans="2:7" ht="15.75" thickBot="1" x14ac:dyDescent="0.3">
      <c r="E102" s="177"/>
      <c r="F102" s="183" t="s">
        <v>333</v>
      </c>
      <c r="G102" s="184">
        <f>[18]Amortizaciones!D19</f>
        <v>18454179</v>
      </c>
    </row>
    <row r="103" spans="2:7" x14ac:dyDescent="0.25">
      <c r="E103" s="177" t="s">
        <v>334</v>
      </c>
      <c r="F103" s="19" t="s">
        <v>335</v>
      </c>
      <c r="G103" s="23"/>
    </row>
    <row r="104" spans="2:7" x14ac:dyDescent="0.25">
      <c r="E104" s="177" t="s">
        <v>336</v>
      </c>
      <c r="F104" s="61" t="s">
        <v>337</v>
      </c>
      <c r="G104" s="20"/>
    </row>
    <row r="105" spans="2:7" ht="15.75" thickBot="1" x14ac:dyDescent="0.3">
      <c r="E105" s="159"/>
      <c r="F105" s="161" t="s">
        <v>338</v>
      </c>
      <c r="G105" s="162">
        <f>SUM(G103:G104)</f>
        <v>0</v>
      </c>
    </row>
    <row r="106" spans="2:7" ht="13.7" customHeight="1" thickBot="1" x14ac:dyDescent="0.3">
      <c r="B106" s="6"/>
      <c r="C106" s="62"/>
      <c r="D106" s="62"/>
      <c r="E106" s="177"/>
      <c r="F106" s="175" t="s">
        <v>339</v>
      </c>
      <c r="G106" s="176">
        <f>G19+G27+G32+G48+G57+G79+G95+G101+G102+G105</f>
        <v>1202375459</v>
      </c>
    </row>
    <row r="107" spans="2:7" ht="13.7" customHeight="1" x14ac:dyDescent="0.25">
      <c r="B107" s="6"/>
      <c r="C107" s="62"/>
      <c r="D107" s="62"/>
      <c r="E107" s="159"/>
      <c r="F107" s="63"/>
      <c r="G107" s="64"/>
    </row>
    <row r="108" spans="2:7" ht="13.7" customHeight="1" thickBot="1" x14ac:dyDescent="0.3">
      <c r="B108" s="6"/>
      <c r="C108" s="62"/>
      <c r="D108" s="62"/>
      <c r="E108" s="159"/>
    </row>
    <row r="109" spans="2:7" ht="13.7" customHeight="1" thickBot="1" x14ac:dyDescent="0.3">
      <c r="B109" s="6"/>
      <c r="C109" s="62"/>
      <c r="D109" s="62"/>
      <c r="E109" s="159"/>
      <c r="F109" s="154" t="s">
        <v>340</v>
      </c>
      <c r="G109" s="185">
        <f>D61-G106</f>
        <v>207266368</v>
      </c>
    </row>
    <row r="110" spans="2:7" ht="13.7" customHeight="1" thickBot="1" x14ac:dyDescent="0.3">
      <c r="B110" s="6"/>
      <c r="C110" s="62"/>
      <c r="D110" s="62"/>
      <c r="E110" s="159"/>
    </row>
    <row r="111" spans="2:7" ht="13.7" customHeight="1" thickBot="1" x14ac:dyDescent="0.3">
      <c r="C111" s="175" t="s">
        <v>270</v>
      </c>
      <c r="D111" s="157">
        <f>+[18]E.S.P.!D6</f>
        <v>2020</v>
      </c>
      <c r="E111" s="177"/>
      <c r="F111" s="175" t="s">
        <v>341</v>
      </c>
      <c r="G111" s="157">
        <f>+[18]E.S.P.!D6</f>
        <v>2020</v>
      </c>
    </row>
    <row r="112" spans="2:7" ht="13.7" customHeight="1" x14ac:dyDescent="0.25">
      <c r="B112" s="6" t="s">
        <v>342</v>
      </c>
      <c r="C112" s="66" t="s">
        <v>343</v>
      </c>
      <c r="D112" s="67">
        <v>2586886</v>
      </c>
      <c r="E112" s="159" t="s">
        <v>344</v>
      </c>
      <c r="F112" s="66" t="s">
        <v>309</v>
      </c>
      <c r="G112" s="67">
        <v>1465341</v>
      </c>
    </row>
    <row r="113" spans="2:7" ht="13.7" customHeight="1" x14ac:dyDescent="0.25">
      <c r="B113" s="6" t="s">
        <v>345</v>
      </c>
      <c r="C113" s="68" t="s">
        <v>346</v>
      </c>
      <c r="D113" s="69">
        <v>99743403</v>
      </c>
      <c r="E113" s="159" t="s">
        <v>347</v>
      </c>
      <c r="F113" s="68" t="s">
        <v>348</v>
      </c>
      <c r="G113" s="69"/>
    </row>
    <row r="114" spans="2:7" ht="13.7" customHeight="1" x14ac:dyDescent="0.25">
      <c r="B114" s="6" t="s">
        <v>349</v>
      </c>
      <c r="C114" s="68" t="s">
        <v>48</v>
      </c>
      <c r="D114" s="69">
        <v>0</v>
      </c>
      <c r="E114" s="159" t="s">
        <v>350</v>
      </c>
      <c r="F114" s="68" t="s">
        <v>351</v>
      </c>
      <c r="G114" s="69"/>
    </row>
    <row r="115" spans="2:7" ht="13.7" customHeight="1" x14ac:dyDescent="0.25">
      <c r="B115" s="6" t="s">
        <v>352</v>
      </c>
      <c r="C115" s="68" t="s">
        <v>353</v>
      </c>
      <c r="D115" s="69">
        <v>112147</v>
      </c>
      <c r="E115" s="159" t="s">
        <v>354</v>
      </c>
      <c r="F115" s="68" t="s">
        <v>355</v>
      </c>
      <c r="G115" s="69"/>
    </row>
    <row r="116" spans="2:7" ht="13.7" customHeight="1" x14ac:dyDescent="0.25">
      <c r="B116" s="6" t="s">
        <v>356</v>
      </c>
      <c r="C116" s="68" t="s">
        <v>357</v>
      </c>
      <c r="D116" s="69">
        <f>4020483+1456584</f>
        <v>5477067</v>
      </c>
      <c r="E116" s="159" t="s">
        <v>358</v>
      </c>
      <c r="F116" s="68" t="s">
        <v>359</v>
      </c>
      <c r="G116" s="69">
        <v>569290</v>
      </c>
    </row>
    <row r="117" spans="2:7" ht="13.7" customHeight="1" x14ac:dyDescent="0.25">
      <c r="B117" s="6" t="s">
        <v>360</v>
      </c>
      <c r="C117" s="68" t="s">
        <v>361</v>
      </c>
      <c r="D117" s="69"/>
      <c r="E117" s="159" t="s">
        <v>362</v>
      </c>
      <c r="F117" s="68" t="s">
        <v>363</v>
      </c>
      <c r="G117" s="69">
        <v>1278738</v>
      </c>
    </row>
    <row r="118" spans="2:7" ht="13.7" customHeight="1" x14ac:dyDescent="0.25">
      <c r="B118" s="6" t="s">
        <v>364</v>
      </c>
      <c r="C118" s="68" t="s">
        <v>365</v>
      </c>
      <c r="D118" s="69"/>
      <c r="E118" s="159" t="s">
        <v>366</v>
      </c>
      <c r="F118" s="68" t="s">
        <v>367</v>
      </c>
      <c r="G118" s="69"/>
    </row>
    <row r="119" spans="2:7" ht="13.7" customHeight="1" x14ac:dyDescent="0.25">
      <c r="B119" s="6" t="s">
        <v>368</v>
      </c>
      <c r="C119" s="68" t="s">
        <v>369</v>
      </c>
      <c r="D119" s="69">
        <v>986132</v>
      </c>
      <c r="E119" s="159" t="s">
        <v>370</v>
      </c>
      <c r="F119" s="68" t="s">
        <v>371</v>
      </c>
      <c r="G119" s="69"/>
    </row>
    <row r="120" spans="2:7" ht="13.7" customHeight="1" x14ac:dyDescent="0.25">
      <c r="B120" s="6" t="s">
        <v>372</v>
      </c>
      <c r="C120" s="68" t="s">
        <v>373</v>
      </c>
      <c r="D120" s="69"/>
      <c r="E120" s="159" t="s">
        <v>374</v>
      </c>
      <c r="F120" s="68" t="s">
        <v>375</v>
      </c>
      <c r="G120" s="69"/>
    </row>
    <row r="121" spans="2:7" ht="13.7" customHeight="1" x14ac:dyDescent="0.25">
      <c r="B121" s="6" t="s">
        <v>376</v>
      </c>
      <c r="C121" s="19" t="s">
        <v>377</v>
      </c>
      <c r="D121" s="69">
        <v>4762956</v>
      </c>
      <c r="E121" s="159" t="s">
        <v>378</v>
      </c>
      <c r="F121" s="68" t="s">
        <v>379</v>
      </c>
      <c r="G121" s="69"/>
    </row>
    <row r="122" spans="2:7" ht="13.7" customHeight="1" thickBot="1" x14ac:dyDescent="0.3">
      <c r="B122" s="6"/>
      <c r="C122" s="161" t="s">
        <v>380</v>
      </c>
      <c r="D122" s="170">
        <f>SUM(D112:D121)</f>
        <v>113668591</v>
      </c>
      <c r="E122" s="159" t="s">
        <v>381</v>
      </c>
      <c r="F122" s="19" t="s">
        <v>382</v>
      </c>
      <c r="G122" s="20">
        <v>65129</v>
      </c>
    </row>
    <row r="123" spans="2:7" ht="13.7" customHeight="1" thickBot="1" x14ac:dyDescent="0.3">
      <c r="B123" s="6" t="s">
        <v>383</v>
      </c>
      <c r="C123" s="70" t="s">
        <v>309</v>
      </c>
      <c r="D123" s="67"/>
      <c r="E123" s="177"/>
      <c r="F123" s="161" t="s">
        <v>384</v>
      </c>
      <c r="G123" s="170">
        <f>SUM(G112:G122)</f>
        <v>3378498</v>
      </c>
    </row>
    <row r="124" spans="2:7" ht="13.7" customHeight="1" x14ac:dyDescent="0.25">
      <c r="B124" s="6" t="s">
        <v>385</v>
      </c>
      <c r="C124" s="68" t="s">
        <v>313</v>
      </c>
      <c r="D124" s="69"/>
      <c r="E124" s="159" t="s">
        <v>386</v>
      </c>
      <c r="F124" s="68" t="s">
        <v>387</v>
      </c>
      <c r="G124" s="69"/>
    </row>
    <row r="125" spans="2:7" ht="13.7" customHeight="1" x14ac:dyDescent="0.25">
      <c r="B125" s="6" t="s">
        <v>388</v>
      </c>
      <c r="C125" s="19" t="s">
        <v>389</v>
      </c>
      <c r="D125" s="69"/>
      <c r="E125" s="159" t="s">
        <v>390</v>
      </c>
      <c r="F125" s="68" t="s">
        <v>391</v>
      </c>
      <c r="G125" s="69">
        <v>585917</v>
      </c>
    </row>
    <row r="126" spans="2:7" ht="13.7" customHeight="1" thickBot="1" x14ac:dyDescent="0.3">
      <c r="B126" s="6"/>
      <c r="C126" s="161" t="s">
        <v>392</v>
      </c>
      <c r="D126" s="170">
        <f>SUM(D123:D125)</f>
        <v>0</v>
      </c>
      <c r="E126" s="159" t="s">
        <v>393</v>
      </c>
      <c r="F126" s="68" t="s">
        <v>394</v>
      </c>
      <c r="G126" s="69"/>
    </row>
    <row r="127" spans="2:7" ht="13.7" customHeight="1" x14ac:dyDescent="0.25">
      <c r="B127" s="6" t="s">
        <v>395</v>
      </c>
      <c r="C127" s="66" t="s">
        <v>274</v>
      </c>
      <c r="D127" s="67">
        <v>5220617</v>
      </c>
      <c r="E127" s="159" t="s">
        <v>396</v>
      </c>
      <c r="F127" s="68" t="s">
        <v>397</v>
      </c>
      <c r="G127" s="69"/>
    </row>
    <row r="128" spans="2:7" ht="13.7" customHeight="1" x14ac:dyDescent="0.25">
      <c r="B128" s="6" t="s">
        <v>398</v>
      </c>
      <c r="C128" s="68" t="s">
        <v>399</v>
      </c>
      <c r="D128" s="69">
        <v>786321</v>
      </c>
      <c r="E128" s="159" t="s">
        <v>400</v>
      </c>
      <c r="F128" s="68" t="s">
        <v>401</v>
      </c>
      <c r="G128" s="69"/>
    </row>
    <row r="129" spans="2:7" ht="13.7" customHeight="1" x14ac:dyDescent="0.25">
      <c r="B129" s="6" t="s">
        <v>402</v>
      </c>
      <c r="C129" s="68" t="s">
        <v>277</v>
      </c>
      <c r="D129" s="69">
        <v>0</v>
      </c>
      <c r="E129" s="159" t="s">
        <v>403</v>
      </c>
      <c r="F129" s="68" t="s">
        <v>404</v>
      </c>
      <c r="G129" s="69"/>
    </row>
    <row r="130" spans="2:7" ht="13.7" customHeight="1" x14ac:dyDescent="0.25">
      <c r="B130" s="6" t="s">
        <v>405</v>
      </c>
      <c r="C130" s="68" t="s">
        <v>283</v>
      </c>
      <c r="D130" s="69">
        <v>579531</v>
      </c>
      <c r="E130" s="159" t="s">
        <v>406</v>
      </c>
      <c r="F130" s="68" t="s">
        <v>407</v>
      </c>
      <c r="G130" s="69"/>
    </row>
    <row r="131" spans="2:7" ht="13.7" customHeight="1" x14ac:dyDescent="0.25">
      <c r="B131" s="6" t="s">
        <v>408</v>
      </c>
      <c r="C131" s="68" t="s">
        <v>287</v>
      </c>
      <c r="D131" s="69">
        <v>1996524</v>
      </c>
      <c r="E131" s="159" t="s">
        <v>409</v>
      </c>
      <c r="F131" s="68" t="s">
        <v>410</v>
      </c>
      <c r="G131" s="69">
        <v>1124730</v>
      </c>
    </row>
    <row r="132" spans="2:7" ht="13.7" customHeight="1" x14ac:dyDescent="0.25">
      <c r="B132" s="6" t="s">
        <v>411</v>
      </c>
      <c r="C132" s="68" t="s">
        <v>291</v>
      </c>
      <c r="D132" s="69">
        <v>647871</v>
      </c>
      <c r="E132" s="159" t="s">
        <v>412</v>
      </c>
      <c r="F132" s="68" t="s">
        <v>413</v>
      </c>
      <c r="G132" s="69"/>
    </row>
    <row r="133" spans="2:7" ht="13.7" customHeight="1" x14ac:dyDescent="0.25">
      <c r="B133" s="6" t="s">
        <v>414</v>
      </c>
      <c r="C133" s="68" t="s">
        <v>295</v>
      </c>
      <c r="D133" s="69">
        <v>0</v>
      </c>
      <c r="E133" s="159" t="s">
        <v>415</v>
      </c>
      <c r="F133" s="68" t="s">
        <v>416</v>
      </c>
      <c r="G133" s="69">
        <v>116516</v>
      </c>
    </row>
    <row r="134" spans="2:7" ht="13.7" customHeight="1" x14ac:dyDescent="0.25">
      <c r="B134" s="6" t="s">
        <v>417</v>
      </c>
      <c r="C134" s="68" t="s">
        <v>418</v>
      </c>
      <c r="D134" s="69">
        <v>2366983</v>
      </c>
      <c r="E134" s="159" t="s">
        <v>419</v>
      </c>
      <c r="F134" s="68" t="s">
        <v>420</v>
      </c>
      <c r="G134" s="69">
        <v>5632586</v>
      </c>
    </row>
    <row r="135" spans="2:7" ht="13.7" customHeight="1" x14ac:dyDescent="0.25">
      <c r="B135" s="6" t="s">
        <v>421</v>
      </c>
      <c r="C135" s="68" t="s">
        <v>422</v>
      </c>
      <c r="D135" s="69">
        <v>4336605</v>
      </c>
      <c r="E135" s="159" t="s">
        <v>423</v>
      </c>
      <c r="F135" s="68" t="s">
        <v>424</v>
      </c>
      <c r="G135" s="69"/>
    </row>
    <row r="136" spans="2:7" ht="13.7" customHeight="1" x14ac:dyDescent="0.25">
      <c r="B136" s="6" t="s">
        <v>425</v>
      </c>
      <c r="C136" s="68" t="s">
        <v>318</v>
      </c>
      <c r="D136" s="69">
        <v>19907232</v>
      </c>
      <c r="E136" s="159" t="s">
        <v>426</v>
      </c>
      <c r="F136" s="68" t="s">
        <v>427</v>
      </c>
      <c r="G136" s="69">
        <v>207260</v>
      </c>
    </row>
    <row r="137" spans="2:7" ht="13.7" customHeight="1" x14ac:dyDescent="0.25">
      <c r="B137" s="6" t="s">
        <v>428</v>
      </c>
      <c r="C137" s="19" t="s">
        <v>320</v>
      </c>
      <c r="D137" s="71">
        <f>210935+1303566</f>
        <v>1514501</v>
      </c>
      <c r="E137" s="159" t="s">
        <v>429</v>
      </c>
      <c r="F137" s="68" t="s">
        <v>430</v>
      </c>
      <c r="G137" s="69"/>
    </row>
    <row r="138" spans="2:7" ht="13.7" customHeight="1" thickBot="1" x14ac:dyDescent="0.3">
      <c r="B138" s="6"/>
      <c r="C138" s="161" t="s">
        <v>321</v>
      </c>
      <c r="D138" s="170">
        <f>SUM(D127:D137)</f>
        <v>37356185</v>
      </c>
      <c r="E138" s="159" t="s">
        <v>431</v>
      </c>
      <c r="F138" s="19" t="s">
        <v>432</v>
      </c>
      <c r="G138" s="20">
        <v>51897</v>
      </c>
    </row>
    <row r="139" spans="2:7" ht="13.7" customHeight="1" thickBot="1" x14ac:dyDescent="0.3">
      <c r="B139" s="6" t="s">
        <v>433</v>
      </c>
      <c r="C139" s="66" t="s">
        <v>327</v>
      </c>
      <c r="D139" s="312"/>
      <c r="E139" s="7"/>
      <c r="F139" s="161" t="s">
        <v>434</v>
      </c>
      <c r="G139" s="170">
        <f>SUM(G124:G138)</f>
        <v>7718906</v>
      </c>
    </row>
    <row r="140" spans="2:7" ht="13.7" customHeight="1" thickBot="1" x14ac:dyDescent="0.3">
      <c r="B140" s="6" t="s">
        <v>435</v>
      </c>
      <c r="C140" s="68" t="s">
        <v>329</v>
      </c>
      <c r="D140" s="311">
        <v>930473</v>
      </c>
      <c r="E140" s="7"/>
      <c r="F140" s="175" t="s">
        <v>436</v>
      </c>
      <c r="G140" s="186">
        <f>G123-G139</f>
        <v>-4340408</v>
      </c>
    </row>
    <row r="141" spans="2:7" ht="13.7" customHeight="1" x14ac:dyDescent="0.25">
      <c r="B141" s="6" t="s">
        <v>437</v>
      </c>
      <c r="C141" s="19" t="s">
        <v>331</v>
      </c>
      <c r="D141" s="69">
        <v>40290</v>
      </c>
      <c r="E141" s="73"/>
    </row>
    <row r="142" spans="2:7" ht="13.7" customHeight="1" thickBot="1" x14ac:dyDescent="0.3">
      <c r="B142" s="6"/>
      <c r="C142" s="161" t="s">
        <v>332</v>
      </c>
      <c r="D142" s="170">
        <f>SUM(D139:D141)</f>
        <v>970763</v>
      </c>
      <c r="E142" s="73"/>
    </row>
    <row r="143" spans="2:7" ht="13.7" customHeight="1" thickBot="1" x14ac:dyDescent="0.3">
      <c r="B143" s="6"/>
      <c r="C143" s="183" t="s">
        <v>438</v>
      </c>
      <c r="D143" s="187">
        <f>[18]Amortizaciones!D33</f>
        <v>753511</v>
      </c>
      <c r="E143" s="159"/>
      <c r="F143" s="175" t="s">
        <v>439</v>
      </c>
      <c r="G143" s="157">
        <f>+[18]E.S.P.!D6</f>
        <v>2020</v>
      </c>
    </row>
    <row r="144" spans="2:7" ht="13.7" customHeight="1" x14ac:dyDescent="0.25">
      <c r="B144" s="6" t="s">
        <v>440</v>
      </c>
      <c r="C144" s="66" t="s">
        <v>441</v>
      </c>
      <c r="D144" s="67">
        <v>1210629</v>
      </c>
      <c r="E144" s="159" t="s">
        <v>442</v>
      </c>
      <c r="F144" s="66" t="s">
        <v>443</v>
      </c>
      <c r="G144" s="67">
        <f>55039+11404629+1</f>
        <v>11459669</v>
      </c>
    </row>
    <row r="145" spans="2:7" ht="13.7" customHeight="1" x14ac:dyDescent="0.25">
      <c r="B145" s="6" t="s">
        <v>444</v>
      </c>
      <c r="C145" s="68" t="s">
        <v>445</v>
      </c>
      <c r="D145" s="69">
        <v>690104</v>
      </c>
      <c r="E145" s="159" t="s">
        <v>446</v>
      </c>
      <c r="F145" s="68" t="s">
        <v>447</v>
      </c>
      <c r="G145" s="69">
        <v>18775324</v>
      </c>
    </row>
    <row r="146" spans="2:7" ht="13.7" customHeight="1" x14ac:dyDescent="0.25">
      <c r="B146" s="6" t="s">
        <v>448</v>
      </c>
      <c r="C146" s="75" t="s">
        <v>449</v>
      </c>
      <c r="D146" s="69"/>
      <c r="E146" s="159" t="s">
        <v>450</v>
      </c>
      <c r="F146" s="68" t="s">
        <v>451</v>
      </c>
      <c r="G146" s="69">
        <v>5323379</v>
      </c>
    </row>
    <row r="147" spans="2:7" ht="13.7" customHeight="1" x14ac:dyDescent="0.25">
      <c r="B147" s="6" t="s">
        <v>452</v>
      </c>
      <c r="C147" s="19" t="s">
        <v>453</v>
      </c>
      <c r="D147" s="71">
        <v>65734</v>
      </c>
      <c r="E147" s="159" t="s">
        <v>454</v>
      </c>
      <c r="F147" s="68" t="s">
        <v>455</v>
      </c>
      <c r="G147" s="69"/>
    </row>
    <row r="148" spans="2:7" ht="13.7" customHeight="1" thickBot="1" x14ac:dyDescent="0.3">
      <c r="B148" s="6"/>
      <c r="C148" s="161" t="s">
        <v>456</v>
      </c>
      <c r="D148" s="170">
        <f>SUM(D144:D147)</f>
        <v>1966467</v>
      </c>
      <c r="E148" s="159" t="s">
        <v>457</v>
      </c>
      <c r="F148" s="68" t="s">
        <v>458</v>
      </c>
      <c r="G148" s="69"/>
    </row>
    <row r="149" spans="2:7" ht="13.7" customHeight="1" x14ac:dyDescent="0.25">
      <c r="B149" s="6" t="s">
        <v>459</v>
      </c>
      <c r="C149" s="66" t="s">
        <v>460</v>
      </c>
      <c r="D149" s="67"/>
      <c r="E149" s="159" t="s">
        <v>461</v>
      </c>
      <c r="F149" s="68" t="s">
        <v>462</v>
      </c>
      <c r="G149" s="69"/>
    </row>
    <row r="150" spans="2:7" ht="13.7" customHeight="1" x14ac:dyDescent="0.25">
      <c r="B150" s="6" t="s">
        <v>463</v>
      </c>
      <c r="C150" s="68" t="s">
        <v>464</v>
      </c>
      <c r="D150" s="69"/>
      <c r="E150" s="159" t="s">
        <v>465</v>
      </c>
      <c r="F150" s="68" t="s">
        <v>466</v>
      </c>
      <c r="G150" s="69"/>
    </row>
    <row r="151" spans="2:7" ht="13.7" customHeight="1" x14ac:dyDescent="0.25">
      <c r="B151" s="6" t="s">
        <v>467</v>
      </c>
      <c r="C151" s="19" t="s">
        <v>468</v>
      </c>
      <c r="D151" s="71"/>
      <c r="E151" s="159" t="s">
        <v>469</v>
      </c>
      <c r="F151" s="68" t="s">
        <v>470</v>
      </c>
      <c r="G151" s="69"/>
    </row>
    <row r="152" spans="2:7" ht="13.7" customHeight="1" thickBot="1" x14ac:dyDescent="0.3">
      <c r="B152" s="6"/>
      <c r="C152" s="161" t="s">
        <v>471</v>
      </c>
      <c r="D152" s="170">
        <f>SUM(D149:D151)</f>
        <v>0</v>
      </c>
      <c r="E152" s="159" t="s">
        <v>472</v>
      </c>
      <c r="F152" s="68" t="s">
        <v>473</v>
      </c>
      <c r="G152" s="69"/>
    </row>
    <row r="153" spans="2:7" ht="13.7" customHeight="1" thickBot="1" x14ac:dyDescent="0.3">
      <c r="B153" s="6"/>
      <c r="C153" s="175" t="s">
        <v>474</v>
      </c>
      <c r="D153" s="188">
        <f>D122+D126+D138+D142+D143+D148+D152</f>
        <v>154715517</v>
      </c>
      <c r="E153" s="159" t="s">
        <v>475</v>
      </c>
      <c r="F153" s="19" t="s">
        <v>476</v>
      </c>
      <c r="G153" s="20">
        <v>1323311</v>
      </c>
    </row>
    <row r="154" spans="2:7" ht="13.7" customHeight="1" thickBot="1" x14ac:dyDescent="0.3">
      <c r="B154" s="6"/>
      <c r="E154" s="159"/>
      <c r="F154" s="161" t="s">
        <v>477</v>
      </c>
      <c r="G154" s="170">
        <f>SUM(G144:G153)</f>
        <v>36881683</v>
      </c>
    </row>
    <row r="155" spans="2:7" ht="13.7" customHeight="1" thickBot="1" x14ac:dyDescent="0.3">
      <c r="B155" s="6"/>
      <c r="C155" s="154" t="s">
        <v>478</v>
      </c>
      <c r="D155" s="185">
        <f>G109-D153</f>
        <v>52550851</v>
      </c>
      <c r="E155" s="159" t="s">
        <v>479</v>
      </c>
      <c r="F155" s="66" t="s">
        <v>480</v>
      </c>
      <c r="G155" s="67"/>
    </row>
    <row r="156" spans="2:7" ht="13.7" customHeight="1" x14ac:dyDescent="0.25">
      <c r="E156" s="159" t="s">
        <v>481</v>
      </c>
      <c r="F156" s="68" t="s">
        <v>482</v>
      </c>
      <c r="G156" s="69">
        <v>978020</v>
      </c>
    </row>
    <row r="157" spans="2:7" ht="13.7" customHeight="1" x14ac:dyDescent="0.25">
      <c r="E157" s="159" t="s">
        <v>483</v>
      </c>
      <c r="F157" s="68" t="s">
        <v>484</v>
      </c>
      <c r="G157" s="69">
        <f>3795170+3332808</f>
        <v>7127978</v>
      </c>
    </row>
    <row r="158" spans="2:7" ht="13.7" customHeight="1" x14ac:dyDescent="0.25">
      <c r="E158" s="159" t="s">
        <v>485</v>
      </c>
      <c r="F158" s="68" t="s">
        <v>486</v>
      </c>
      <c r="G158" s="69"/>
    </row>
    <row r="159" spans="2:7" ht="13.7" customHeight="1" x14ac:dyDescent="0.25">
      <c r="E159" s="159" t="s">
        <v>487</v>
      </c>
      <c r="F159" s="68" t="s">
        <v>488</v>
      </c>
      <c r="G159" s="69"/>
    </row>
    <row r="160" spans="2:7" ht="13.7" customHeight="1" x14ac:dyDescent="0.25">
      <c r="E160" s="159" t="s">
        <v>489</v>
      </c>
      <c r="F160" s="68" t="s">
        <v>490</v>
      </c>
      <c r="G160" s="69"/>
    </row>
    <row r="161" spans="5:7" ht="13.7" customHeight="1" x14ac:dyDescent="0.25">
      <c r="E161" s="159" t="s">
        <v>491</v>
      </c>
      <c r="F161" s="68" t="s">
        <v>492</v>
      </c>
      <c r="G161" s="69"/>
    </row>
    <row r="162" spans="5:7" ht="13.7" customHeight="1" x14ac:dyDescent="0.25">
      <c r="E162" s="159" t="s">
        <v>493</v>
      </c>
      <c r="F162" s="68" t="s">
        <v>494</v>
      </c>
      <c r="G162" s="69"/>
    </row>
    <row r="163" spans="5:7" ht="13.7" customHeight="1" x14ac:dyDescent="0.25">
      <c r="E163" s="159" t="s">
        <v>495</v>
      </c>
      <c r="F163" s="68" t="s">
        <v>496</v>
      </c>
      <c r="G163" s="69"/>
    </row>
    <row r="164" spans="5:7" ht="13.7" customHeight="1" x14ac:dyDescent="0.25">
      <c r="E164" s="159" t="s">
        <v>497</v>
      </c>
      <c r="F164" s="68" t="s">
        <v>498</v>
      </c>
      <c r="G164" s="69"/>
    </row>
    <row r="165" spans="5:7" ht="13.7" customHeight="1" x14ac:dyDescent="0.25">
      <c r="E165" s="159" t="s">
        <v>499</v>
      </c>
      <c r="F165" s="68" t="s">
        <v>500</v>
      </c>
      <c r="G165" s="69">
        <v>17331745</v>
      </c>
    </row>
    <row r="166" spans="5:7" ht="13.7" customHeight="1" x14ac:dyDescent="0.25">
      <c r="E166" s="159" t="s">
        <v>501</v>
      </c>
      <c r="F166" s="68" t="s">
        <v>502</v>
      </c>
      <c r="G166" s="69">
        <f>305181+1206+86</f>
        <v>306473</v>
      </c>
    </row>
    <row r="167" spans="5:7" ht="13.7" customHeight="1" x14ac:dyDescent="0.25">
      <c r="E167" s="159" t="s">
        <v>503</v>
      </c>
      <c r="F167" s="19" t="s">
        <v>504</v>
      </c>
      <c r="G167" s="20">
        <v>255417</v>
      </c>
    </row>
    <row r="168" spans="5:7" ht="13.7" customHeight="1" thickBot="1" x14ac:dyDescent="0.3">
      <c r="E168" s="159"/>
      <c r="F168" s="161" t="s">
        <v>505</v>
      </c>
      <c r="G168" s="170">
        <f>SUM(G155:G167)</f>
        <v>25999633</v>
      </c>
    </row>
    <row r="169" spans="5:7" ht="13.7" customHeight="1" thickBot="1" x14ac:dyDescent="0.3">
      <c r="E169" s="159"/>
      <c r="F169" s="175" t="s">
        <v>506</v>
      </c>
      <c r="G169" s="186">
        <f>G154-G168</f>
        <v>10882050</v>
      </c>
    </row>
    <row r="170" spans="5:7" ht="13.7" customHeight="1" thickBot="1" x14ac:dyDescent="0.3">
      <c r="E170" s="159"/>
      <c r="F170" s="78"/>
      <c r="G170" s="78"/>
    </row>
    <row r="171" spans="5:7" ht="13.7" customHeight="1" thickBot="1" x14ac:dyDescent="0.3">
      <c r="E171" s="159"/>
      <c r="F171" s="154" t="s">
        <v>507</v>
      </c>
      <c r="G171" s="189"/>
    </row>
    <row r="172" spans="5:7" ht="13.7" customHeight="1" thickBot="1" x14ac:dyDescent="0.3">
      <c r="E172" s="159"/>
      <c r="F172" s="190"/>
      <c r="G172" s="191">
        <f>+D155+G140+G169</f>
        <v>59092493</v>
      </c>
    </row>
    <row r="173" spans="5:7" ht="13.7" customHeight="1" thickBot="1" x14ac:dyDescent="0.3">
      <c r="E173" s="159"/>
      <c r="F173" s="5"/>
      <c r="G173" s="5"/>
    </row>
    <row r="174" spans="5:7" ht="13.7" customHeight="1" thickBot="1" x14ac:dyDescent="0.3">
      <c r="E174" s="159"/>
      <c r="F174" s="175" t="s">
        <v>508</v>
      </c>
      <c r="G174" s="157">
        <f>+G143</f>
        <v>2020</v>
      </c>
    </row>
    <row r="175" spans="5:7" ht="13.7" customHeight="1" x14ac:dyDescent="0.25">
      <c r="E175" s="159"/>
      <c r="F175" s="66" t="s">
        <v>509</v>
      </c>
      <c r="G175" s="67"/>
    </row>
    <row r="176" spans="5:7" ht="13.7" customHeight="1" x14ac:dyDescent="0.25">
      <c r="E176" s="159"/>
      <c r="F176" s="68" t="s">
        <v>510</v>
      </c>
      <c r="G176" s="69"/>
    </row>
    <row r="177" spans="1:8" ht="13.7" customHeight="1" thickBot="1" x14ac:dyDescent="0.3">
      <c r="F177" s="68" t="s">
        <v>511</v>
      </c>
      <c r="G177" s="69"/>
    </row>
    <row r="178" spans="1:8" ht="13.7" customHeight="1" thickBot="1" x14ac:dyDescent="0.3">
      <c r="F178" s="175" t="s">
        <v>512</v>
      </c>
      <c r="G178" s="186">
        <f>SUM(G175:G177)</f>
        <v>0</v>
      </c>
    </row>
    <row r="179" spans="1:8" ht="13.7" customHeight="1" thickBot="1" x14ac:dyDescent="0.3"/>
    <row r="180" spans="1:8" ht="13.7" customHeight="1" thickBot="1" x14ac:dyDescent="0.3">
      <c r="F180" s="154" t="s">
        <v>513</v>
      </c>
      <c r="G180" s="189"/>
    </row>
    <row r="181" spans="1:8" ht="13.7" customHeight="1" thickBot="1" x14ac:dyDescent="0.3">
      <c r="F181" s="193"/>
      <c r="G181" s="191">
        <f>+G172+G178</f>
        <v>59092493</v>
      </c>
    </row>
    <row r="182" spans="1:8" ht="13.7" customHeight="1" x14ac:dyDescent="0.25"/>
    <row r="183" spans="1:8" ht="13.5" customHeight="1" x14ac:dyDescent="0.25"/>
    <row r="184" spans="1:8" ht="13.7" customHeight="1" x14ac:dyDescent="0.25">
      <c r="E184" s="194"/>
      <c r="F184" s="194"/>
      <c r="G184" s="194"/>
      <c r="H184" s="194"/>
    </row>
    <row r="185" spans="1:8" s="194" customFormat="1" ht="13.7" customHeight="1" x14ac:dyDescent="0.25">
      <c r="A185" s="195"/>
      <c r="E185" s="192"/>
      <c r="F185" s="51"/>
      <c r="G185" s="51"/>
    </row>
    <row r="186" spans="1:8" s="194" customFormat="1" ht="12.75" x14ac:dyDescent="0.25">
      <c r="A186" s="195"/>
      <c r="E186" s="192"/>
      <c r="F186" s="51"/>
      <c r="G186" s="51"/>
    </row>
    <row r="187" spans="1:8" s="194" customFormat="1" ht="12.75" hidden="1" x14ac:dyDescent="0.25">
      <c r="A187" s="195"/>
      <c r="E187" s="192"/>
      <c r="F187" s="51"/>
      <c r="G187" s="51"/>
    </row>
    <row r="188" spans="1:8" s="194" customFormat="1" ht="12.75" hidden="1" x14ac:dyDescent="0.25">
      <c r="A188" s="195"/>
      <c r="E188" s="192"/>
      <c r="F188" s="51"/>
      <c r="G188" s="51"/>
    </row>
    <row r="189" spans="1:8" s="194" customFormat="1" ht="12.75" hidden="1" x14ac:dyDescent="0.25">
      <c r="A189" s="195"/>
      <c r="E189" s="192"/>
      <c r="F189" s="51"/>
      <c r="G189" s="51"/>
    </row>
    <row r="190" spans="1:8" s="194" customFormat="1" ht="12.75" hidden="1" x14ac:dyDescent="0.25">
      <c r="A190" s="195"/>
      <c r="E190" s="192"/>
      <c r="F190" s="51"/>
      <c r="G190" s="51"/>
    </row>
    <row r="191" spans="1:8" s="194" customFormat="1" ht="12.75" hidden="1" x14ac:dyDescent="0.25">
      <c r="A191" s="195"/>
      <c r="E191" s="192"/>
      <c r="F191" s="51"/>
      <c r="G191" s="51"/>
    </row>
    <row r="192" spans="1:8" s="194" customFormat="1" ht="12.75" hidden="1" x14ac:dyDescent="0.25">
      <c r="A192" s="195"/>
      <c r="E192" s="192"/>
      <c r="F192" s="51"/>
      <c r="G192" s="51"/>
    </row>
    <row r="193" spans="5:7" s="194" customFormat="1" ht="12.75" hidden="1" x14ac:dyDescent="0.25">
      <c r="E193" s="192"/>
      <c r="F193" s="51"/>
      <c r="G193" s="51"/>
    </row>
    <row r="194" spans="5:7" s="194" customFormat="1" ht="12.75" hidden="1" x14ac:dyDescent="0.25">
      <c r="E194" s="192"/>
      <c r="F194" s="51"/>
      <c r="G194" s="51"/>
    </row>
    <row r="195" spans="5:7" s="194" customFormat="1" ht="12.75" hidden="1" x14ac:dyDescent="0.25">
      <c r="E195" s="192"/>
      <c r="F195" s="51"/>
      <c r="G195" s="51"/>
    </row>
    <row r="196" spans="5:7" s="194" customFormat="1" ht="12.75" hidden="1" x14ac:dyDescent="0.25">
      <c r="E196" s="192"/>
      <c r="F196" s="51"/>
      <c r="G196" s="51"/>
    </row>
    <row r="197" spans="5:7" s="194" customFormat="1" ht="12.75" hidden="1" x14ac:dyDescent="0.25">
      <c r="E197" s="192"/>
      <c r="F197" s="51"/>
      <c r="G197" s="51"/>
    </row>
    <row r="198" spans="5:7" s="194" customFormat="1" ht="12.75" hidden="1" x14ac:dyDescent="0.25">
      <c r="E198" s="192"/>
      <c r="F198" s="51"/>
      <c r="G198" s="51"/>
    </row>
    <row r="199" spans="5:7" s="194" customFormat="1" ht="12.75" hidden="1" x14ac:dyDescent="0.25">
      <c r="E199" s="192"/>
      <c r="F199" s="51"/>
      <c r="G199" s="51"/>
    </row>
    <row r="200" spans="5:7" s="194" customFormat="1" ht="12.75" hidden="1" x14ac:dyDescent="0.25">
      <c r="E200" s="192"/>
      <c r="F200" s="51"/>
      <c r="G200" s="51"/>
    </row>
    <row r="201" spans="5:7" s="194" customFormat="1" ht="12.75" hidden="1" x14ac:dyDescent="0.25">
      <c r="E201" s="192"/>
      <c r="F201" s="51"/>
      <c r="G201" s="51"/>
    </row>
    <row r="202" spans="5:7" s="194" customFormat="1" ht="12.75" hidden="1" x14ac:dyDescent="0.25">
      <c r="E202" s="192"/>
      <c r="F202" s="51"/>
      <c r="G202" s="51"/>
    </row>
    <row r="203" spans="5:7" s="194" customFormat="1" ht="12.75" hidden="1" x14ac:dyDescent="0.25">
      <c r="E203" s="192"/>
      <c r="F203" s="51"/>
      <c r="G203" s="51"/>
    </row>
    <row r="204" spans="5:7" s="194" customFormat="1" ht="12.75" hidden="1" x14ac:dyDescent="0.25">
      <c r="E204" s="192"/>
      <c r="F204" s="51"/>
      <c r="G204" s="51"/>
    </row>
    <row r="205" spans="5:7" s="194" customFormat="1" ht="12.75" hidden="1" x14ac:dyDescent="0.25">
      <c r="E205" s="192"/>
      <c r="F205" s="51"/>
      <c r="G205" s="51"/>
    </row>
    <row r="206" spans="5:7" s="194" customFormat="1" ht="12.75" hidden="1" x14ac:dyDescent="0.25">
      <c r="E206" s="192"/>
      <c r="F206" s="51"/>
      <c r="G206" s="51"/>
    </row>
    <row r="207" spans="5:7" s="194" customFormat="1" ht="12.75" hidden="1" x14ac:dyDescent="0.25">
      <c r="E207" s="192"/>
      <c r="F207" s="51"/>
      <c r="G207" s="51"/>
    </row>
    <row r="208" spans="5:7" s="194" customFormat="1" ht="12.75" hidden="1" x14ac:dyDescent="0.25">
      <c r="E208" s="192"/>
      <c r="F208" s="51"/>
      <c r="G208" s="51"/>
    </row>
    <row r="209" spans="3:8" s="194" customFormat="1" ht="12.75" hidden="1" x14ac:dyDescent="0.25">
      <c r="E209" s="192"/>
      <c r="F209" s="51"/>
      <c r="G209" s="51"/>
    </row>
    <row r="210" spans="3:8" s="194" customFormat="1" ht="12.75" hidden="1" x14ac:dyDescent="0.25">
      <c r="E210" s="192"/>
      <c r="F210" s="51"/>
      <c r="G210" s="51"/>
    </row>
    <row r="211" spans="3:8" s="194" customFormat="1" ht="12.75" hidden="1" x14ac:dyDescent="0.25">
      <c r="E211" s="192"/>
      <c r="F211" s="51"/>
      <c r="G211" s="51"/>
    </row>
    <row r="212" spans="3:8" s="194" customFormat="1" ht="12.75" hidden="1" x14ac:dyDescent="0.25">
      <c r="E212" s="192"/>
      <c r="F212" s="51"/>
      <c r="G212" s="51"/>
    </row>
    <row r="213" spans="3:8" s="194" customFormat="1" ht="12.75" hidden="1" x14ac:dyDescent="0.25">
      <c r="E213" s="192"/>
      <c r="F213" s="51"/>
      <c r="G213" s="51"/>
    </row>
    <row r="214" spans="3:8" s="194" customFormat="1" hidden="1" x14ac:dyDescent="0.25">
      <c r="E214" s="192"/>
      <c r="F214" s="196"/>
      <c r="G214" s="58"/>
      <c r="H214" s="5"/>
    </row>
    <row r="215" spans="3:8" hidden="1" x14ac:dyDescent="0.25">
      <c r="C215" s="51"/>
      <c r="D215" s="51"/>
      <c r="F215" s="196"/>
    </row>
    <row r="216" spans="3:8" hidden="1" x14ac:dyDescent="0.25"/>
    <row r="217" spans="3:8" hidden="1" x14ac:dyDescent="0.25"/>
    <row r="218" spans="3:8" hidden="1" x14ac:dyDescent="0.25"/>
    <row r="219" spans="3:8" hidden="1" x14ac:dyDescent="0.25"/>
    <row r="220" spans="3:8" hidden="1" x14ac:dyDescent="0.25"/>
    <row r="221" spans="3:8" hidden="1" x14ac:dyDescent="0.25"/>
    <row r="222" spans="3:8" hidden="1" x14ac:dyDescent="0.25"/>
    <row r="223" spans="3:8" hidden="1" x14ac:dyDescent="0.25"/>
    <row r="224" spans="3:8"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sheetData>
  <mergeCells count="6">
    <mergeCell ref="C1:D1"/>
    <mergeCell ref="E1:F1"/>
    <mergeCell ref="C2:D2"/>
    <mergeCell ref="E2:F2"/>
    <mergeCell ref="C3:D3"/>
    <mergeCell ref="E3:F3"/>
  </mergeCells>
  <conditionalFormatting sqref="D7:D12">
    <cfRule type="cellIs" dxfId="187" priority="2" stopIfTrue="1" operator="greaterThan">
      <formula>50</formula>
    </cfRule>
    <cfRule type="cellIs" dxfId="186" priority="11" stopIfTrue="1" operator="equal">
      <formula>0</formula>
    </cfRule>
  </conditionalFormatting>
  <conditionalFormatting sqref="D7:D61">
    <cfRule type="cellIs" dxfId="185" priority="9" stopIfTrue="1" operator="between">
      <formula>-0.1</formula>
      <formula>-50</formula>
    </cfRule>
    <cfRule type="cellIs" dxfId="184" priority="10" stopIfTrue="1" operator="between">
      <formula>0.1</formula>
      <formula>50</formula>
    </cfRule>
  </conditionalFormatting>
  <conditionalFormatting sqref="G152:G181 G7:G150">
    <cfRule type="cellIs" dxfId="183" priority="7" stopIfTrue="1" operator="between">
      <formula>-0.1</formula>
      <formula>-50</formula>
    </cfRule>
    <cfRule type="cellIs" dxfId="182" priority="8" stopIfTrue="1" operator="between">
      <formula>0.1</formula>
      <formula>50</formula>
    </cfRule>
  </conditionalFormatting>
  <conditionalFormatting sqref="D111:D155">
    <cfRule type="cellIs" dxfId="181" priority="5" stopIfTrue="1" operator="between">
      <formula>-0.1</formula>
      <formula>-50</formula>
    </cfRule>
    <cfRule type="cellIs" dxfId="180" priority="6" stopIfTrue="1" operator="between">
      <formula>0.1</formula>
      <formula>50</formula>
    </cfRule>
  </conditionalFormatting>
  <conditionalFormatting sqref="G165">
    <cfRule type="expression" dxfId="179" priority="4" stopIfTrue="1">
      <formula>AND($G$165&gt;0,$G$151&gt;0)</formula>
    </cfRule>
  </conditionalFormatting>
  <conditionalFormatting sqref="G151">
    <cfRule type="expression" dxfId="178" priority="1" stopIfTrue="1">
      <formula>AND($G$151&gt;0,$G$165&gt;0)</formula>
    </cfRule>
  </conditionalFormatting>
  <dataValidations count="11">
    <dataValidation type="custom" operator="greaterThan" showInputMessage="1" showErrorMessage="1" errorTitle="RDM" error="No se admite ingresar RDM como ingresos y egresos a la vez. Tampoco se admiten valores menores a $50._x000a_" sqref="G151">
      <formula1>AND(OR(G151=0, G151&gt;50),G165=0)</formula1>
    </dataValidation>
    <dataValidation type="whole" operator="greaterThan" allowBlank="1" showInputMessage="1" showErrorMessage="1" sqref="D8:D12">
      <formula1>50</formula1>
    </dataValidation>
    <dataValidation type="whole" operator="greaterThan" showInputMessage="1" showErrorMessage="1" errorTitle="eee" error="Valores mayores a $50" sqref="D7">
      <formula1>50</formula1>
    </dataValidation>
    <dataValidation type="custom" operator="greaterThan" showInputMessage="1" showErrorMessage="1" errorTitle="eee" sqref="D56">
      <formula1>OR(D56=0, D56&lt;50)</formula1>
    </dataValidation>
    <dataValidation type="custom" operator="greaterThan" showInputMessage="1" showErrorMessage="1" errorTitle="eee" sqref="D57:D61">
      <formula1>OR(D57=0, D57&lt;0)</formula1>
    </dataValidation>
    <dataValidation type="custom" operator="greaterThan" showInputMessage="1" showErrorMessage="1" errorTitle="eee" sqref="G7:G140 D62:D155 G152:G164 G166:G181 G144:G150 D13:D55">
      <formula1>OR(D7=0, D7&gt;50)</formula1>
    </dataValidation>
    <dataValidation type="whole" allowBlank="1" showErrorMessage="1" errorTitle="Error de datos" error="Debe ingresar un valor entre 1 y 12" sqref="G1:G3">
      <formula1>1</formula1>
      <formula2>12</formula2>
    </dataValidation>
    <dataValidation allowBlank="1" errorTitle="Error de datos" error="Debe introducir una fecha válida" sqref="E3"/>
    <dataValidation allowBlank="1" sqref="G204"/>
    <dataValidation operator="greaterThanOrEqual" allowBlank="1" errorTitle="Error de datos" error="Debe ingresar un valor entero positivo" sqref="F6:F107 F203 C13:C47 C106:C153 F171 F174:F178 F180 F111:F119 C7:C10 F121:F140 F143:F169 C49:C62 C155 F109"/>
    <dataValidation type="custom" operator="greaterThan" showInputMessage="1" showErrorMessage="1" errorTitle="rdm2" error="No se admite ingresar a la vez RDM como ingresos y como egresos. Tampoco se admiten valores negattivos o positivos menores de 50" sqref="G165">
      <formula1>AND(OR(G165=0, G165&gt;50),G151=0)</formula1>
    </dataValidation>
  </dataValidations>
  <pageMargins left="0.7" right="0.7" top="0.75" bottom="0.75" header="0.3" footer="0.3"/>
  <ignoredErrors>
    <ignoredError sqref="E7:E181" numberStoredAsText="1"/>
    <ignoredError sqref="D7:D19 D37 D116 D137 G144 G157:G166 G99" unlockedFormula="1"/>
    <ignoredError sqref="G40" formulaRange="1"/>
  </ignoredErrors>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26"/>
  <sheetViews>
    <sheetView showGridLines="0" workbookViewId="0">
      <selection activeCell="F4" sqref="F4"/>
    </sheetView>
  </sheetViews>
  <sheetFormatPr baseColWidth="10" defaultColWidth="0" defaultRowHeight="15" zeroHeight="1" x14ac:dyDescent="0.25"/>
  <cols>
    <col min="1" max="1" width="3.7109375" style="1" customWidth="1"/>
    <col min="2" max="2" width="14.28515625" style="7" hidden="1" customWidth="1"/>
    <col min="3" max="3" width="58.28515625" style="58" customWidth="1"/>
    <col min="4" max="4" width="25.140625" style="58" customWidth="1"/>
    <col min="5" max="5" width="5.85546875" style="82" customWidth="1"/>
    <col min="6" max="6" width="57.28515625" style="58" customWidth="1"/>
    <col min="7" max="7" width="24.7109375" style="58" customWidth="1"/>
    <col min="8" max="8" width="5.42578125" style="5" customWidth="1"/>
    <col min="9" max="16384" width="0" style="5" hidden="1"/>
  </cols>
  <sheetData>
    <row r="1" spans="1:9" ht="15.75" x14ac:dyDescent="0.25">
      <c r="B1" s="2"/>
      <c r="C1" s="313" t="s">
        <v>0</v>
      </c>
      <c r="D1" s="314"/>
      <c r="E1" s="315" t="str">
        <f>[2]Presentacion!C2</f>
        <v>Hosp. Evangelico</v>
      </c>
      <c r="F1" s="315"/>
      <c r="G1" s="3"/>
      <c r="H1" s="4"/>
    </row>
    <row r="2" spans="1:9" ht="15.75" x14ac:dyDescent="0.25">
      <c r="B2" s="6"/>
      <c r="C2" s="313" t="s">
        <v>1</v>
      </c>
      <c r="D2" s="314"/>
      <c r="E2" s="315" t="str">
        <f>[2]Presentacion!C3</f>
        <v>Montevideo</v>
      </c>
      <c r="F2" s="315"/>
      <c r="G2" s="3"/>
      <c r="H2" s="4"/>
    </row>
    <row r="3" spans="1:9" ht="15.75" x14ac:dyDescent="0.25">
      <c r="B3" s="6"/>
      <c r="C3" s="313" t="s">
        <v>2</v>
      </c>
      <c r="D3" s="316"/>
      <c r="E3" s="317" t="s">
        <v>3</v>
      </c>
      <c r="F3" s="317"/>
      <c r="G3" s="3"/>
      <c r="H3" s="4"/>
    </row>
    <row r="4" spans="1:9" ht="15.75" thickBot="1" x14ac:dyDescent="0.3">
      <c r="C4" s="287"/>
      <c r="D4" s="8"/>
      <c r="E4" s="9"/>
      <c r="F4" s="10"/>
      <c r="G4" s="11"/>
    </row>
    <row r="5" spans="1:9" ht="16.5" thickBot="1" x14ac:dyDescent="0.3">
      <c r="B5" s="12"/>
      <c r="C5" s="13" t="s">
        <v>4</v>
      </c>
      <c r="D5" s="284" t="s">
        <v>5</v>
      </c>
      <c r="E5" s="14"/>
      <c r="F5" s="13" t="s">
        <v>6</v>
      </c>
      <c r="G5" s="284" t="s">
        <v>5</v>
      </c>
      <c r="I5" s="15"/>
    </row>
    <row r="6" spans="1:9" ht="16.5" thickBot="1" x14ac:dyDescent="0.3">
      <c r="B6" s="12"/>
      <c r="C6" s="16" t="s">
        <v>7</v>
      </c>
      <c r="D6" s="290">
        <f>+[2]E.S.P.!D6</f>
        <v>2020</v>
      </c>
      <c r="E6" s="18"/>
      <c r="F6" s="16" t="s">
        <v>8</v>
      </c>
      <c r="G6" s="290">
        <f>+D6</f>
        <v>2020</v>
      </c>
      <c r="H6" s="15"/>
    </row>
    <row r="7" spans="1:9" x14ac:dyDescent="0.25">
      <c r="B7" s="6" t="s">
        <v>9</v>
      </c>
      <c r="C7" s="19" t="s">
        <v>10</v>
      </c>
      <c r="D7" s="20">
        <v>65035559</v>
      </c>
      <c r="E7" s="21" t="s">
        <v>11</v>
      </c>
      <c r="F7" s="22" t="s">
        <v>12</v>
      </c>
      <c r="G7" s="23">
        <v>9370310</v>
      </c>
    </row>
    <row r="8" spans="1:9" x14ac:dyDescent="0.25">
      <c r="B8" s="6" t="s">
        <v>13</v>
      </c>
      <c r="C8" s="19" t="s">
        <v>14</v>
      </c>
      <c r="D8" s="20">
        <v>10793628</v>
      </c>
      <c r="E8" s="21" t="s">
        <v>15</v>
      </c>
      <c r="F8" s="19" t="s">
        <v>16</v>
      </c>
      <c r="G8" s="24">
        <v>62314069</v>
      </c>
    </row>
    <row r="9" spans="1:9" x14ac:dyDescent="0.25">
      <c r="B9" s="6" t="s">
        <v>17</v>
      </c>
      <c r="C9" s="19" t="s">
        <v>18</v>
      </c>
      <c r="D9" s="20">
        <f>1787737588-77</f>
        <v>1787737511</v>
      </c>
      <c r="E9" s="21" t="s">
        <v>19</v>
      </c>
      <c r="F9" s="19" t="s">
        <v>20</v>
      </c>
      <c r="G9" s="20">
        <v>114832286</v>
      </c>
    </row>
    <row r="10" spans="1:9" x14ac:dyDescent="0.25">
      <c r="B10" s="6" t="s">
        <v>21</v>
      </c>
      <c r="C10" s="19" t="s">
        <v>22</v>
      </c>
      <c r="D10" s="20">
        <v>194909853</v>
      </c>
      <c r="E10" s="21" t="s">
        <v>23</v>
      </c>
      <c r="F10" s="19" t="s">
        <v>24</v>
      </c>
      <c r="G10" s="20">
        <v>322643905</v>
      </c>
    </row>
    <row r="11" spans="1:9" x14ac:dyDescent="0.25">
      <c r="B11" s="6" t="s">
        <v>25</v>
      </c>
      <c r="C11" s="19" t="s">
        <v>26</v>
      </c>
      <c r="D11" s="20">
        <v>38264382</v>
      </c>
      <c r="E11" s="21" t="s">
        <v>27</v>
      </c>
      <c r="F11" s="19" t="s">
        <v>28</v>
      </c>
      <c r="G11" s="20">
        <v>133315422</v>
      </c>
    </row>
    <row r="12" spans="1:9" x14ac:dyDescent="0.25">
      <c r="B12" s="6" t="s">
        <v>29</v>
      </c>
      <c r="C12" s="19" t="s">
        <v>30</v>
      </c>
      <c r="D12" s="20">
        <v>51153595</v>
      </c>
      <c r="E12" s="21" t="s">
        <v>31</v>
      </c>
      <c r="F12" s="19" t="s">
        <v>32</v>
      </c>
      <c r="G12" s="20">
        <v>42963613</v>
      </c>
    </row>
    <row r="13" spans="1:9" x14ac:dyDescent="0.25">
      <c r="B13" s="6" t="s">
        <v>33</v>
      </c>
      <c r="C13" s="19" t="s">
        <v>34</v>
      </c>
      <c r="D13" s="20"/>
      <c r="E13" s="21" t="s">
        <v>35</v>
      </c>
      <c r="F13" s="19" t="s">
        <v>36</v>
      </c>
      <c r="G13" s="20">
        <v>63862609</v>
      </c>
    </row>
    <row r="14" spans="1:9" x14ac:dyDescent="0.25">
      <c r="A14" s="25"/>
      <c r="B14" s="6" t="s">
        <v>37</v>
      </c>
      <c r="C14" s="19" t="s">
        <v>38</v>
      </c>
      <c r="D14" s="20"/>
      <c r="E14" s="21" t="s">
        <v>39</v>
      </c>
      <c r="F14" s="19" t="s">
        <v>40</v>
      </c>
      <c r="G14" s="20">
        <v>439490254</v>
      </c>
    </row>
    <row r="15" spans="1:9" x14ac:dyDescent="0.25">
      <c r="B15" s="6" t="s">
        <v>41</v>
      </c>
      <c r="C15" s="26" t="s">
        <v>42</v>
      </c>
      <c r="D15" s="20"/>
      <c r="E15" s="21" t="s">
        <v>43</v>
      </c>
      <c r="F15" s="19" t="s">
        <v>44</v>
      </c>
      <c r="G15" s="20">
        <v>263103152</v>
      </c>
    </row>
    <row r="16" spans="1:9" x14ac:dyDescent="0.25">
      <c r="B16" s="6" t="s">
        <v>45</v>
      </c>
      <c r="C16" s="19" t="s">
        <v>46</v>
      </c>
      <c r="D16" s="20"/>
      <c r="E16" s="21" t="s">
        <v>47</v>
      </c>
      <c r="F16" s="19" t="s">
        <v>48</v>
      </c>
      <c r="G16" s="20">
        <v>149880604</v>
      </c>
    </row>
    <row r="17" spans="1:7" x14ac:dyDescent="0.25">
      <c r="B17" s="6" t="s">
        <v>49</v>
      </c>
      <c r="C17" s="19" t="s">
        <v>50</v>
      </c>
      <c r="D17" s="20"/>
      <c r="E17" s="21" t="s">
        <v>51</v>
      </c>
      <c r="F17" s="19" t="s">
        <v>52</v>
      </c>
      <c r="G17" s="20"/>
    </row>
    <row r="18" spans="1:7" x14ac:dyDescent="0.25">
      <c r="A18" s="25"/>
      <c r="B18" s="6" t="s">
        <v>53</v>
      </c>
      <c r="C18" s="19" t="s">
        <v>54</v>
      </c>
      <c r="D18" s="20"/>
      <c r="E18" s="21" t="s">
        <v>55</v>
      </c>
      <c r="F18" s="19" t="s">
        <v>56</v>
      </c>
      <c r="G18" s="27">
        <v>69784854</v>
      </c>
    </row>
    <row r="19" spans="1:7" ht="15.75" thickBot="1" x14ac:dyDescent="0.3">
      <c r="A19" s="25"/>
      <c r="B19" s="6" t="s">
        <v>57</v>
      </c>
      <c r="C19" s="19" t="s">
        <v>58</v>
      </c>
      <c r="D19" s="20">
        <v>92224393</v>
      </c>
      <c r="E19" s="21"/>
      <c r="F19" s="28" t="s">
        <v>59</v>
      </c>
      <c r="G19" s="29">
        <f>SUM(G7:G18)</f>
        <v>1671561078</v>
      </c>
    </row>
    <row r="20" spans="1:7" ht="15.75" thickBot="1" x14ac:dyDescent="0.3">
      <c r="B20" s="6"/>
      <c r="C20" s="28" t="s">
        <v>60</v>
      </c>
      <c r="D20" s="29">
        <f>SUM(D7:D19)</f>
        <v>2240118921</v>
      </c>
      <c r="E20" s="21" t="s">
        <v>61</v>
      </c>
      <c r="F20" s="22" t="s">
        <v>62</v>
      </c>
      <c r="G20" s="23">
        <v>391569</v>
      </c>
    </row>
    <row r="21" spans="1:7" x14ac:dyDescent="0.25">
      <c r="B21" s="6"/>
      <c r="C21" s="30" t="s">
        <v>63</v>
      </c>
      <c r="D21" s="31">
        <f>SUM(D22:D28)</f>
        <v>31836927</v>
      </c>
      <c r="E21" s="21" t="s">
        <v>64</v>
      </c>
      <c r="F21" s="19" t="s">
        <v>65</v>
      </c>
      <c r="G21" s="20">
        <v>32270950</v>
      </c>
    </row>
    <row r="22" spans="1:7" x14ac:dyDescent="0.25">
      <c r="B22" s="6" t="s">
        <v>66</v>
      </c>
      <c r="C22" s="19" t="s">
        <v>67</v>
      </c>
      <c r="D22" s="20">
        <v>11555884</v>
      </c>
      <c r="E22" s="21" t="s">
        <v>68</v>
      </c>
      <c r="F22" s="19" t="s">
        <v>69</v>
      </c>
      <c r="G22" s="20">
        <f>4596142+153247</f>
        <v>4749389</v>
      </c>
    </row>
    <row r="23" spans="1:7" x14ac:dyDescent="0.25">
      <c r="B23" s="6" t="s">
        <v>70</v>
      </c>
      <c r="C23" s="19" t="s">
        <v>71</v>
      </c>
      <c r="D23" s="20">
        <v>8487737</v>
      </c>
      <c r="E23" s="21" t="s">
        <v>72</v>
      </c>
      <c r="F23" s="19" t="s">
        <v>73</v>
      </c>
      <c r="G23" s="20">
        <f>36427444+2784189</f>
        <v>39211633</v>
      </c>
    </row>
    <row r="24" spans="1:7" x14ac:dyDescent="0.25">
      <c r="B24" s="6" t="s">
        <v>74</v>
      </c>
      <c r="C24" s="19" t="s">
        <v>75</v>
      </c>
      <c r="D24" s="20">
        <v>9056238</v>
      </c>
      <c r="E24" s="21" t="s">
        <v>76</v>
      </c>
      <c r="F24" s="19" t="s">
        <v>77</v>
      </c>
      <c r="G24" s="20"/>
    </row>
    <row r="25" spans="1:7" x14ac:dyDescent="0.25">
      <c r="B25" s="6" t="s">
        <v>78</v>
      </c>
      <c r="C25" s="19" t="s">
        <v>79</v>
      </c>
      <c r="D25" s="20">
        <v>25884</v>
      </c>
      <c r="E25" s="21" t="s">
        <v>80</v>
      </c>
      <c r="F25" s="19" t="s">
        <v>81</v>
      </c>
      <c r="G25" s="20">
        <v>14191012</v>
      </c>
    </row>
    <row r="26" spans="1:7" x14ac:dyDescent="0.25">
      <c r="B26" s="6" t="s">
        <v>82</v>
      </c>
      <c r="C26" s="19" t="s">
        <v>83</v>
      </c>
      <c r="D26" s="20">
        <v>1145940</v>
      </c>
      <c r="E26" s="21" t="s">
        <v>84</v>
      </c>
      <c r="F26" s="19" t="s">
        <v>85</v>
      </c>
      <c r="G26" s="27">
        <v>3967115</v>
      </c>
    </row>
    <row r="27" spans="1:7" ht="15.75" thickBot="1" x14ac:dyDescent="0.3">
      <c r="B27" s="6" t="s">
        <v>86</v>
      </c>
      <c r="C27" s="19" t="s">
        <v>87</v>
      </c>
      <c r="D27" s="20">
        <v>138852</v>
      </c>
      <c r="E27" s="21"/>
      <c r="F27" s="28" t="s">
        <v>88</v>
      </c>
      <c r="G27" s="29">
        <f>SUM(G20:G26)</f>
        <v>94781668</v>
      </c>
    </row>
    <row r="28" spans="1:7" x14ac:dyDescent="0.25">
      <c r="B28" s="6" t="s">
        <v>89</v>
      </c>
      <c r="C28" s="19" t="s">
        <v>90</v>
      </c>
      <c r="D28" s="20">
        <v>1426392</v>
      </c>
      <c r="E28" s="21" t="s">
        <v>91</v>
      </c>
      <c r="F28" s="22" t="s">
        <v>92</v>
      </c>
      <c r="G28" s="23">
        <v>26911174</v>
      </c>
    </row>
    <row r="29" spans="1:7" x14ac:dyDescent="0.25">
      <c r="B29" s="6"/>
      <c r="C29" s="32" t="s">
        <v>93</v>
      </c>
      <c r="D29" s="31">
        <f>SUM(D30:D34)</f>
        <v>167229057</v>
      </c>
      <c r="E29" s="21" t="s">
        <v>94</v>
      </c>
      <c r="F29" s="19" t="s">
        <v>95</v>
      </c>
      <c r="G29" s="20">
        <v>60044772</v>
      </c>
    </row>
    <row r="30" spans="1:7" x14ac:dyDescent="0.25">
      <c r="B30" s="6" t="s">
        <v>96</v>
      </c>
      <c r="C30" s="19" t="s">
        <v>97</v>
      </c>
      <c r="D30" s="20">
        <v>108575031</v>
      </c>
      <c r="E30" s="21" t="s">
        <v>98</v>
      </c>
      <c r="F30" s="19" t="s">
        <v>99</v>
      </c>
      <c r="G30" s="20">
        <v>11844438</v>
      </c>
    </row>
    <row r="31" spans="1:7" x14ac:dyDescent="0.25">
      <c r="B31" s="6" t="s">
        <v>100</v>
      </c>
      <c r="C31" s="19" t="s">
        <v>101</v>
      </c>
      <c r="D31" s="20">
        <v>17692096</v>
      </c>
      <c r="E31" s="21" t="s">
        <v>102</v>
      </c>
      <c r="F31" s="19" t="s">
        <v>103</v>
      </c>
      <c r="G31" s="27">
        <v>4551793</v>
      </c>
    </row>
    <row r="32" spans="1:7" ht="15.75" thickBot="1" x14ac:dyDescent="0.3">
      <c r="B32" s="6" t="s">
        <v>104</v>
      </c>
      <c r="C32" s="19" t="s">
        <v>105</v>
      </c>
      <c r="D32" s="20">
        <v>22152679</v>
      </c>
      <c r="E32" s="21"/>
      <c r="F32" s="28" t="s">
        <v>106</v>
      </c>
      <c r="G32" s="29">
        <f>SUM(G28:G31)</f>
        <v>103352177</v>
      </c>
    </row>
    <row r="33" spans="2:7" x14ac:dyDescent="0.25">
      <c r="B33" s="6" t="s">
        <v>107</v>
      </c>
      <c r="C33" s="19" t="s">
        <v>108</v>
      </c>
      <c r="D33" s="20">
        <v>11843652</v>
      </c>
      <c r="E33" s="21"/>
      <c r="F33" s="32" t="s">
        <v>109</v>
      </c>
      <c r="G33" s="31">
        <f>SUM(G34:G39)</f>
        <v>244080639.47</v>
      </c>
    </row>
    <row r="34" spans="2:7" x14ac:dyDescent="0.25">
      <c r="B34" s="6" t="s">
        <v>110</v>
      </c>
      <c r="C34" s="19" t="s">
        <v>111</v>
      </c>
      <c r="D34" s="20">
        <v>6965599</v>
      </c>
      <c r="E34" s="21" t="s">
        <v>112</v>
      </c>
      <c r="F34" s="19" t="s">
        <v>113</v>
      </c>
      <c r="G34" s="20">
        <v>13244080</v>
      </c>
    </row>
    <row r="35" spans="2:7" ht="15.75" thickBot="1" x14ac:dyDescent="0.3">
      <c r="B35" s="6"/>
      <c r="C35" s="28" t="s">
        <v>114</v>
      </c>
      <c r="D35" s="29">
        <f>+D21+D29</f>
        <v>199065984</v>
      </c>
      <c r="E35" s="21" t="s">
        <v>115</v>
      </c>
      <c r="F35" s="19" t="s">
        <v>116</v>
      </c>
      <c r="G35" s="20">
        <v>9714945</v>
      </c>
    </row>
    <row r="36" spans="2:7" x14ac:dyDescent="0.25">
      <c r="B36" s="6" t="s">
        <v>117</v>
      </c>
      <c r="C36" s="19" t="s">
        <v>118</v>
      </c>
      <c r="D36" s="20">
        <f>56639515+28124212</f>
        <v>84763727</v>
      </c>
      <c r="E36" s="21" t="s">
        <v>119</v>
      </c>
      <c r="F36" s="19" t="s">
        <v>120</v>
      </c>
      <c r="G36" s="20">
        <v>5649560</v>
      </c>
    </row>
    <row r="37" spans="2:7" x14ac:dyDescent="0.25">
      <c r="B37" s="6" t="s">
        <v>121</v>
      </c>
      <c r="C37" s="19" t="s">
        <v>122</v>
      </c>
      <c r="D37" s="20">
        <v>23280498</v>
      </c>
      <c r="E37" s="21" t="s">
        <v>123</v>
      </c>
      <c r="F37" s="19" t="s">
        <v>124</v>
      </c>
      <c r="G37" s="20">
        <v>13872385</v>
      </c>
    </row>
    <row r="38" spans="2:7" x14ac:dyDescent="0.25">
      <c r="B38" s="6" t="s">
        <v>125</v>
      </c>
      <c r="C38" s="19" t="s">
        <v>126</v>
      </c>
      <c r="D38" s="20">
        <v>26366675</v>
      </c>
      <c r="E38" s="21" t="s">
        <v>127</v>
      </c>
      <c r="F38" s="19" t="s">
        <v>128</v>
      </c>
      <c r="G38" s="20">
        <v>33007154</v>
      </c>
    </row>
    <row r="39" spans="2:7" x14ac:dyDescent="0.25">
      <c r="B39" s="6" t="s">
        <v>129</v>
      </c>
      <c r="C39" s="19" t="s">
        <v>130</v>
      </c>
      <c r="D39" s="20">
        <v>32882000</v>
      </c>
      <c r="E39" s="21" t="s">
        <v>131</v>
      </c>
      <c r="F39" s="19" t="s">
        <v>132</v>
      </c>
      <c r="G39" s="20">
        <f>11782891+21755910+10859397+12723322+19518801+9516627+12029132+14317285+9718629+13370819+32999702.47</f>
        <v>168592515.47</v>
      </c>
    </row>
    <row r="40" spans="2:7" x14ac:dyDescent="0.25">
      <c r="B40" s="6" t="s">
        <v>133</v>
      </c>
      <c r="C40" s="19" t="s">
        <v>134</v>
      </c>
      <c r="D40" s="20">
        <v>58799633</v>
      </c>
      <c r="E40" s="21"/>
      <c r="F40" s="33" t="s">
        <v>135</v>
      </c>
      <c r="G40" s="34">
        <f>SUM(G41:G46)</f>
        <v>36957449.859999999</v>
      </c>
    </row>
    <row r="41" spans="2:7" x14ac:dyDescent="0.25">
      <c r="B41" s="6" t="s">
        <v>136</v>
      </c>
      <c r="C41" s="19" t="s">
        <v>137</v>
      </c>
      <c r="D41" s="20">
        <v>125342518</v>
      </c>
      <c r="E41" s="21" t="s">
        <v>138</v>
      </c>
      <c r="F41" s="19" t="s">
        <v>139</v>
      </c>
      <c r="G41" s="20">
        <v>1489024</v>
      </c>
    </row>
    <row r="42" spans="2:7" x14ac:dyDescent="0.25">
      <c r="B42" s="6" t="s">
        <v>140</v>
      </c>
      <c r="C42" s="19" t="s">
        <v>141</v>
      </c>
      <c r="D42" s="20">
        <f>25430280+259581+13697588+21537041</f>
        <v>60924490</v>
      </c>
      <c r="E42" s="21" t="s">
        <v>142</v>
      </c>
      <c r="F42" s="19" t="s">
        <v>143</v>
      </c>
      <c r="G42" s="20">
        <v>159689</v>
      </c>
    </row>
    <row r="43" spans="2:7" x14ac:dyDescent="0.25">
      <c r="B43" s="6" t="s">
        <v>144</v>
      </c>
      <c r="C43" s="19" t="s">
        <v>145</v>
      </c>
      <c r="D43" s="20">
        <v>3350281</v>
      </c>
      <c r="E43" s="21" t="s">
        <v>146</v>
      </c>
      <c r="F43" s="19" t="s">
        <v>147</v>
      </c>
      <c r="G43" s="20">
        <v>15500560</v>
      </c>
    </row>
    <row r="44" spans="2:7" x14ac:dyDescent="0.25">
      <c r="B44" s="6" t="s">
        <v>148</v>
      </c>
      <c r="C44" s="19" t="s">
        <v>149</v>
      </c>
      <c r="D44" s="20">
        <v>93489</v>
      </c>
      <c r="E44" s="21" t="s">
        <v>150</v>
      </c>
      <c r="F44" s="19" t="s">
        <v>151</v>
      </c>
      <c r="G44" s="20">
        <v>1050910</v>
      </c>
    </row>
    <row r="45" spans="2:7" x14ac:dyDescent="0.25">
      <c r="B45" s="6" t="s">
        <v>152</v>
      </c>
      <c r="C45" s="19" t="s">
        <v>153</v>
      </c>
      <c r="D45" s="20">
        <f>23469+45772978+9932528+127511</f>
        <v>55856486</v>
      </c>
      <c r="E45" s="21" t="s">
        <v>154</v>
      </c>
      <c r="F45" s="19" t="s">
        <v>155</v>
      </c>
      <c r="G45" s="20">
        <v>9893761</v>
      </c>
    </row>
    <row r="46" spans="2:7" x14ac:dyDescent="0.25">
      <c r="B46" s="6" t="s">
        <v>156</v>
      </c>
      <c r="C46" s="19" t="s">
        <v>157</v>
      </c>
      <c r="D46" s="20">
        <f>19007822+1175288+4691</f>
        <v>20187801</v>
      </c>
      <c r="E46" s="21" t="s">
        <v>158</v>
      </c>
      <c r="F46" s="19" t="s">
        <v>159</v>
      </c>
      <c r="G46" s="20">
        <f>5273828.23+299147.86+318607.34+88091.34+608121.6+899841.66+8037.96+241890.22+369639.12+684423.99+71876.54</f>
        <v>8863505.8599999994</v>
      </c>
    </row>
    <row r="47" spans="2:7" ht="15.75" thickBot="1" x14ac:dyDescent="0.3">
      <c r="B47" s="6"/>
      <c r="C47" s="28" t="s">
        <v>160</v>
      </c>
      <c r="D47" s="29">
        <f>SUM(D36:D46)</f>
        <v>491847598</v>
      </c>
      <c r="E47" s="21" t="s">
        <v>161</v>
      </c>
      <c r="F47" s="19" t="s">
        <v>162</v>
      </c>
      <c r="G47" s="27">
        <v>11617360</v>
      </c>
    </row>
    <row r="48" spans="2:7" ht="15.75" thickBot="1" x14ac:dyDescent="0.3">
      <c r="B48" s="6"/>
      <c r="C48" s="35" t="s">
        <v>163</v>
      </c>
      <c r="D48" s="36"/>
      <c r="E48" s="21"/>
      <c r="F48" s="28" t="s">
        <v>164</v>
      </c>
      <c r="G48" s="37">
        <f>+G33+G40+G47</f>
        <v>292655449.32999998</v>
      </c>
    </row>
    <row r="49" spans="2:7" x14ac:dyDescent="0.25">
      <c r="B49" s="6" t="s">
        <v>165</v>
      </c>
      <c r="C49" s="38" t="s">
        <v>166</v>
      </c>
      <c r="D49" s="39"/>
      <c r="E49" s="21" t="s">
        <v>167</v>
      </c>
      <c r="F49" s="22" t="s">
        <v>168</v>
      </c>
      <c r="G49" s="23">
        <v>175000</v>
      </c>
    </row>
    <row r="50" spans="2:7" x14ac:dyDescent="0.25">
      <c r="B50" s="6" t="s">
        <v>169</v>
      </c>
      <c r="C50" s="19" t="s">
        <v>163</v>
      </c>
      <c r="D50" s="20"/>
      <c r="E50" s="21" t="s">
        <v>170</v>
      </c>
      <c r="F50" s="19" t="s">
        <v>171</v>
      </c>
      <c r="G50" s="20">
        <v>63850961</v>
      </c>
    </row>
    <row r="51" spans="2:7" x14ac:dyDescent="0.25">
      <c r="B51" s="6" t="s">
        <v>172</v>
      </c>
      <c r="C51" s="19" t="s">
        <v>173</v>
      </c>
      <c r="D51" s="27"/>
      <c r="E51" s="21" t="s">
        <v>174</v>
      </c>
      <c r="F51" s="19" t="s">
        <v>175</v>
      </c>
      <c r="G51" s="20">
        <v>1900400</v>
      </c>
    </row>
    <row r="52" spans="2:7" ht="15.75" thickBot="1" x14ac:dyDescent="0.3">
      <c r="B52" s="12"/>
      <c r="C52" s="28" t="s">
        <v>176</v>
      </c>
      <c r="D52" s="29">
        <f>SUM(D49:D51)</f>
        <v>0</v>
      </c>
      <c r="E52" s="21" t="s">
        <v>177</v>
      </c>
      <c r="F52" s="19" t="s">
        <v>178</v>
      </c>
      <c r="G52" s="20">
        <v>2127736</v>
      </c>
    </row>
    <row r="53" spans="2:7" ht="15.75" thickBot="1" x14ac:dyDescent="0.3">
      <c r="B53" s="6"/>
      <c r="C53" s="40" t="s">
        <v>179</v>
      </c>
      <c r="D53" s="41">
        <f>D20+D35+D47+D52</f>
        <v>2931032503</v>
      </c>
      <c r="E53" s="21" t="s">
        <v>180</v>
      </c>
      <c r="F53" s="19" t="s">
        <v>181</v>
      </c>
      <c r="G53" s="20">
        <v>16968943</v>
      </c>
    </row>
    <row r="54" spans="2:7" x14ac:dyDescent="0.25">
      <c r="C54" s="42"/>
      <c r="D54" s="43"/>
      <c r="E54" s="21" t="s">
        <v>182</v>
      </c>
      <c r="F54" s="19" t="s">
        <v>183</v>
      </c>
      <c r="G54" s="20">
        <v>2741771</v>
      </c>
    </row>
    <row r="55" spans="2:7" x14ac:dyDescent="0.25">
      <c r="C55" s="44" t="s">
        <v>184</v>
      </c>
      <c r="D55" s="45"/>
      <c r="E55" s="21" t="s">
        <v>185</v>
      </c>
      <c r="F55" s="19" t="s">
        <v>186</v>
      </c>
      <c r="G55" s="20">
        <v>1550736</v>
      </c>
    </row>
    <row r="56" spans="2:7" x14ac:dyDescent="0.25">
      <c r="B56" s="6" t="s">
        <v>187</v>
      </c>
      <c r="C56" s="46" t="s">
        <v>188</v>
      </c>
      <c r="D56" s="20"/>
      <c r="E56" s="21" t="s">
        <v>189</v>
      </c>
      <c r="F56" s="19" t="s">
        <v>190</v>
      </c>
      <c r="G56" s="27">
        <v>3479445</v>
      </c>
    </row>
    <row r="57" spans="2:7" ht="15.75" thickBot="1" x14ac:dyDescent="0.3">
      <c r="B57" s="6" t="s">
        <v>191</v>
      </c>
      <c r="C57" s="46" t="s">
        <v>192</v>
      </c>
      <c r="D57" s="20"/>
      <c r="E57" s="21"/>
      <c r="F57" s="28" t="s">
        <v>193</v>
      </c>
      <c r="G57" s="29">
        <f>SUM(G49:G56)</f>
        <v>92794992</v>
      </c>
    </row>
    <row r="58" spans="2:7" x14ac:dyDescent="0.25">
      <c r="B58" s="6" t="s">
        <v>194</v>
      </c>
      <c r="C58" s="46" t="s">
        <v>195</v>
      </c>
      <c r="D58" s="20"/>
      <c r="E58" s="21" t="s">
        <v>196</v>
      </c>
      <c r="F58" s="22" t="s">
        <v>197</v>
      </c>
      <c r="G58" s="23">
        <v>121963575</v>
      </c>
    </row>
    <row r="59" spans="2:7" x14ac:dyDescent="0.25">
      <c r="B59" s="6" t="s">
        <v>198</v>
      </c>
      <c r="C59" s="19" t="s">
        <v>199</v>
      </c>
      <c r="D59" s="27"/>
      <c r="E59" s="21" t="s">
        <v>200</v>
      </c>
      <c r="F59" s="19" t="s">
        <v>201</v>
      </c>
      <c r="G59" s="20">
        <v>15375509</v>
      </c>
    </row>
    <row r="60" spans="2:7" ht="15.75" thickBot="1" x14ac:dyDescent="0.3">
      <c r="B60" s="6"/>
      <c r="C60" s="28" t="s">
        <v>202</v>
      </c>
      <c r="D60" s="29">
        <f>SUM(D56:D59)</f>
        <v>0</v>
      </c>
      <c r="E60" s="21" t="s">
        <v>203</v>
      </c>
      <c r="F60" s="19" t="s">
        <v>204</v>
      </c>
      <c r="G60" s="20">
        <v>331303</v>
      </c>
    </row>
    <row r="61" spans="2:7" ht="16.5" thickBot="1" x14ac:dyDescent="0.3">
      <c r="B61" s="47"/>
      <c r="C61" s="48" t="s">
        <v>205</v>
      </c>
      <c r="D61" s="49">
        <f>D53+D60</f>
        <v>2931032503</v>
      </c>
      <c r="E61" s="21" t="s">
        <v>206</v>
      </c>
      <c r="F61" s="19" t="s">
        <v>207</v>
      </c>
      <c r="G61" s="20"/>
    </row>
    <row r="62" spans="2:7" x14ac:dyDescent="0.25">
      <c r="B62" s="50"/>
      <c r="C62" s="51"/>
      <c r="D62" s="51"/>
      <c r="E62" s="21" t="s">
        <v>208</v>
      </c>
      <c r="F62" s="19" t="s">
        <v>209</v>
      </c>
      <c r="G62" s="20"/>
    </row>
    <row r="63" spans="2:7" x14ac:dyDescent="0.25">
      <c r="B63" s="52"/>
      <c r="C63" s="53" t="s">
        <v>8</v>
      </c>
      <c r="D63" s="53"/>
      <c r="E63" s="21" t="s">
        <v>210</v>
      </c>
      <c r="F63" s="19" t="s">
        <v>211</v>
      </c>
      <c r="G63" s="20">
        <v>104071466</v>
      </c>
    </row>
    <row r="64" spans="2:7" x14ac:dyDescent="0.25">
      <c r="B64" s="54" t="s">
        <v>212</v>
      </c>
      <c r="C64" s="55" t="s">
        <v>213</v>
      </c>
      <c r="D64" s="55">
        <f>[2]Amortizaciones!D6</f>
        <v>10468924</v>
      </c>
      <c r="E64" s="21" t="s">
        <v>214</v>
      </c>
      <c r="F64" s="19" t="s">
        <v>215</v>
      </c>
      <c r="G64" s="20">
        <v>15954191</v>
      </c>
    </row>
    <row r="65" spans="2:7" x14ac:dyDescent="0.25">
      <c r="B65" s="54" t="s">
        <v>216</v>
      </c>
      <c r="C65" s="55" t="s">
        <v>217</v>
      </c>
      <c r="D65" s="55">
        <f>[2]Amortizaciones!D7</f>
        <v>0</v>
      </c>
      <c r="E65" s="21" t="s">
        <v>218</v>
      </c>
      <c r="F65" s="19" t="s">
        <v>219</v>
      </c>
      <c r="G65" s="20">
        <v>1901707</v>
      </c>
    </row>
    <row r="66" spans="2:7" x14ac:dyDescent="0.25">
      <c r="B66" s="54" t="s">
        <v>220</v>
      </c>
      <c r="C66" s="55" t="s">
        <v>221</v>
      </c>
      <c r="D66" s="55">
        <f>[2]Amortizaciones!D8</f>
        <v>4609198</v>
      </c>
      <c r="E66" s="21" t="s">
        <v>222</v>
      </c>
      <c r="F66" s="19" t="s">
        <v>223</v>
      </c>
      <c r="G66" s="20">
        <v>17590910</v>
      </c>
    </row>
    <row r="67" spans="2:7" x14ac:dyDescent="0.25">
      <c r="B67" s="54" t="s">
        <v>224</v>
      </c>
      <c r="C67" s="55" t="s">
        <v>225</v>
      </c>
      <c r="D67" s="55">
        <f>[2]Amortizaciones!D9</f>
        <v>45520</v>
      </c>
      <c r="E67" s="21" t="s">
        <v>226</v>
      </c>
      <c r="F67" s="19" t="s">
        <v>227</v>
      </c>
      <c r="G67" s="20">
        <v>8735237</v>
      </c>
    </row>
    <row r="68" spans="2:7" x14ac:dyDescent="0.25">
      <c r="B68" s="54" t="s">
        <v>228</v>
      </c>
      <c r="C68" s="55" t="s">
        <v>229</v>
      </c>
      <c r="D68" s="55">
        <f>[2]Amortizaciones!D10</f>
        <v>995004</v>
      </c>
      <c r="E68" s="21" t="s">
        <v>230</v>
      </c>
      <c r="F68" s="19" t="s">
        <v>231</v>
      </c>
      <c r="G68" s="20">
        <v>1375586</v>
      </c>
    </row>
    <row r="69" spans="2:7" x14ac:dyDescent="0.25">
      <c r="B69" s="54" t="s">
        <v>232</v>
      </c>
      <c r="C69" s="55" t="s">
        <v>233</v>
      </c>
      <c r="D69" s="55">
        <f>[2]Amortizaciones!D11</f>
        <v>595110</v>
      </c>
      <c r="E69" s="21" t="s">
        <v>234</v>
      </c>
      <c r="F69" s="19" t="s">
        <v>235</v>
      </c>
      <c r="G69" s="20">
        <v>848067</v>
      </c>
    </row>
    <row r="70" spans="2:7" x14ac:dyDescent="0.25">
      <c r="B70" s="54" t="s">
        <v>236</v>
      </c>
      <c r="C70" s="55" t="s">
        <v>237</v>
      </c>
      <c r="D70" s="55">
        <f>[2]Amortizaciones!D12</f>
        <v>0</v>
      </c>
      <c r="E70" s="21" t="s">
        <v>238</v>
      </c>
      <c r="F70" s="19" t="s">
        <v>239</v>
      </c>
      <c r="G70" s="20">
        <v>15075740</v>
      </c>
    </row>
    <row r="71" spans="2:7" x14ac:dyDescent="0.25">
      <c r="B71" s="54" t="s">
        <v>240</v>
      </c>
      <c r="C71" s="55" t="s">
        <v>241</v>
      </c>
      <c r="D71" s="55">
        <f>[2]Amortizaciones!D13</f>
        <v>0</v>
      </c>
      <c r="E71" s="21" t="s">
        <v>242</v>
      </c>
      <c r="F71" s="19" t="s">
        <v>243</v>
      </c>
      <c r="G71" s="20"/>
    </row>
    <row r="72" spans="2:7" x14ac:dyDescent="0.25">
      <c r="B72" s="54" t="s">
        <v>244</v>
      </c>
      <c r="C72" s="55" t="s">
        <v>245</v>
      </c>
      <c r="D72" s="55">
        <f>[2]Amortizaciones!D14</f>
        <v>3319844</v>
      </c>
      <c r="E72" s="21" t="s">
        <v>246</v>
      </c>
      <c r="F72" s="19" t="s">
        <v>247</v>
      </c>
      <c r="G72" s="20">
        <v>4762120</v>
      </c>
    </row>
    <row r="73" spans="2:7" x14ac:dyDescent="0.25">
      <c r="B73" s="54" t="s">
        <v>248</v>
      </c>
      <c r="C73" s="55" t="s">
        <v>249</v>
      </c>
      <c r="D73" s="55">
        <f>[2]Amortizaciones!D15</f>
        <v>0</v>
      </c>
      <c r="E73" s="21" t="s">
        <v>250</v>
      </c>
      <c r="F73" s="19" t="s">
        <v>251</v>
      </c>
      <c r="G73" s="20"/>
    </row>
    <row r="74" spans="2:7" x14ac:dyDescent="0.25">
      <c r="B74" s="54" t="s">
        <v>252</v>
      </c>
      <c r="C74" s="55" t="s">
        <v>253</v>
      </c>
      <c r="D74" s="55">
        <f>[2]Amortizaciones!D16</f>
        <v>7720676</v>
      </c>
      <c r="E74" s="21" t="s">
        <v>254</v>
      </c>
      <c r="F74" s="19" t="s">
        <v>255</v>
      </c>
      <c r="G74" s="20">
        <v>4781442</v>
      </c>
    </row>
    <row r="75" spans="2:7" x14ac:dyDescent="0.25">
      <c r="B75" s="54" t="s">
        <v>256</v>
      </c>
      <c r="C75" s="55" t="s">
        <v>257</v>
      </c>
      <c r="D75" s="55">
        <f>[2]Amortizaciones!D17</f>
        <v>0</v>
      </c>
      <c r="E75" s="21" t="s">
        <v>258</v>
      </c>
      <c r="F75" s="19" t="s">
        <v>259</v>
      </c>
      <c r="G75" s="20">
        <v>5613989</v>
      </c>
    </row>
    <row r="76" spans="2:7" x14ac:dyDescent="0.25">
      <c r="B76" s="54" t="s">
        <v>260</v>
      </c>
      <c r="C76" s="55" t="s">
        <v>261</v>
      </c>
      <c r="D76" s="55">
        <f>[2]Amortizaciones!D18</f>
        <v>0</v>
      </c>
      <c r="E76" s="21" t="s">
        <v>262</v>
      </c>
      <c r="F76" s="19" t="s">
        <v>263</v>
      </c>
      <c r="G76" s="20">
        <v>25645859</v>
      </c>
    </row>
    <row r="77" spans="2:7" x14ac:dyDescent="0.25">
      <c r="B77" s="54" t="s">
        <v>264</v>
      </c>
      <c r="C77" s="55" t="s">
        <v>265</v>
      </c>
      <c r="D77" s="55">
        <f>SUM(D64:D76)</f>
        <v>27754276</v>
      </c>
      <c r="E77" s="21" t="s">
        <v>266</v>
      </c>
      <c r="F77" s="19" t="s">
        <v>267</v>
      </c>
      <c r="G77" s="20">
        <f>1016055+40287451</f>
        <v>41303506</v>
      </c>
    </row>
    <row r="78" spans="2:7" x14ac:dyDescent="0.25">
      <c r="B78" s="54"/>
      <c r="C78" s="55"/>
      <c r="D78" s="55"/>
      <c r="E78" s="21" t="s">
        <v>268</v>
      </c>
      <c r="F78" s="19" t="s">
        <v>269</v>
      </c>
      <c r="G78" s="27">
        <v>16626107</v>
      </c>
    </row>
    <row r="79" spans="2:7" ht="15.75" thickBot="1" x14ac:dyDescent="0.3">
      <c r="B79" s="54"/>
      <c r="C79" s="53" t="s">
        <v>270</v>
      </c>
      <c r="D79" s="56"/>
      <c r="E79" s="21"/>
      <c r="F79" s="28" t="s">
        <v>271</v>
      </c>
      <c r="G79" s="29">
        <f>SUM(G58:G78)</f>
        <v>401956314</v>
      </c>
    </row>
    <row r="80" spans="2:7" x14ac:dyDescent="0.25">
      <c r="B80" s="54" t="s">
        <v>272</v>
      </c>
      <c r="C80" s="55" t="s">
        <v>237</v>
      </c>
      <c r="D80" s="55">
        <f>[2]Amortizaciones!D22</f>
        <v>3383033</v>
      </c>
      <c r="E80" s="21" t="s">
        <v>273</v>
      </c>
      <c r="F80" s="22" t="s">
        <v>274</v>
      </c>
      <c r="G80" s="23">
        <v>190060</v>
      </c>
    </row>
    <row r="81" spans="2:7" x14ac:dyDescent="0.25">
      <c r="B81" s="54" t="s">
        <v>275</v>
      </c>
      <c r="C81" s="55" t="s">
        <v>241</v>
      </c>
      <c r="D81" s="55">
        <f>[2]Amortizaciones!D23</f>
        <v>311355</v>
      </c>
      <c r="E81" s="21" t="s">
        <v>276</v>
      </c>
      <c r="F81" s="19" t="s">
        <v>277</v>
      </c>
      <c r="G81" s="20">
        <v>7570767</v>
      </c>
    </row>
    <row r="82" spans="2:7" x14ac:dyDescent="0.25">
      <c r="B82" s="54" t="s">
        <v>278</v>
      </c>
      <c r="C82" s="55" t="s">
        <v>245</v>
      </c>
      <c r="D82" s="55">
        <f>[2]Amortizaciones!D24</f>
        <v>0</v>
      </c>
      <c r="E82" s="21" t="s">
        <v>279</v>
      </c>
      <c r="F82" s="19" t="s">
        <v>280</v>
      </c>
      <c r="G82" s="20">
        <v>4888935</v>
      </c>
    </row>
    <row r="83" spans="2:7" x14ac:dyDescent="0.25">
      <c r="B83" s="54" t="s">
        <v>281</v>
      </c>
      <c r="C83" s="55" t="s">
        <v>249</v>
      </c>
      <c r="D83" s="55">
        <f>[2]Amortizaciones!D25</f>
        <v>0</v>
      </c>
      <c r="E83" s="21" t="s">
        <v>282</v>
      </c>
      <c r="F83" s="19" t="s">
        <v>283</v>
      </c>
      <c r="G83" s="20">
        <v>2927170</v>
      </c>
    </row>
    <row r="84" spans="2:7" x14ac:dyDescent="0.25">
      <c r="B84" s="54" t="s">
        <v>284</v>
      </c>
      <c r="C84" s="55" t="s">
        <v>285</v>
      </c>
      <c r="D84" s="55">
        <v>0</v>
      </c>
      <c r="E84" s="21" t="s">
        <v>286</v>
      </c>
      <c r="F84" s="19" t="s">
        <v>287</v>
      </c>
      <c r="G84" s="20">
        <v>10473600</v>
      </c>
    </row>
    <row r="85" spans="2:7" x14ac:dyDescent="0.25">
      <c r="B85" s="54" t="s">
        <v>288</v>
      </c>
      <c r="C85" s="55" t="s">
        <v>289</v>
      </c>
      <c r="D85" s="55">
        <f>[2]Amortizaciones!D27</f>
        <v>0</v>
      </c>
      <c r="E85" s="21" t="s">
        <v>290</v>
      </c>
      <c r="F85" s="19" t="s">
        <v>291</v>
      </c>
      <c r="G85" s="20">
        <v>3315698</v>
      </c>
    </row>
    <row r="86" spans="2:7" x14ac:dyDescent="0.25">
      <c r="B86" s="54" t="s">
        <v>292</v>
      </c>
      <c r="C86" s="55" t="s">
        <v>293</v>
      </c>
      <c r="D86" s="55">
        <f>[2]Amortizaciones!D28</f>
        <v>0</v>
      </c>
      <c r="E86" s="21" t="s">
        <v>294</v>
      </c>
      <c r="F86" s="19" t="s">
        <v>295</v>
      </c>
      <c r="G86" s="20">
        <v>808532</v>
      </c>
    </row>
    <row r="87" spans="2:7" x14ac:dyDescent="0.25">
      <c r="B87" s="54" t="s">
        <v>296</v>
      </c>
      <c r="C87" s="55" t="s">
        <v>297</v>
      </c>
      <c r="D87" s="55">
        <f>[2]Amortizaciones!D29</f>
        <v>0</v>
      </c>
      <c r="E87" s="21" t="s">
        <v>298</v>
      </c>
      <c r="F87" s="19" t="s">
        <v>299</v>
      </c>
      <c r="G87" s="20">
        <v>15274762</v>
      </c>
    </row>
    <row r="88" spans="2:7" x14ac:dyDescent="0.25">
      <c r="B88" s="54" t="s">
        <v>300</v>
      </c>
      <c r="C88" s="55" t="s">
        <v>301</v>
      </c>
      <c r="D88" s="55">
        <f>[2]Amortizaciones!D30</f>
        <v>0</v>
      </c>
      <c r="E88" s="21" t="s">
        <v>302</v>
      </c>
      <c r="F88" s="19" t="s">
        <v>303</v>
      </c>
      <c r="G88" s="20">
        <v>21152</v>
      </c>
    </row>
    <row r="89" spans="2:7" x14ac:dyDescent="0.25">
      <c r="B89" s="54" t="s">
        <v>304</v>
      </c>
      <c r="C89" s="55" t="s">
        <v>213</v>
      </c>
      <c r="D89" s="55">
        <f>[2]Amortizaciones!D31</f>
        <v>0</v>
      </c>
      <c r="E89" s="21" t="s">
        <v>305</v>
      </c>
      <c r="F89" s="19" t="s">
        <v>306</v>
      </c>
      <c r="G89" s="20">
        <v>16163982</v>
      </c>
    </row>
    <row r="90" spans="2:7" x14ac:dyDescent="0.25">
      <c r="B90" s="54" t="s">
        <v>307</v>
      </c>
      <c r="C90" s="55" t="s">
        <v>229</v>
      </c>
      <c r="D90" s="55">
        <f>[2]Amortizaciones!D32</f>
        <v>0</v>
      </c>
      <c r="E90" s="21" t="s">
        <v>308</v>
      </c>
      <c r="F90" s="19" t="s">
        <v>309</v>
      </c>
      <c r="G90" s="20"/>
    </row>
    <row r="91" spans="2:7" x14ac:dyDescent="0.25">
      <c r="B91" s="54" t="s">
        <v>310</v>
      </c>
      <c r="C91" s="55" t="s">
        <v>311</v>
      </c>
      <c r="D91" s="55">
        <f>SUM(D80:D90)</f>
        <v>3694388</v>
      </c>
      <c r="E91" s="52" t="s">
        <v>312</v>
      </c>
      <c r="F91" s="19" t="s">
        <v>313</v>
      </c>
      <c r="G91" s="20"/>
    </row>
    <row r="92" spans="2:7" x14ac:dyDescent="0.25">
      <c r="B92" s="54"/>
      <c r="C92" s="57" t="s">
        <v>314</v>
      </c>
      <c r="D92" s="55">
        <f>D77+D91</f>
        <v>31448664</v>
      </c>
      <c r="E92" s="52" t="s">
        <v>315</v>
      </c>
      <c r="F92" s="19" t="s">
        <v>316</v>
      </c>
      <c r="G92" s="20"/>
    </row>
    <row r="93" spans="2:7" x14ac:dyDescent="0.25">
      <c r="E93" s="52" t="s">
        <v>317</v>
      </c>
      <c r="F93" s="19" t="s">
        <v>318</v>
      </c>
      <c r="G93" s="20">
        <v>1053298</v>
      </c>
    </row>
    <row r="94" spans="2:7" x14ac:dyDescent="0.25">
      <c r="E94" s="52" t="s">
        <v>319</v>
      </c>
      <c r="F94" s="19" t="s">
        <v>320</v>
      </c>
      <c r="G94" s="27">
        <v>2479894</v>
      </c>
    </row>
    <row r="95" spans="2:7" ht="13.5" customHeight="1" thickBot="1" x14ac:dyDescent="0.3">
      <c r="E95" s="21"/>
      <c r="F95" s="28" t="s">
        <v>321</v>
      </c>
      <c r="G95" s="29">
        <f>SUM(G80:G94)</f>
        <v>65167850</v>
      </c>
    </row>
    <row r="96" spans="2:7" x14ac:dyDescent="0.25">
      <c r="E96" s="52" t="s">
        <v>322</v>
      </c>
      <c r="F96" s="22" t="s">
        <v>323</v>
      </c>
      <c r="G96" s="23">
        <v>1073959</v>
      </c>
    </row>
    <row r="97" spans="2:7" x14ac:dyDescent="0.25">
      <c r="E97" s="52" t="s">
        <v>324</v>
      </c>
      <c r="F97" s="19" t="s">
        <v>325</v>
      </c>
      <c r="G97" s="20">
        <f>2583962+1792530.35+2983264</f>
        <v>7359756.3499999996</v>
      </c>
    </row>
    <row r="98" spans="2:7" x14ac:dyDescent="0.25">
      <c r="E98" s="52" t="s">
        <v>326</v>
      </c>
      <c r="F98" s="19" t="s">
        <v>327</v>
      </c>
      <c r="G98" s="20">
        <v>63798</v>
      </c>
    </row>
    <row r="99" spans="2:7" x14ac:dyDescent="0.25">
      <c r="E99" s="52" t="s">
        <v>328</v>
      </c>
      <c r="F99" s="19" t="s">
        <v>329</v>
      </c>
      <c r="G99" s="20">
        <v>2484036</v>
      </c>
    </row>
    <row r="100" spans="2:7" x14ac:dyDescent="0.25">
      <c r="E100" s="52" t="s">
        <v>330</v>
      </c>
      <c r="F100" s="19" t="s">
        <v>331</v>
      </c>
      <c r="G100" s="27">
        <v>462770</v>
      </c>
    </row>
    <row r="101" spans="2:7" ht="15.75" thickBot="1" x14ac:dyDescent="0.3">
      <c r="E101" s="21"/>
      <c r="F101" s="28" t="s">
        <v>332</v>
      </c>
      <c r="G101" s="29">
        <f>SUM(G96:G100)</f>
        <v>11444319.35</v>
      </c>
    </row>
    <row r="102" spans="2:7" ht="15.75" thickBot="1" x14ac:dyDescent="0.3">
      <c r="E102" s="52"/>
      <c r="F102" s="59" t="s">
        <v>333</v>
      </c>
      <c r="G102" s="60">
        <f>[2]Amortizaciones!D19</f>
        <v>27754276</v>
      </c>
    </row>
    <row r="103" spans="2:7" x14ac:dyDescent="0.25">
      <c r="E103" s="52" t="s">
        <v>334</v>
      </c>
      <c r="F103" s="19" t="s">
        <v>335</v>
      </c>
      <c r="G103" s="23"/>
    </row>
    <row r="104" spans="2:7" x14ac:dyDescent="0.25">
      <c r="E104" s="52" t="s">
        <v>336</v>
      </c>
      <c r="F104" s="61" t="s">
        <v>337</v>
      </c>
      <c r="G104" s="20"/>
    </row>
    <row r="105" spans="2:7" ht="15.75" thickBot="1" x14ac:dyDescent="0.3">
      <c r="E105" s="21"/>
      <c r="F105" s="28" t="s">
        <v>338</v>
      </c>
      <c r="G105" s="29">
        <f>SUM(G103:G104)</f>
        <v>0</v>
      </c>
    </row>
    <row r="106" spans="2:7" ht="13.7" customHeight="1" thickBot="1" x14ac:dyDescent="0.3">
      <c r="B106" s="6"/>
      <c r="C106" s="62"/>
      <c r="D106" s="62"/>
      <c r="E106" s="52"/>
      <c r="F106" s="48" t="s">
        <v>339</v>
      </c>
      <c r="G106" s="49">
        <f>G19+G27+G32+G48+G57+G79+G95+G101+G102+G105</f>
        <v>2761468123.6799998</v>
      </c>
    </row>
    <row r="107" spans="2:7" ht="13.7" customHeight="1" x14ac:dyDescent="0.25">
      <c r="B107" s="6"/>
      <c r="C107" s="62"/>
      <c r="D107" s="62"/>
      <c r="E107" s="21"/>
      <c r="F107" s="63"/>
      <c r="G107" s="64"/>
    </row>
    <row r="108" spans="2:7" ht="13.7" customHeight="1" thickBot="1" x14ac:dyDescent="0.3">
      <c r="B108" s="6"/>
      <c r="C108" s="62"/>
      <c r="D108" s="62"/>
      <c r="E108" s="21"/>
    </row>
    <row r="109" spans="2:7" ht="13.7" customHeight="1" thickBot="1" x14ac:dyDescent="0.3">
      <c r="B109" s="6"/>
      <c r="C109" s="62"/>
      <c r="D109" s="62"/>
      <c r="E109" s="21"/>
      <c r="F109" s="13" t="s">
        <v>340</v>
      </c>
      <c r="G109" s="65">
        <f>D61-G106</f>
        <v>169564379.32000017</v>
      </c>
    </row>
    <row r="110" spans="2:7" ht="13.7" customHeight="1" thickBot="1" x14ac:dyDescent="0.3">
      <c r="B110" s="6"/>
      <c r="C110" s="62"/>
      <c r="D110" s="62"/>
      <c r="E110" s="21"/>
    </row>
    <row r="111" spans="2:7" ht="13.7" customHeight="1" thickBot="1" x14ac:dyDescent="0.3">
      <c r="C111" s="48" t="s">
        <v>270</v>
      </c>
      <c r="D111" s="17">
        <f>+[2]E.S.P.!D6</f>
        <v>2020</v>
      </c>
      <c r="E111" s="52"/>
      <c r="F111" s="48" t="s">
        <v>341</v>
      </c>
      <c r="G111" s="17">
        <f>+[2]E.S.P.!D6</f>
        <v>2020</v>
      </c>
    </row>
    <row r="112" spans="2:7" ht="13.7" customHeight="1" x14ac:dyDescent="0.25">
      <c r="B112" s="6" t="s">
        <v>342</v>
      </c>
      <c r="C112" s="66" t="s">
        <v>343</v>
      </c>
      <c r="D112" s="67">
        <v>3639797.34</v>
      </c>
      <c r="E112" s="21" t="s">
        <v>344</v>
      </c>
      <c r="F112" s="66" t="s">
        <v>309</v>
      </c>
      <c r="G112" s="67">
        <v>619883</v>
      </c>
    </row>
    <row r="113" spans="2:7" ht="13.7" customHeight="1" x14ac:dyDescent="0.25">
      <c r="B113" s="6" t="s">
        <v>345</v>
      </c>
      <c r="C113" s="68" t="s">
        <v>346</v>
      </c>
      <c r="D113" s="69">
        <v>87003258.329999998</v>
      </c>
      <c r="E113" s="21" t="s">
        <v>347</v>
      </c>
      <c r="F113" s="68" t="s">
        <v>348</v>
      </c>
      <c r="G113" s="69"/>
    </row>
    <row r="114" spans="2:7" ht="13.7" customHeight="1" x14ac:dyDescent="0.25">
      <c r="B114" s="6" t="s">
        <v>349</v>
      </c>
      <c r="C114" s="68" t="s">
        <v>48</v>
      </c>
      <c r="D114" s="69">
        <v>59917.23</v>
      </c>
      <c r="E114" s="21" t="s">
        <v>350</v>
      </c>
      <c r="F114" s="68" t="s">
        <v>351</v>
      </c>
      <c r="G114" s="69"/>
    </row>
    <row r="115" spans="2:7" ht="13.7" customHeight="1" x14ac:dyDescent="0.25">
      <c r="B115" s="6" t="s">
        <v>352</v>
      </c>
      <c r="C115" s="68" t="s">
        <v>353</v>
      </c>
      <c r="D115" s="69">
        <v>187803.51</v>
      </c>
      <c r="E115" s="21" t="s">
        <v>354</v>
      </c>
      <c r="F115" s="68" t="s">
        <v>355</v>
      </c>
      <c r="G115" s="69">
        <v>2640796</v>
      </c>
    </row>
    <row r="116" spans="2:7" ht="13.7" customHeight="1" x14ac:dyDescent="0.25">
      <c r="B116" s="6" t="s">
        <v>356</v>
      </c>
      <c r="C116" s="68" t="s">
        <v>357</v>
      </c>
      <c r="D116" s="69">
        <f>3758557.11+51082.41+194519.44</f>
        <v>4004158.96</v>
      </c>
      <c r="E116" s="21" t="s">
        <v>358</v>
      </c>
      <c r="F116" s="68" t="s">
        <v>359</v>
      </c>
      <c r="G116" s="69"/>
    </row>
    <row r="117" spans="2:7" ht="13.7" customHeight="1" x14ac:dyDescent="0.25">
      <c r="B117" s="6" t="s">
        <v>360</v>
      </c>
      <c r="C117" s="68" t="s">
        <v>361</v>
      </c>
      <c r="D117" s="69">
        <v>7448.43</v>
      </c>
      <c r="E117" s="21" t="s">
        <v>362</v>
      </c>
      <c r="F117" s="68" t="s">
        <v>363</v>
      </c>
      <c r="G117" s="69"/>
    </row>
    <row r="118" spans="2:7" ht="13.7" customHeight="1" x14ac:dyDescent="0.25">
      <c r="B118" s="6" t="s">
        <v>364</v>
      </c>
      <c r="C118" s="68" t="s">
        <v>365</v>
      </c>
      <c r="D118" s="69"/>
      <c r="E118" s="21" t="s">
        <v>366</v>
      </c>
      <c r="F118" s="68" t="s">
        <v>367</v>
      </c>
      <c r="G118" s="69">
        <v>270132</v>
      </c>
    </row>
    <row r="119" spans="2:7" ht="13.7" customHeight="1" x14ac:dyDescent="0.25">
      <c r="B119" s="6" t="s">
        <v>368</v>
      </c>
      <c r="C119" s="68" t="s">
        <v>369</v>
      </c>
      <c r="D119" s="69">
        <v>1107336</v>
      </c>
      <c r="E119" s="21" t="s">
        <v>370</v>
      </c>
      <c r="F119" s="68" t="s">
        <v>371</v>
      </c>
      <c r="G119" s="69"/>
    </row>
    <row r="120" spans="2:7" ht="13.7" customHeight="1" x14ac:dyDescent="0.25">
      <c r="B120" s="6" t="s">
        <v>372</v>
      </c>
      <c r="C120" s="68" t="s">
        <v>373</v>
      </c>
      <c r="D120" s="69"/>
      <c r="E120" s="21" t="s">
        <v>374</v>
      </c>
      <c r="F120" s="68" t="s">
        <v>375</v>
      </c>
      <c r="G120" s="69"/>
    </row>
    <row r="121" spans="2:7" ht="13.7" customHeight="1" x14ac:dyDescent="0.25">
      <c r="B121" s="6" t="s">
        <v>376</v>
      </c>
      <c r="C121" s="19" t="s">
        <v>377</v>
      </c>
      <c r="D121" s="69">
        <v>4293325</v>
      </c>
      <c r="E121" s="21" t="s">
        <v>378</v>
      </c>
      <c r="F121" s="68" t="s">
        <v>379</v>
      </c>
      <c r="G121" s="69">
        <f>2210497+2725076</f>
        <v>4935573</v>
      </c>
    </row>
    <row r="122" spans="2:7" ht="13.7" customHeight="1" thickBot="1" x14ac:dyDescent="0.3">
      <c r="B122" s="6"/>
      <c r="C122" s="28" t="s">
        <v>380</v>
      </c>
      <c r="D122" s="37">
        <f>SUM(D112:D121)</f>
        <v>100303044.80000001</v>
      </c>
      <c r="E122" s="21" t="s">
        <v>381</v>
      </c>
      <c r="F122" s="19" t="s">
        <v>382</v>
      </c>
      <c r="G122" s="20">
        <v>331908</v>
      </c>
    </row>
    <row r="123" spans="2:7" ht="13.7" customHeight="1" thickBot="1" x14ac:dyDescent="0.3">
      <c r="B123" s="6" t="s">
        <v>383</v>
      </c>
      <c r="C123" s="70" t="s">
        <v>309</v>
      </c>
      <c r="D123" s="67">
        <v>7752512</v>
      </c>
      <c r="E123" s="52"/>
      <c r="F123" s="28" t="s">
        <v>384</v>
      </c>
      <c r="G123" s="37">
        <f>SUM(G112:G122)</f>
        <v>8798292</v>
      </c>
    </row>
    <row r="124" spans="2:7" ht="13.7" customHeight="1" x14ac:dyDescent="0.25">
      <c r="B124" s="6" t="s">
        <v>385</v>
      </c>
      <c r="C124" s="68" t="s">
        <v>313</v>
      </c>
      <c r="D124" s="69">
        <v>2663396</v>
      </c>
      <c r="E124" s="21" t="s">
        <v>386</v>
      </c>
      <c r="F124" s="68" t="s">
        <v>387</v>
      </c>
      <c r="G124" s="69">
        <v>1489653</v>
      </c>
    </row>
    <row r="125" spans="2:7" ht="13.7" customHeight="1" x14ac:dyDescent="0.25">
      <c r="B125" s="6" t="s">
        <v>388</v>
      </c>
      <c r="C125" s="19" t="s">
        <v>389</v>
      </c>
      <c r="D125" s="69">
        <v>456032</v>
      </c>
      <c r="E125" s="21" t="s">
        <v>390</v>
      </c>
      <c r="F125" s="68" t="s">
        <v>391</v>
      </c>
      <c r="G125" s="69">
        <v>823458</v>
      </c>
    </row>
    <row r="126" spans="2:7" ht="13.7" customHeight="1" thickBot="1" x14ac:dyDescent="0.3">
      <c r="B126" s="6"/>
      <c r="C126" s="28" t="s">
        <v>392</v>
      </c>
      <c r="D126" s="37">
        <f>SUM(D123:D125)</f>
        <v>10871940</v>
      </c>
      <c r="E126" s="21" t="s">
        <v>393</v>
      </c>
      <c r="F126" s="68" t="s">
        <v>394</v>
      </c>
      <c r="G126" s="69"/>
    </row>
    <row r="127" spans="2:7" ht="13.7" customHeight="1" x14ac:dyDescent="0.25">
      <c r="B127" s="6" t="s">
        <v>395</v>
      </c>
      <c r="C127" s="66" t="s">
        <v>274</v>
      </c>
      <c r="D127" s="67">
        <v>8185917</v>
      </c>
      <c r="E127" s="21" t="s">
        <v>396</v>
      </c>
      <c r="F127" s="68" t="s">
        <v>397</v>
      </c>
      <c r="G127" s="69"/>
    </row>
    <row r="128" spans="2:7" ht="13.7" customHeight="1" x14ac:dyDescent="0.25">
      <c r="B128" s="6" t="s">
        <v>398</v>
      </c>
      <c r="C128" s="68" t="s">
        <v>399</v>
      </c>
      <c r="D128" s="69">
        <v>4305298</v>
      </c>
      <c r="E128" s="21" t="s">
        <v>400</v>
      </c>
      <c r="F128" s="68" t="s">
        <v>401</v>
      </c>
      <c r="G128" s="69"/>
    </row>
    <row r="129" spans="2:7" ht="13.7" customHeight="1" x14ac:dyDescent="0.25">
      <c r="B129" s="6" t="s">
        <v>402</v>
      </c>
      <c r="C129" s="68" t="s">
        <v>277</v>
      </c>
      <c r="D129" s="69">
        <v>9181810</v>
      </c>
      <c r="E129" s="21" t="s">
        <v>403</v>
      </c>
      <c r="F129" s="68" t="s">
        <v>404</v>
      </c>
      <c r="G129" s="69">
        <v>5331532</v>
      </c>
    </row>
    <row r="130" spans="2:7" ht="13.7" customHeight="1" x14ac:dyDescent="0.25">
      <c r="B130" s="6" t="s">
        <v>405</v>
      </c>
      <c r="C130" s="68" t="s">
        <v>283</v>
      </c>
      <c r="D130" s="69">
        <v>1658194</v>
      </c>
      <c r="E130" s="21" t="s">
        <v>406</v>
      </c>
      <c r="F130" s="68" t="s">
        <v>407</v>
      </c>
      <c r="G130" s="69"/>
    </row>
    <row r="131" spans="2:7" ht="13.7" customHeight="1" x14ac:dyDescent="0.25">
      <c r="B131" s="6" t="s">
        <v>408</v>
      </c>
      <c r="C131" s="68" t="s">
        <v>287</v>
      </c>
      <c r="D131" s="69">
        <v>1730265</v>
      </c>
      <c r="E131" s="21" t="s">
        <v>409</v>
      </c>
      <c r="F131" s="68" t="s">
        <v>410</v>
      </c>
      <c r="G131" s="69">
        <v>569181</v>
      </c>
    </row>
    <row r="132" spans="2:7" ht="13.7" customHeight="1" x14ac:dyDescent="0.25">
      <c r="B132" s="6" t="s">
        <v>411</v>
      </c>
      <c r="C132" s="68" t="s">
        <v>291</v>
      </c>
      <c r="D132" s="69">
        <v>330655</v>
      </c>
      <c r="E132" s="21" t="s">
        <v>412</v>
      </c>
      <c r="F132" s="68" t="s">
        <v>413</v>
      </c>
      <c r="G132" s="69"/>
    </row>
    <row r="133" spans="2:7" ht="13.7" customHeight="1" x14ac:dyDescent="0.25">
      <c r="B133" s="6" t="s">
        <v>414</v>
      </c>
      <c r="C133" s="68" t="s">
        <v>295</v>
      </c>
      <c r="D133" s="69">
        <v>116756</v>
      </c>
      <c r="E133" s="21" t="s">
        <v>415</v>
      </c>
      <c r="F133" s="68" t="s">
        <v>416</v>
      </c>
      <c r="G133" s="69">
        <f>1108378-13893</f>
        <v>1094485</v>
      </c>
    </row>
    <row r="134" spans="2:7" ht="13.7" customHeight="1" x14ac:dyDescent="0.25">
      <c r="B134" s="6" t="s">
        <v>417</v>
      </c>
      <c r="C134" s="68" t="s">
        <v>418</v>
      </c>
      <c r="D134" s="69">
        <v>5320905</v>
      </c>
      <c r="E134" s="21" t="s">
        <v>419</v>
      </c>
      <c r="F134" s="68" t="s">
        <v>420</v>
      </c>
      <c r="G134" s="69">
        <v>137249</v>
      </c>
    </row>
    <row r="135" spans="2:7" ht="13.7" customHeight="1" x14ac:dyDescent="0.25">
      <c r="B135" s="6" t="s">
        <v>421</v>
      </c>
      <c r="C135" s="68" t="s">
        <v>422</v>
      </c>
      <c r="D135" s="69">
        <v>10680290</v>
      </c>
      <c r="E135" s="21" t="s">
        <v>423</v>
      </c>
      <c r="F135" s="68" t="s">
        <v>424</v>
      </c>
      <c r="G135" s="69"/>
    </row>
    <row r="136" spans="2:7" ht="13.7" customHeight="1" x14ac:dyDescent="0.25">
      <c r="B136" s="6" t="s">
        <v>425</v>
      </c>
      <c r="C136" s="68" t="s">
        <v>318</v>
      </c>
      <c r="D136" s="69">
        <v>2708477</v>
      </c>
      <c r="E136" s="21" t="s">
        <v>426</v>
      </c>
      <c r="F136" s="68" t="s">
        <v>427</v>
      </c>
      <c r="G136" s="69">
        <v>3600</v>
      </c>
    </row>
    <row r="137" spans="2:7" ht="13.7" customHeight="1" x14ac:dyDescent="0.25">
      <c r="B137" s="6" t="s">
        <v>428</v>
      </c>
      <c r="C137" s="19" t="s">
        <v>320</v>
      </c>
      <c r="D137" s="71">
        <v>1773100</v>
      </c>
      <c r="E137" s="21" t="s">
        <v>429</v>
      </c>
      <c r="F137" s="68" t="s">
        <v>430</v>
      </c>
      <c r="G137" s="69">
        <v>3783700</v>
      </c>
    </row>
    <row r="138" spans="2:7" ht="13.7" customHeight="1" thickBot="1" x14ac:dyDescent="0.3">
      <c r="B138" s="6"/>
      <c r="C138" s="28" t="s">
        <v>321</v>
      </c>
      <c r="D138" s="37">
        <f>SUM(D127:D137)</f>
        <v>45991667</v>
      </c>
      <c r="E138" s="21" t="s">
        <v>431</v>
      </c>
      <c r="F138" s="19" t="s">
        <v>432</v>
      </c>
      <c r="G138" s="20">
        <v>440172</v>
      </c>
    </row>
    <row r="139" spans="2:7" ht="13.7" customHeight="1" thickBot="1" x14ac:dyDescent="0.3">
      <c r="B139" s="6" t="s">
        <v>433</v>
      </c>
      <c r="C139" s="66" t="s">
        <v>327</v>
      </c>
      <c r="D139" s="67"/>
      <c r="E139" s="7"/>
      <c r="F139" s="28" t="s">
        <v>434</v>
      </c>
      <c r="G139" s="37">
        <f>SUM(G124:G138)</f>
        <v>13673030</v>
      </c>
    </row>
    <row r="140" spans="2:7" ht="13.7" customHeight="1" thickBot="1" x14ac:dyDescent="0.3">
      <c r="B140" s="6" t="s">
        <v>435</v>
      </c>
      <c r="C140" s="68" t="s">
        <v>329</v>
      </c>
      <c r="D140" s="69">
        <v>4120160</v>
      </c>
      <c r="E140" s="7"/>
      <c r="F140" s="48" t="s">
        <v>436</v>
      </c>
      <c r="G140" s="72">
        <f>G123-G139</f>
        <v>-4874738</v>
      </c>
    </row>
    <row r="141" spans="2:7" ht="13.7" customHeight="1" x14ac:dyDescent="0.25">
      <c r="B141" s="6" t="s">
        <v>437</v>
      </c>
      <c r="C141" s="19" t="s">
        <v>331</v>
      </c>
      <c r="D141" s="71">
        <v>181381</v>
      </c>
      <c r="E141" s="73"/>
    </row>
    <row r="142" spans="2:7" ht="13.7" customHeight="1" thickBot="1" x14ac:dyDescent="0.3">
      <c r="B142" s="6"/>
      <c r="C142" s="28" t="s">
        <v>332</v>
      </c>
      <c r="D142" s="37">
        <f>SUM(D139:D141)</f>
        <v>4301541</v>
      </c>
      <c r="E142" s="73"/>
    </row>
    <row r="143" spans="2:7" ht="13.7" customHeight="1" thickBot="1" x14ac:dyDescent="0.3">
      <c r="B143" s="6"/>
      <c r="C143" s="59" t="s">
        <v>438</v>
      </c>
      <c r="D143" s="74">
        <f>[2]Amortizaciones!D33</f>
        <v>3694388</v>
      </c>
      <c r="E143" s="21"/>
      <c r="F143" s="48" t="s">
        <v>439</v>
      </c>
      <c r="G143" s="17">
        <f>+[2]E.S.P.!D6</f>
        <v>2020</v>
      </c>
    </row>
    <row r="144" spans="2:7" ht="13.7" customHeight="1" x14ac:dyDescent="0.25">
      <c r="B144" s="6" t="s">
        <v>440</v>
      </c>
      <c r="C144" s="66" t="s">
        <v>441</v>
      </c>
      <c r="D144" s="67">
        <v>3920714</v>
      </c>
      <c r="E144" s="21" t="s">
        <v>442</v>
      </c>
      <c r="F144" s="66" t="s">
        <v>443</v>
      </c>
      <c r="G144" s="67"/>
    </row>
    <row r="145" spans="2:7" ht="13.7" customHeight="1" x14ac:dyDescent="0.25">
      <c r="B145" s="6" t="s">
        <v>444</v>
      </c>
      <c r="C145" s="68" t="s">
        <v>445</v>
      </c>
      <c r="D145" s="69">
        <v>23711</v>
      </c>
      <c r="E145" s="21" t="s">
        <v>446</v>
      </c>
      <c r="F145" s="68" t="s">
        <v>447</v>
      </c>
      <c r="G145" s="69"/>
    </row>
    <row r="146" spans="2:7" ht="13.7" customHeight="1" x14ac:dyDescent="0.25">
      <c r="B146" s="6" t="s">
        <v>448</v>
      </c>
      <c r="C146" s="75" t="s">
        <v>449</v>
      </c>
      <c r="D146" s="69"/>
      <c r="E146" s="21" t="s">
        <v>450</v>
      </c>
      <c r="F146" s="68" t="s">
        <v>451</v>
      </c>
      <c r="G146" s="69"/>
    </row>
    <row r="147" spans="2:7" ht="13.7" customHeight="1" x14ac:dyDescent="0.25">
      <c r="B147" s="6" t="s">
        <v>452</v>
      </c>
      <c r="C147" s="19" t="s">
        <v>453</v>
      </c>
      <c r="D147" s="71">
        <v>140790</v>
      </c>
      <c r="E147" s="21" t="s">
        <v>454</v>
      </c>
      <c r="F147" s="68" t="s">
        <v>455</v>
      </c>
      <c r="G147" s="69"/>
    </row>
    <row r="148" spans="2:7" ht="13.7" customHeight="1" thickBot="1" x14ac:dyDescent="0.3">
      <c r="B148" s="6"/>
      <c r="C148" s="28" t="s">
        <v>456</v>
      </c>
      <c r="D148" s="37">
        <f>SUM(D144:D147)</f>
        <v>4085215</v>
      </c>
      <c r="E148" s="21" t="s">
        <v>457</v>
      </c>
      <c r="F148" s="68" t="s">
        <v>458</v>
      </c>
      <c r="G148" s="69"/>
    </row>
    <row r="149" spans="2:7" ht="13.7" customHeight="1" x14ac:dyDescent="0.25">
      <c r="B149" s="6" t="s">
        <v>459</v>
      </c>
      <c r="C149" s="66" t="s">
        <v>460</v>
      </c>
      <c r="D149" s="67"/>
      <c r="E149" s="21" t="s">
        <v>461</v>
      </c>
      <c r="F149" s="68" t="s">
        <v>462</v>
      </c>
      <c r="G149" s="69"/>
    </row>
    <row r="150" spans="2:7" ht="13.7" customHeight="1" x14ac:dyDescent="0.25">
      <c r="B150" s="6" t="s">
        <v>463</v>
      </c>
      <c r="C150" s="68" t="s">
        <v>464</v>
      </c>
      <c r="D150" s="69"/>
      <c r="E150" s="21" t="s">
        <v>465</v>
      </c>
      <c r="F150" s="68" t="s">
        <v>466</v>
      </c>
      <c r="G150" s="69"/>
    </row>
    <row r="151" spans="2:7" ht="13.7" customHeight="1" x14ac:dyDescent="0.25">
      <c r="B151" s="6" t="s">
        <v>467</v>
      </c>
      <c r="C151" s="19" t="s">
        <v>468</v>
      </c>
      <c r="D151" s="71"/>
      <c r="E151" s="21" t="s">
        <v>469</v>
      </c>
      <c r="F151" s="68" t="s">
        <v>470</v>
      </c>
      <c r="G151" s="69">
        <v>85714311</v>
      </c>
    </row>
    <row r="152" spans="2:7" ht="13.7" customHeight="1" thickBot="1" x14ac:dyDescent="0.3">
      <c r="B152" s="6"/>
      <c r="C152" s="28" t="s">
        <v>471</v>
      </c>
      <c r="D152" s="37">
        <f>SUM(D149:D151)</f>
        <v>0</v>
      </c>
      <c r="E152" s="21" t="s">
        <v>472</v>
      </c>
      <c r="F152" s="68" t="s">
        <v>473</v>
      </c>
      <c r="G152" s="69"/>
    </row>
    <row r="153" spans="2:7" ht="13.7" customHeight="1" thickBot="1" x14ac:dyDescent="0.3">
      <c r="B153" s="6"/>
      <c r="C153" s="48" t="s">
        <v>474</v>
      </c>
      <c r="D153" s="76">
        <f>D122+D126+D138+D142+D143+D148+D152</f>
        <v>169247795.80000001</v>
      </c>
      <c r="E153" s="21" t="s">
        <v>475</v>
      </c>
      <c r="F153" s="19" t="s">
        <v>476</v>
      </c>
      <c r="G153" s="20"/>
    </row>
    <row r="154" spans="2:7" ht="13.7" customHeight="1" thickBot="1" x14ac:dyDescent="0.3">
      <c r="B154" s="6"/>
      <c r="E154" s="21"/>
      <c r="F154" s="28" t="s">
        <v>477</v>
      </c>
      <c r="G154" s="37">
        <f>SUM(G144:G153)</f>
        <v>85714311</v>
      </c>
    </row>
    <row r="155" spans="2:7" ht="13.7" customHeight="1" thickBot="1" x14ac:dyDescent="0.3">
      <c r="B155" s="6"/>
      <c r="C155" s="77" t="s">
        <v>478</v>
      </c>
      <c r="D155" s="65">
        <f>G109-D153</f>
        <v>316583.52000015974</v>
      </c>
      <c r="E155" s="21" t="s">
        <v>479</v>
      </c>
      <c r="F155" s="66" t="s">
        <v>480</v>
      </c>
      <c r="G155" s="67">
        <v>25153434</v>
      </c>
    </row>
    <row r="156" spans="2:7" ht="13.7" customHeight="1" x14ac:dyDescent="0.25">
      <c r="E156" s="21" t="s">
        <v>481</v>
      </c>
      <c r="F156" s="68" t="s">
        <v>482</v>
      </c>
      <c r="G156" s="69">
        <f>-2900+38531745+186906</f>
        <v>38715751</v>
      </c>
    </row>
    <row r="157" spans="2:7" ht="13.7" customHeight="1" x14ac:dyDescent="0.25">
      <c r="E157" s="21" t="s">
        <v>483</v>
      </c>
      <c r="F157" s="68" t="s">
        <v>484</v>
      </c>
      <c r="G157" s="69"/>
    </row>
    <row r="158" spans="2:7" ht="13.7" customHeight="1" x14ac:dyDescent="0.25">
      <c r="E158" s="21" t="s">
        <v>485</v>
      </c>
      <c r="F158" s="68" t="s">
        <v>486</v>
      </c>
      <c r="G158" s="69"/>
    </row>
    <row r="159" spans="2:7" ht="13.7" customHeight="1" x14ac:dyDescent="0.25">
      <c r="E159" s="21" t="s">
        <v>487</v>
      </c>
      <c r="F159" s="68" t="s">
        <v>488</v>
      </c>
      <c r="G159" s="69">
        <v>4063925</v>
      </c>
    </row>
    <row r="160" spans="2:7" ht="13.7" customHeight="1" x14ac:dyDescent="0.25">
      <c r="E160" s="21" t="s">
        <v>489</v>
      </c>
      <c r="F160" s="68" t="s">
        <v>490</v>
      </c>
      <c r="G160" s="69">
        <v>56282</v>
      </c>
    </row>
    <row r="161" spans="5:7" ht="13.7" customHeight="1" x14ac:dyDescent="0.25">
      <c r="E161" s="21" t="s">
        <v>491</v>
      </c>
      <c r="F161" s="68" t="s">
        <v>492</v>
      </c>
      <c r="G161" s="69">
        <v>7519141</v>
      </c>
    </row>
    <row r="162" spans="5:7" ht="13.7" customHeight="1" x14ac:dyDescent="0.25">
      <c r="E162" s="21" t="s">
        <v>493</v>
      </c>
      <c r="F162" s="68" t="s">
        <v>494</v>
      </c>
      <c r="G162" s="69"/>
    </row>
    <row r="163" spans="5:7" ht="13.7" customHeight="1" x14ac:dyDescent="0.25">
      <c r="E163" s="21" t="s">
        <v>495</v>
      </c>
      <c r="F163" s="68" t="s">
        <v>496</v>
      </c>
      <c r="G163" s="69"/>
    </row>
    <row r="164" spans="5:7" ht="13.7" customHeight="1" x14ac:dyDescent="0.25">
      <c r="E164" s="21" t="s">
        <v>497</v>
      </c>
      <c r="F164" s="68" t="s">
        <v>498</v>
      </c>
      <c r="G164" s="69"/>
    </row>
    <row r="165" spans="5:7" ht="13.7" customHeight="1" x14ac:dyDescent="0.25">
      <c r="E165" s="21" t="s">
        <v>499</v>
      </c>
      <c r="F165" s="68" t="s">
        <v>500</v>
      </c>
      <c r="G165" s="69"/>
    </row>
    <row r="166" spans="5:7" ht="13.7" customHeight="1" x14ac:dyDescent="0.25">
      <c r="E166" s="21" t="s">
        <v>501</v>
      </c>
      <c r="F166" s="68" t="s">
        <v>502</v>
      </c>
      <c r="G166" s="69"/>
    </row>
    <row r="167" spans="5:7" ht="13.7" customHeight="1" x14ac:dyDescent="0.25">
      <c r="E167" s="21" t="s">
        <v>503</v>
      </c>
      <c r="F167" s="19" t="s">
        <v>504</v>
      </c>
      <c r="G167" s="20"/>
    </row>
    <row r="168" spans="5:7" ht="13.7" customHeight="1" thickBot="1" x14ac:dyDescent="0.3">
      <c r="E168" s="21"/>
      <c r="F168" s="28" t="s">
        <v>505</v>
      </c>
      <c r="G168" s="37">
        <f>SUM(G155:G167)</f>
        <v>75508533</v>
      </c>
    </row>
    <row r="169" spans="5:7" ht="13.7" customHeight="1" thickBot="1" x14ac:dyDescent="0.3">
      <c r="E169" s="21"/>
      <c r="F169" s="48" t="s">
        <v>506</v>
      </c>
      <c r="G169" s="72">
        <f>G154-G168</f>
        <v>10205778</v>
      </c>
    </row>
    <row r="170" spans="5:7" ht="13.7" customHeight="1" thickBot="1" x14ac:dyDescent="0.3">
      <c r="E170" s="21"/>
      <c r="F170" s="78"/>
      <c r="G170" s="78"/>
    </row>
    <row r="171" spans="5:7" ht="13.7" customHeight="1" thickBot="1" x14ac:dyDescent="0.3">
      <c r="E171" s="21"/>
      <c r="F171" s="77" t="s">
        <v>507</v>
      </c>
      <c r="G171" s="79"/>
    </row>
    <row r="172" spans="5:7" ht="13.7" customHeight="1" thickBot="1" x14ac:dyDescent="0.3">
      <c r="E172" s="21"/>
      <c r="F172" s="80"/>
      <c r="G172" s="81">
        <f>+D155+G140+G169</f>
        <v>5647623.5200001597</v>
      </c>
    </row>
    <row r="173" spans="5:7" ht="13.7" customHeight="1" thickBot="1" x14ac:dyDescent="0.3">
      <c r="E173" s="21"/>
      <c r="F173" s="5"/>
      <c r="G173" s="5"/>
    </row>
    <row r="174" spans="5:7" ht="13.7" customHeight="1" thickBot="1" x14ac:dyDescent="0.3">
      <c r="E174" s="21"/>
      <c r="F174" s="48" t="s">
        <v>508</v>
      </c>
      <c r="G174" s="17">
        <f>+G143</f>
        <v>2020</v>
      </c>
    </row>
    <row r="175" spans="5:7" ht="13.7" customHeight="1" x14ac:dyDescent="0.25">
      <c r="E175" s="21"/>
      <c r="F175" s="66" t="s">
        <v>509</v>
      </c>
      <c r="G175" s="67"/>
    </row>
    <row r="176" spans="5:7" ht="13.7" customHeight="1" x14ac:dyDescent="0.25">
      <c r="E176" s="21"/>
      <c r="F176" s="68" t="s">
        <v>510</v>
      </c>
      <c r="G176" s="69"/>
    </row>
    <row r="177" spans="1:8" ht="13.7" customHeight="1" thickBot="1" x14ac:dyDescent="0.3">
      <c r="F177" s="68" t="s">
        <v>511</v>
      </c>
      <c r="G177" s="69"/>
    </row>
    <row r="178" spans="1:8" ht="13.7" customHeight="1" thickBot="1" x14ac:dyDescent="0.3">
      <c r="F178" s="48" t="s">
        <v>512</v>
      </c>
      <c r="G178" s="72">
        <f>SUM(G175:G177)</f>
        <v>0</v>
      </c>
    </row>
    <row r="179" spans="1:8" ht="13.7" customHeight="1" thickBot="1" x14ac:dyDescent="0.3"/>
    <row r="180" spans="1:8" ht="13.7" customHeight="1" thickBot="1" x14ac:dyDescent="0.3">
      <c r="F180" s="77" t="s">
        <v>513</v>
      </c>
      <c r="G180" s="79"/>
    </row>
    <row r="181" spans="1:8" ht="13.7" customHeight="1" thickBot="1" x14ac:dyDescent="0.3">
      <c r="F181" s="83"/>
      <c r="G181" s="81">
        <f>+G172+G178</f>
        <v>5647623.5200001597</v>
      </c>
    </row>
    <row r="182" spans="1:8" ht="13.7" customHeight="1" x14ac:dyDescent="0.25"/>
    <row r="183" spans="1:8" ht="13.5" customHeight="1" x14ac:dyDescent="0.25"/>
    <row r="184" spans="1:8" ht="13.7" customHeight="1" x14ac:dyDescent="0.25">
      <c r="E184" s="84"/>
      <c r="F184" s="84"/>
      <c r="G184" s="84"/>
      <c r="H184" s="84"/>
    </row>
    <row r="185" spans="1:8" s="84" customFormat="1" ht="13.7" customHeight="1" x14ac:dyDescent="0.25">
      <c r="A185" s="85"/>
      <c r="E185" s="82"/>
      <c r="F185" s="86"/>
      <c r="G185" s="86"/>
    </row>
    <row r="186" spans="1:8" s="84" customFormat="1" ht="12.75" x14ac:dyDescent="0.25">
      <c r="A186" s="85"/>
      <c r="E186" s="82"/>
      <c r="F186" s="86"/>
      <c r="G186" s="86"/>
    </row>
    <row r="187" spans="1:8" s="84" customFormat="1" ht="12.75" hidden="1" x14ac:dyDescent="0.25">
      <c r="A187" s="85"/>
      <c r="E187" s="82"/>
      <c r="F187" s="86"/>
      <c r="G187" s="86"/>
    </row>
    <row r="188" spans="1:8" s="84" customFormat="1" ht="12.75" hidden="1" x14ac:dyDescent="0.25">
      <c r="A188" s="85"/>
      <c r="E188" s="82"/>
      <c r="F188" s="86"/>
      <c r="G188" s="86"/>
    </row>
    <row r="189" spans="1:8" s="84" customFormat="1" ht="12.75" hidden="1" x14ac:dyDescent="0.25">
      <c r="A189" s="85"/>
      <c r="E189" s="82"/>
      <c r="F189" s="86"/>
      <c r="G189" s="86"/>
    </row>
    <row r="190" spans="1:8" s="84" customFormat="1" ht="12.75" hidden="1" x14ac:dyDescent="0.25">
      <c r="A190" s="85"/>
      <c r="E190" s="82"/>
      <c r="F190" s="86"/>
      <c r="G190" s="86"/>
    </row>
    <row r="191" spans="1:8" s="84" customFormat="1" ht="12.75" hidden="1" x14ac:dyDescent="0.25">
      <c r="A191" s="85"/>
      <c r="E191" s="82"/>
      <c r="F191" s="86"/>
      <c r="G191" s="86"/>
    </row>
    <row r="192" spans="1:8" s="84" customFormat="1" ht="12.75" hidden="1" x14ac:dyDescent="0.25">
      <c r="A192" s="85"/>
      <c r="E192" s="82"/>
      <c r="F192" s="86"/>
      <c r="G192" s="86"/>
    </row>
    <row r="193" spans="5:7" s="84" customFormat="1" ht="12.75" hidden="1" x14ac:dyDescent="0.25">
      <c r="E193" s="82"/>
      <c r="F193" s="86"/>
      <c r="G193" s="86"/>
    </row>
    <row r="194" spans="5:7" s="84" customFormat="1" ht="12.75" hidden="1" x14ac:dyDescent="0.25">
      <c r="E194" s="82"/>
      <c r="F194" s="86"/>
      <c r="G194" s="86"/>
    </row>
    <row r="195" spans="5:7" s="84" customFormat="1" ht="12.75" hidden="1" x14ac:dyDescent="0.25">
      <c r="E195" s="82"/>
      <c r="F195" s="86"/>
      <c r="G195" s="86"/>
    </row>
    <row r="196" spans="5:7" s="84" customFormat="1" ht="12.75" hidden="1" x14ac:dyDescent="0.25">
      <c r="E196" s="82"/>
      <c r="F196" s="86"/>
      <c r="G196" s="86"/>
    </row>
    <row r="197" spans="5:7" s="84" customFormat="1" ht="12.75" hidden="1" x14ac:dyDescent="0.25">
      <c r="E197" s="82"/>
      <c r="F197" s="86"/>
      <c r="G197" s="86"/>
    </row>
    <row r="198" spans="5:7" s="84" customFormat="1" ht="12.75" hidden="1" x14ac:dyDescent="0.25">
      <c r="E198" s="82"/>
      <c r="F198" s="86"/>
      <c r="G198" s="86"/>
    </row>
    <row r="199" spans="5:7" s="84" customFormat="1" ht="12.75" hidden="1" x14ac:dyDescent="0.25">
      <c r="E199" s="82"/>
      <c r="F199" s="86"/>
      <c r="G199" s="86"/>
    </row>
    <row r="200" spans="5:7" s="84" customFormat="1" ht="12.75" hidden="1" x14ac:dyDescent="0.25">
      <c r="E200" s="82"/>
      <c r="F200" s="86"/>
      <c r="G200" s="86"/>
    </row>
    <row r="201" spans="5:7" s="84" customFormat="1" ht="12.75" hidden="1" x14ac:dyDescent="0.25">
      <c r="E201" s="82"/>
      <c r="F201" s="86"/>
      <c r="G201" s="86"/>
    </row>
    <row r="202" spans="5:7" s="84" customFormat="1" ht="12.75" hidden="1" x14ac:dyDescent="0.25">
      <c r="E202" s="82"/>
      <c r="F202" s="86"/>
      <c r="G202" s="86"/>
    </row>
    <row r="203" spans="5:7" s="84" customFormat="1" ht="12.75" hidden="1" x14ac:dyDescent="0.25">
      <c r="E203" s="82"/>
      <c r="F203" s="86"/>
      <c r="G203" s="86"/>
    </row>
    <row r="204" spans="5:7" s="84" customFormat="1" ht="12.75" hidden="1" x14ac:dyDescent="0.25">
      <c r="E204" s="82"/>
      <c r="F204" s="86"/>
      <c r="G204" s="86"/>
    </row>
    <row r="205" spans="5:7" s="84" customFormat="1" ht="12.75" hidden="1" x14ac:dyDescent="0.25">
      <c r="E205" s="82"/>
      <c r="F205" s="86"/>
      <c r="G205" s="86"/>
    </row>
    <row r="206" spans="5:7" s="84" customFormat="1" ht="12.75" hidden="1" x14ac:dyDescent="0.25">
      <c r="E206" s="82"/>
      <c r="F206" s="86"/>
      <c r="G206" s="86"/>
    </row>
    <row r="207" spans="5:7" s="84" customFormat="1" ht="12.75" hidden="1" x14ac:dyDescent="0.25">
      <c r="E207" s="82"/>
      <c r="F207" s="86"/>
      <c r="G207" s="86"/>
    </row>
    <row r="208" spans="5:7" s="84" customFormat="1" ht="12.75" hidden="1" x14ac:dyDescent="0.25">
      <c r="E208" s="82"/>
      <c r="F208" s="86"/>
      <c r="G208" s="86"/>
    </row>
    <row r="209" spans="3:8" s="84" customFormat="1" ht="12.75" hidden="1" x14ac:dyDescent="0.25">
      <c r="E209" s="82"/>
      <c r="F209" s="86"/>
      <c r="G209" s="86"/>
    </row>
    <row r="210" spans="3:8" s="84" customFormat="1" ht="12.75" hidden="1" x14ac:dyDescent="0.25">
      <c r="E210" s="82"/>
      <c r="F210" s="86"/>
      <c r="G210" s="86"/>
    </row>
    <row r="211" spans="3:8" s="84" customFormat="1" ht="12.75" hidden="1" x14ac:dyDescent="0.25">
      <c r="E211" s="82"/>
      <c r="F211" s="86"/>
      <c r="G211" s="86"/>
    </row>
    <row r="212" spans="3:8" s="84" customFormat="1" ht="12.75" hidden="1" x14ac:dyDescent="0.25">
      <c r="E212" s="82"/>
      <c r="F212" s="86"/>
      <c r="G212" s="86"/>
    </row>
    <row r="213" spans="3:8" s="84" customFormat="1" ht="12.75" hidden="1" x14ac:dyDescent="0.25">
      <c r="E213" s="82"/>
      <c r="F213" s="86"/>
      <c r="G213" s="86"/>
    </row>
    <row r="214" spans="3:8" s="84" customFormat="1" hidden="1" x14ac:dyDescent="0.25">
      <c r="E214" s="82"/>
      <c r="F214" s="87"/>
      <c r="G214" s="58"/>
      <c r="H214" s="5"/>
    </row>
    <row r="215" spans="3:8" hidden="1" x14ac:dyDescent="0.25">
      <c r="C215" s="86"/>
      <c r="D215" s="86"/>
      <c r="F215" s="87"/>
    </row>
    <row r="216" spans="3:8" hidden="1" x14ac:dyDescent="0.25"/>
    <row r="217" spans="3:8" hidden="1" x14ac:dyDescent="0.25"/>
    <row r="218" spans="3:8" hidden="1" x14ac:dyDescent="0.25"/>
    <row r="219" spans="3:8" hidden="1" x14ac:dyDescent="0.25"/>
    <row r="220" spans="3:8" hidden="1" x14ac:dyDescent="0.25"/>
    <row r="221" spans="3:8" hidden="1" x14ac:dyDescent="0.25"/>
    <row r="222" spans="3:8" hidden="1" x14ac:dyDescent="0.25"/>
    <row r="223" spans="3:8" hidden="1" x14ac:dyDescent="0.25"/>
    <row r="224" spans="3:8"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sheetData>
  <mergeCells count="6">
    <mergeCell ref="C1:D1"/>
    <mergeCell ref="E1:F1"/>
    <mergeCell ref="C2:D2"/>
    <mergeCell ref="E2:F2"/>
    <mergeCell ref="C3:D3"/>
    <mergeCell ref="E3:F3"/>
  </mergeCells>
  <conditionalFormatting sqref="D7:D12">
    <cfRule type="cellIs" dxfId="457" priority="32" stopIfTrue="1" operator="greaterThan">
      <formula>50</formula>
    </cfRule>
    <cfRule type="cellIs" dxfId="456" priority="41" stopIfTrue="1" operator="equal">
      <formula>0</formula>
    </cfRule>
  </conditionalFormatting>
  <conditionalFormatting sqref="D7:D61">
    <cfRule type="cellIs" dxfId="455" priority="39" stopIfTrue="1" operator="between">
      <formula>-0.1</formula>
      <formula>-50</formula>
    </cfRule>
    <cfRule type="cellIs" dxfId="454" priority="40" stopIfTrue="1" operator="between">
      <formula>0.1</formula>
      <formula>50</formula>
    </cfRule>
  </conditionalFormatting>
  <conditionalFormatting sqref="G7:G150 G152:G181">
    <cfRule type="cellIs" dxfId="453" priority="37" stopIfTrue="1" operator="between">
      <formula>-0.1</formula>
      <formula>-50</formula>
    </cfRule>
    <cfRule type="cellIs" dxfId="452" priority="38" stopIfTrue="1" operator="between">
      <formula>0.1</formula>
      <formula>50</formula>
    </cfRule>
  </conditionalFormatting>
  <conditionalFormatting sqref="D111:D155">
    <cfRule type="cellIs" dxfId="451" priority="35" stopIfTrue="1" operator="between">
      <formula>-0.1</formula>
      <formula>-50</formula>
    </cfRule>
    <cfRule type="cellIs" dxfId="450" priority="36" stopIfTrue="1" operator="between">
      <formula>0.1</formula>
      <formula>50</formula>
    </cfRule>
  </conditionalFormatting>
  <conditionalFormatting sqref="G165">
    <cfRule type="expression" dxfId="449" priority="34" stopIfTrue="1">
      <formula>AND($G$165&gt;0,$G$151&gt;0)</formula>
    </cfRule>
  </conditionalFormatting>
  <conditionalFormatting sqref="G151">
    <cfRule type="expression" dxfId="448" priority="31" stopIfTrue="1">
      <formula>AND($G$151&gt;0,$G$165&gt;0)</formula>
    </cfRule>
  </conditionalFormatting>
  <dataValidations count="11">
    <dataValidation type="custom" operator="greaterThan" showInputMessage="1" showErrorMessage="1" errorTitle="RDM" error="No se admite ingresar RDM como ingresos y egresos a la vez. Tampoco se admiten valores menores a $50._x000a_" sqref="G151">
      <formula1>AND(OR(G151=0, G151&gt;50),G165=0)</formula1>
    </dataValidation>
    <dataValidation type="whole" operator="greaterThan" allowBlank="1" showInputMessage="1" showErrorMessage="1" sqref="D8:D12">
      <formula1>50</formula1>
    </dataValidation>
    <dataValidation type="whole" operator="greaterThan" showInputMessage="1" showErrorMessage="1" errorTitle="eee" error="Valores mayores a $50" sqref="D7">
      <formula1>50</formula1>
    </dataValidation>
    <dataValidation type="custom" operator="greaterThan" showInputMessage="1" showErrorMessage="1" errorTitle="eee" sqref="D56">
      <formula1>OR(D56=0, D56&lt;50)</formula1>
    </dataValidation>
    <dataValidation type="custom" operator="greaterThan" showInputMessage="1" showErrorMessage="1" errorTitle="eee" sqref="D57:D61">
      <formula1>OR(D57=0, D57&lt;0)</formula1>
    </dataValidation>
    <dataValidation type="custom" operator="greaterThan" showInputMessage="1" showErrorMessage="1" errorTitle="eee" sqref="G7:G140 D62:D155 G152:G164 G166:G181 G144:G150 D13:D55">
      <formula1>OR(D7=0, D7&gt;50)</formula1>
    </dataValidation>
    <dataValidation type="whole" allowBlank="1" showErrorMessage="1" errorTitle="Error de datos" error="Debe ingresar un valor entre 1 y 12" sqref="G1:G3">
      <formula1>1</formula1>
      <formula2>12</formula2>
    </dataValidation>
    <dataValidation allowBlank="1" errorTitle="Error de datos" error="Debe introducir una fecha válida" sqref="E3"/>
    <dataValidation allowBlank="1" sqref="G204"/>
    <dataValidation operator="greaterThanOrEqual" allowBlank="1" errorTitle="Error de datos" error="Debe ingresar un valor entero positivo" sqref="F6:F107 F203 C13:C47 C106:C153 F171 F174:F178 F180 F111:F119 C7:C10 F121:F140 F143:F169 C49:C62 C155 F109"/>
    <dataValidation type="custom" operator="greaterThan" showInputMessage="1" showErrorMessage="1" errorTitle="rdm2" error="No se admite ingresar a la vez RDM como ingresos y como egresos. Tampoco se admiten valores negattivos o positivos menores de 50" sqref="G165">
      <formula1>AND(OR(G165=0, G165&gt;50),G151=0)</formula1>
    </dataValidation>
  </dataValidations>
  <pageMargins left="0.7" right="0.7" top="0.75" bottom="0.75" header="0.3" footer="0.3"/>
  <ignoredErrors>
    <ignoredError sqref="E7:E181" numberStoredAsText="1"/>
    <ignoredError sqref="D9 G22:G23 D36:D46 G39 G46 G77 G97 D116 G121 G133 G156" unlockedFormula="1"/>
  </ignoredErrors>
  <legacy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15"/>
  <sheetViews>
    <sheetView showGridLines="0" workbookViewId="0">
      <selection activeCell="F4" sqref="F4"/>
    </sheetView>
  </sheetViews>
  <sheetFormatPr baseColWidth="10" defaultColWidth="0" defaultRowHeight="15" zeroHeight="1" x14ac:dyDescent="0.25"/>
  <cols>
    <col min="1" max="1" width="3.7109375" style="1" customWidth="1"/>
    <col min="2" max="2" width="14.28515625" style="7" hidden="1" customWidth="1"/>
    <col min="3" max="3" width="58.42578125" style="58" customWidth="1"/>
    <col min="4" max="4" width="25.140625" style="58" customWidth="1"/>
    <col min="5" max="5" width="5.85546875" style="82" customWidth="1"/>
    <col min="6" max="6" width="57.28515625" style="58" customWidth="1"/>
    <col min="7" max="7" width="24.7109375" style="58" customWidth="1"/>
    <col min="8" max="8" width="5.42578125" style="5" customWidth="1"/>
    <col min="9" max="16384" width="0" style="5" hidden="1"/>
  </cols>
  <sheetData>
    <row r="1" spans="1:9" ht="15.75" x14ac:dyDescent="0.25">
      <c r="B1" s="2"/>
      <c r="C1" s="313" t="s">
        <v>0</v>
      </c>
      <c r="D1" s="314"/>
      <c r="E1" s="315" t="str">
        <f>[19]Presentacion!C2</f>
        <v>COMEFLO</v>
      </c>
      <c r="F1" s="315"/>
      <c r="G1" s="3"/>
      <c r="H1" s="4"/>
    </row>
    <row r="2" spans="1:9" ht="15.75" x14ac:dyDescent="0.25">
      <c r="B2" s="6"/>
      <c r="C2" s="313" t="s">
        <v>1</v>
      </c>
      <c r="D2" s="314"/>
      <c r="E2" s="315" t="str">
        <f>[19]Presentacion!C3</f>
        <v>Flores</v>
      </c>
      <c r="F2" s="315"/>
      <c r="G2" s="3"/>
      <c r="H2" s="4"/>
    </row>
    <row r="3" spans="1:9" ht="15.75" x14ac:dyDescent="0.25">
      <c r="B3" s="6"/>
      <c r="C3" s="313" t="s">
        <v>2</v>
      </c>
      <c r="D3" s="316"/>
      <c r="E3" s="317" t="s">
        <v>3</v>
      </c>
      <c r="F3" s="317"/>
      <c r="G3" s="3"/>
      <c r="H3" s="4"/>
    </row>
    <row r="4" spans="1:9" ht="15.75" thickBot="1" x14ac:dyDescent="0.3">
      <c r="C4" s="287"/>
      <c r="D4" s="8"/>
      <c r="E4" s="9"/>
      <c r="F4" s="10"/>
      <c r="G4" s="11"/>
    </row>
    <row r="5" spans="1:9" ht="16.5" thickBot="1" x14ac:dyDescent="0.3">
      <c r="B5" s="12"/>
      <c r="C5" s="13" t="s">
        <v>4</v>
      </c>
      <c r="D5" s="284" t="s">
        <v>5</v>
      </c>
      <c r="E5" s="14"/>
      <c r="F5" s="13" t="s">
        <v>6</v>
      </c>
      <c r="G5" s="284" t="s">
        <v>5</v>
      </c>
      <c r="I5" s="15"/>
    </row>
    <row r="6" spans="1:9" ht="16.5" thickBot="1" x14ac:dyDescent="0.3">
      <c r="B6" s="12"/>
      <c r="C6" s="16" t="s">
        <v>7</v>
      </c>
      <c r="D6" s="290">
        <f>+[19]E.S.P.!D6</f>
        <v>2020</v>
      </c>
      <c r="E6" s="18"/>
      <c r="F6" s="16" t="s">
        <v>8</v>
      </c>
      <c r="G6" s="290">
        <f>+D6</f>
        <v>2020</v>
      </c>
      <c r="H6" s="15"/>
    </row>
    <row r="7" spans="1:9" x14ac:dyDescent="0.25">
      <c r="B7" s="6" t="s">
        <v>9</v>
      </c>
      <c r="C7" s="19" t="s">
        <v>10</v>
      </c>
      <c r="D7" s="20">
        <v>11726556</v>
      </c>
      <c r="E7" s="21" t="s">
        <v>11</v>
      </c>
      <c r="F7" s="22" t="s">
        <v>12</v>
      </c>
      <c r="G7" s="23">
        <v>3911798</v>
      </c>
    </row>
    <row r="8" spans="1:9" x14ac:dyDescent="0.25">
      <c r="B8" s="6" t="s">
        <v>13</v>
      </c>
      <c r="C8" s="19" t="s">
        <v>14</v>
      </c>
      <c r="D8" s="20">
        <v>35063601</v>
      </c>
      <c r="E8" s="21" t="s">
        <v>15</v>
      </c>
      <c r="F8" s="19" t="s">
        <v>16</v>
      </c>
      <c r="G8" s="24">
        <v>23141206</v>
      </c>
    </row>
    <row r="9" spans="1:9" x14ac:dyDescent="0.25">
      <c r="B9" s="6" t="s">
        <v>17</v>
      </c>
      <c r="C9" s="19" t="s">
        <v>18</v>
      </c>
      <c r="D9" s="20">
        <v>370922639</v>
      </c>
      <c r="E9" s="21" t="s">
        <v>19</v>
      </c>
      <c r="F9" s="19" t="s">
        <v>20</v>
      </c>
      <c r="G9" s="20">
        <v>16716745</v>
      </c>
    </row>
    <row r="10" spans="1:9" x14ac:dyDescent="0.25">
      <c r="B10" s="6" t="s">
        <v>21</v>
      </c>
      <c r="C10" s="19" t="s">
        <v>22</v>
      </c>
      <c r="D10" s="20">
        <v>30019537</v>
      </c>
      <c r="E10" s="21" t="s">
        <v>23</v>
      </c>
      <c r="F10" s="19" t="s">
        <v>24</v>
      </c>
      <c r="G10" s="20">
        <v>43605429</v>
      </c>
    </row>
    <row r="11" spans="1:9" x14ac:dyDescent="0.25">
      <c r="B11" s="6" t="s">
        <v>25</v>
      </c>
      <c r="C11" s="19" t="s">
        <v>26</v>
      </c>
      <c r="D11" s="20">
        <v>8655050</v>
      </c>
      <c r="E11" s="21" t="s">
        <v>27</v>
      </c>
      <c r="F11" s="19" t="s">
        <v>28</v>
      </c>
      <c r="G11" s="20">
        <v>24115620</v>
      </c>
    </row>
    <row r="12" spans="1:9" x14ac:dyDescent="0.25">
      <c r="B12" s="6" t="s">
        <v>29</v>
      </c>
      <c r="C12" s="19" t="s">
        <v>30</v>
      </c>
      <c r="D12" s="20">
        <v>11967109</v>
      </c>
      <c r="E12" s="21" t="s">
        <v>31</v>
      </c>
      <c r="F12" s="19" t="s">
        <v>32</v>
      </c>
      <c r="G12" s="20">
        <v>9317987</v>
      </c>
    </row>
    <row r="13" spans="1:9" x14ac:dyDescent="0.25">
      <c r="B13" s="6" t="s">
        <v>33</v>
      </c>
      <c r="C13" s="19" t="s">
        <v>34</v>
      </c>
      <c r="D13" s="20"/>
      <c r="E13" s="21" t="s">
        <v>35</v>
      </c>
      <c r="F13" s="19" t="s">
        <v>36</v>
      </c>
      <c r="G13" s="20">
        <v>905437</v>
      </c>
    </row>
    <row r="14" spans="1:9" x14ac:dyDescent="0.25">
      <c r="A14" s="25"/>
      <c r="B14" s="6" t="s">
        <v>37</v>
      </c>
      <c r="C14" s="19" t="s">
        <v>38</v>
      </c>
      <c r="D14" s="20"/>
      <c r="E14" s="21" t="s">
        <v>39</v>
      </c>
      <c r="F14" s="19" t="s">
        <v>40</v>
      </c>
      <c r="G14" s="20">
        <v>51959339</v>
      </c>
    </row>
    <row r="15" spans="1:9" x14ac:dyDescent="0.25">
      <c r="B15" s="6" t="s">
        <v>41</v>
      </c>
      <c r="C15" s="26" t="s">
        <v>42</v>
      </c>
      <c r="D15" s="20"/>
      <c r="E15" s="21" t="s">
        <v>43</v>
      </c>
      <c r="F15" s="19" t="s">
        <v>44</v>
      </c>
      <c r="G15" s="20">
        <v>26671050</v>
      </c>
    </row>
    <row r="16" spans="1:9" x14ac:dyDescent="0.25">
      <c r="B16" s="6" t="s">
        <v>45</v>
      </c>
      <c r="C16" s="19" t="s">
        <v>46</v>
      </c>
      <c r="D16" s="20"/>
      <c r="E16" s="21" t="s">
        <v>47</v>
      </c>
      <c r="F16" s="19" t="s">
        <v>48</v>
      </c>
      <c r="G16" s="20">
        <f>5971842+9651269+6993250</f>
        <v>22616361</v>
      </c>
    </row>
    <row r="17" spans="1:7" x14ac:dyDescent="0.25">
      <c r="B17" s="6" t="s">
        <v>49</v>
      </c>
      <c r="C17" s="19" t="s">
        <v>50</v>
      </c>
      <c r="D17" s="20"/>
      <c r="E17" s="21" t="s">
        <v>51</v>
      </c>
      <c r="F17" s="19" t="s">
        <v>52</v>
      </c>
      <c r="G17" s="20"/>
    </row>
    <row r="18" spans="1:7" x14ac:dyDescent="0.25">
      <c r="A18" s="25"/>
      <c r="B18" s="6" t="s">
        <v>53</v>
      </c>
      <c r="C18" s="19" t="s">
        <v>54</v>
      </c>
      <c r="D18" s="20"/>
      <c r="E18" s="21" t="s">
        <v>55</v>
      </c>
      <c r="F18" s="19" t="s">
        <v>56</v>
      </c>
      <c r="G18" s="27">
        <v>9559914</v>
      </c>
    </row>
    <row r="19" spans="1:7" ht="15.75" thickBot="1" x14ac:dyDescent="0.3">
      <c r="A19" s="25"/>
      <c r="B19" s="6" t="s">
        <v>57</v>
      </c>
      <c r="C19" s="19" t="s">
        <v>58</v>
      </c>
      <c r="D19" s="20">
        <v>19664945</v>
      </c>
      <c r="E19" s="21"/>
      <c r="F19" s="28" t="s">
        <v>59</v>
      </c>
      <c r="G19" s="29">
        <f>SUM(G7:G18)</f>
        <v>232520886</v>
      </c>
    </row>
    <row r="20" spans="1:7" ht="15.75" thickBot="1" x14ac:dyDescent="0.3">
      <c r="B20" s="6"/>
      <c r="C20" s="28" t="s">
        <v>60</v>
      </c>
      <c r="D20" s="29">
        <f>SUM(D7:D19)</f>
        <v>488019437</v>
      </c>
      <c r="E20" s="21" t="s">
        <v>61</v>
      </c>
      <c r="F20" s="22" t="s">
        <v>62</v>
      </c>
      <c r="G20" s="23">
        <v>33119</v>
      </c>
    </row>
    <row r="21" spans="1:7" x14ac:dyDescent="0.25">
      <c r="B21" s="6"/>
      <c r="C21" s="30" t="s">
        <v>63</v>
      </c>
      <c r="D21" s="31">
        <f>SUM(D22:D28)</f>
        <v>5934171</v>
      </c>
      <c r="E21" s="21" t="s">
        <v>64</v>
      </c>
      <c r="F21" s="19" t="s">
        <v>65</v>
      </c>
      <c r="G21" s="20">
        <v>7366353</v>
      </c>
    </row>
    <row r="22" spans="1:7" x14ac:dyDescent="0.25">
      <c r="B22" s="6" t="s">
        <v>66</v>
      </c>
      <c r="C22" s="19" t="s">
        <v>67</v>
      </c>
      <c r="D22" s="20">
        <v>4809923</v>
      </c>
      <c r="E22" s="21" t="s">
        <v>68</v>
      </c>
      <c r="F22" s="19" t="s">
        <v>69</v>
      </c>
      <c r="G22" s="20">
        <v>3307203</v>
      </c>
    </row>
    <row r="23" spans="1:7" x14ac:dyDescent="0.25">
      <c r="B23" s="6" t="s">
        <v>70</v>
      </c>
      <c r="C23" s="19" t="s">
        <v>71</v>
      </c>
      <c r="D23" s="20"/>
      <c r="E23" s="21" t="s">
        <v>72</v>
      </c>
      <c r="F23" s="19" t="s">
        <v>73</v>
      </c>
      <c r="G23" s="20"/>
    </row>
    <row r="24" spans="1:7" x14ac:dyDescent="0.25">
      <c r="B24" s="6" t="s">
        <v>74</v>
      </c>
      <c r="C24" s="19" t="s">
        <v>75</v>
      </c>
      <c r="D24" s="20">
        <v>655465</v>
      </c>
      <c r="E24" s="21" t="s">
        <v>76</v>
      </c>
      <c r="F24" s="19" t="s">
        <v>77</v>
      </c>
      <c r="G24" s="20"/>
    </row>
    <row r="25" spans="1:7" x14ac:dyDescent="0.25">
      <c r="B25" s="6" t="s">
        <v>78</v>
      </c>
      <c r="C25" s="19" t="s">
        <v>79</v>
      </c>
      <c r="D25" s="20">
        <v>132</v>
      </c>
      <c r="E25" s="21" t="s">
        <v>80</v>
      </c>
      <c r="F25" s="19" t="s">
        <v>81</v>
      </c>
      <c r="G25" s="20">
        <v>1511433</v>
      </c>
    </row>
    <row r="26" spans="1:7" x14ac:dyDescent="0.25">
      <c r="B26" s="6" t="s">
        <v>82</v>
      </c>
      <c r="C26" s="19" t="s">
        <v>83</v>
      </c>
      <c r="D26" s="20">
        <v>140699</v>
      </c>
      <c r="E26" s="21" t="s">
        <v>84</v>
      </c>
      <c r="F26" s="19" t="s">
        <v>85</v>
      </c>
      <c r="G26" s="27">
        <v>525503</v>
      </c>
    </row>
    <row r="27" spans="1:7" ht="15.75" thickBot="1" x14ac:dyDescent="0.3">
      <c r="B27" s="6" t="s">
        <v>86</v>
      </c>
      <c r="C27" s="19" t="s">
        <v>87</v>
      </c>
      <c r="D27" s="20">
        <v>44980</v>
      </c>
      <c r="E27" s="21"/>
      <c r="F27" s="28" t="s">
        <v>88</v>
      </c>
      <c r="G27" s="29">
        <f>SUM(G20:G26)</f>
        <v>12743611</v>
      </c>
    </row>
    <row r="28" spans="1:7" x14ac:dyDescent="0.25">
      <c r="B28" s="6" t="s">
        <v>89</v>
      </c>
      <c r="C28" s="19" t="s">
        <v>90</v>
      </c>
      <c r="D28" s="20">
        <v>282972</v>
      </c>
      <c r="E28" s="21" t="s">
        <v>91</v>
      </c>
      <c r="F28" s="22" t="s">
        <v>92</v>
      </c>
      <c r="G28" s="23">
        <v>11463250</v>
      </c>
    </row>
    <row r="29" spans="1:7" x14ac:dyDescent="0.25">
      <c r="B29" s="6"/>
      <c r="C29" s="32" t="s">
        <v>93</v>
      </c>
      <c r="D29" s="31">
        <f>SUM(D30:D34)</f>
        <v>35637426</v>
      </c>
      <c r="E29" s="21" t="s">
        <v>94</v>
      </c>
      <c r="F29" s="19" t="s">
        <v>95</v>
      </c>
      <c r="G29" s="20">
        <v>16831242</v>
      </c>
    </row>
    <row r="30" spans="1:7" x14ac:dyDescent="0.25">
      <c r="B30" s="6" t="s">
        <v>96</v>
      </c>
      <c r="C30" s="19" t="s">
        <v>97</v>
      </c>
      <c r="D30" s="20">
        <v>32662925</v>
      </c>
      <c r="E30" s="21" t="s">
        <v>98</v>
      </c>
      <c r="F30" s="19" t="s">
        <v>99</v>
      </c>
      <c r="G30" s="20">
        <v>1034270</v>
      </c>
    </row>
    <row r="31" spans="1:7" x14ac:dyDescent="0.25">
      <c r="B31" s="6" t="s">
        <v>100</v>
      </c>
      <c r="C31" s="19" t="s">
        <v>101</v>
      </c>
      <c r="D31" s="20">
        <v>511702</v>
      </c>
      <c r="E31" s="21" t="s">
        <v>102</v>
      </c>
      <c r="F31" s="19" t="s">
        <v>103</v>
      </c>
      <c r="G31" s="27">
        <v>1319268</v>
      </c>
    </row>
    <row r="32" spans="1:7" ht="15.75" thickBot="1" x14ac:dyDescent="0.3">
      <c r="B32" s="6" t="s">
        <v>104</v>
      </c>
      <c r="C32" s="19" t="s">
        <v>105</v>
      </c>
      <c r="D32" s="20">
        <v>1015575</v>
      </c>
      <c r="E32" s="21"/>
      <c r="F32" s="28" t="s">
        <v>106</v>
      </c>
      <c r="G32" s="29">
        <f>SUM(G28:G31)</f>
        <v>30648030</v>
      </c>
    </row>
    <row r="33" spans="2:7" x14ac:dyDescent="0.25">
      <c r="B33" s="6" t="s">
        <v>107</v>
      </c>
      <c r="C33" s="19" t="s">
        <v>108</v>
      </c>
      <c r="D33" s="20">
        <v>6908</v>
      </c>
      <c r="E33" s="21"/>
      <c r="F33" s="32" t="s">
        <v>109</v>
      </c>
      <c r="G33" s="31">
        <f>SUM(G34:G39)</f>
        <v>36171968</v>
      </c>
    </row>
    <row r="34" spans="2:7" x14ac:dyDescent="0.25">
      <c r="B34" s="6" t="s">
        <v>110</v>
      </c>
      <c r="C34" s="19" t="s">
        <v>111</v>
      </c>
      <c r="D34" s="20">
        <v>1440316</v>
      </c>
      <c r="E34" s="21" t="s">
        <v>112</v>
      </c>
      <c r="F34" s="19" t="s">
        <v>113</v>
      </c>
      <c r="G34" s="20">
        <v>4085175</v>
      </c>
    </row>
    <row r="35" spans="2:7" ht="15.75" thickBot="1" x14ac:dyDescent="0.3">
      <c r="B35" s="6"/>
      <c r="C35" s="28" t="s">
        <v>114</v>
      </c>
      <c r="D35" s="29">
        <f>+D21+D29</f>
        <v>41571597</v>
      </c>
      <c r="E35" s="21" t="s">
        <v>115</v>
      </c>
      <c r="F35" s="19" t="s">
        <v>116</v>
      </c>
      <c r="G35" s="20">
        <v>360179</v>
      </c>
    </row>
    <row r="36" spans="2:7" x14ac:dyDescent="0.25">
      <c r="B36" s="6" t="s">
        <v>117</v>
      </c>
      <c r="C36" s="19" t="s">
        <v>118</v>
      </c>
      <c r="D36" s="20"/>
      <c r="E36" s="21" t="s">
        <v>119</v>
      </c>
      <c r="F36" s="19" t="s">
        <v>120</v>
      </c>
      <c r="G36" s="20">
        <v>650742</v>
      </c>
    </row>
    <row r="37" spans="2:7" x14ac:dyDescent="0.25">
      <c r="B37" s="6" t="s">
        <v>121</v>
      </c>
      <c r="C37" s="19" t="s">
        <v>122</v>
      </c>
      <c r="D37" s="20"/>
      <c r="E37" s="21" t="s">
        <v>123</v>
      </c>
      <c r="F37" s="19" t="s">
        <v>124</v>
      </c>
      <c r="G37" s="20">
        <v>1519539</v>
      </c>
    </row>
    <row r="38" spans="2:7" x14ac:dyDescent="0.25">
      <c r="B38" s="6" t="s">
        <v>125</v>
      </c>
      <c r="C38" s="19" t="s">
        <v>126</v>
      </c>
      <c r="D38" s="20"/>
      <c r="E38" s="21" t="s">
        <v>127</v>
      </c>
      <c r="F38" s="19" t="s">
        <v>128</v>
      </c>
      <c r="G38" s="20">
        <v>4242246</v>
      </c>
    </row>
    <row r="39" spans="2:7" x14ac:dyDescent="0.25">
      <c r="B39" s="6" t="s">
        <v>129</v>
      </c>
      <c r="C39" s="19" t="s">
        <v>130</v>
      </c>
      <c r="D39" s="20"/>
      <c r="E39" s="21" t="s">
        <v>131</v>
      </c>
      <c r="F39" s="19" t="s">
        <v>132</v>
      </c>
      <c r="G39" s="20">
        <v>25314087</v>
      </c>
    </row>
    <row r="40" spans="2:7" x14ac:dyDescent="0.25">
      <c r="B40" s="6" t="s">
        <v>133</v>
      </c>
      <c r="C40" s="19" t="s">
        <v>134</v>
      </c>
      <c r="D40" s="20"/>
      <c r="E40" s="21"/>
      <c r="F40" s="33" t="s">
        <v>135</v>
      </c>
      <c r="G40" s="34">
        <f>SUM(G41:G46)</f>
        <v>6436929</v>
      </c>
    </row>
    <row r="41" spans="2:7" x14ac:dyDescent="0.25">
      <c r="B41" s="6" t="s">
        <v>136</v>
      </c>
      <c r="C41" s="19" t="s">
        <v>137</v>
      </c>
      <c r="D41" s="20"/>
      <c r="E41" s="21" t="s">
        <v>138</v>
      </c>
      <c r="F41" s="19" t="s">
        <v>139</v>
      </c>
      <c r="G41" s="20">
        <v>353659</v>
      </c>
    </row>
    <row r="42" spans="2:7" x14ac:dyDescent="0.25">
      <c r="B42" s="6" t="s">
        <v>140</v>
      </c>
      <c r="C42" s="19" t="s">
        <v>141</v>
      </c>
      <c r="D42" s="20">
        <v>5167705</v>
      </c>
      <c r="E42" s="21" t="s">
        <v>142</v>
      </c>
      <c r="F42" s="19" t="s">
        <v>143</v>
      </c>
      <c r="G42" s="20">
        <v>0</v>
      </c>
    </row>
    <row r="43" spans="2:7" x14ac:dyDescent="0.25">
      <c r="B43" s="6" t="s">
        <v>144</v>
      </c>
      <c r="C43" s="19" t="s">
        <v>145</v>
      </c>
      <c r="D43" s="20"/>
      <c r="E43" s="21" t="s">
        <v>146</v>
      </c>
      <c r="F43" s="19" t="s">
        <v>147</v>
      </c>
      <c r="G43" s="20">
        <v>366372</v>
      </c>
    </row>
    <row r="44" spans="2:7" x14ac:dyDescent="0.25">
      <c r="B44" s="6" t="s">
        <v>148</v>
      </c>
      <c r="C44" s="19" t="s">
        <v>149</v>
      </c>
      <c r="D44" s="20"/>
      <c r="E44" s="21" t="s">
        <v>150</v>
      </c>
      <c r="F44" s="19" t="s">
        <v>151</v>
      </c>
      <c r="G44" s="20">
        <v>117761</v>
      </c>
    </row>
    <row r="45" spans="2:7" x14ac:dyDescent="0.25">
      <c r="B45" s="6" t="s">
        <v>152</v>
      </c>
      <c r="C45" s="19" t="s">
        <v>153</v>
      </c>
      <c r="D45" s="20">
        <v>47198</v>
      </c>
      <c r="E45" s="21" t="s">
        <v>154</v>
      </c>
      <c r="F45" s="19" t="s">
        <v>155</v>
      </c>
      <c r="G45" s="20">
        <v>216691</v>
      </c>
    </row>
    <row r="46" spans="2:7" x14ac:dyDescent="0.25">
      <c r="B46" s="6" t="s">
        <v>156</v>
      </c>
      <c r="C46" s="19" t="s">
        <v>157</v>
      </c>
      <c r="D46" s="20">
        <v>223193</v>
      </c>
      <c r="E46" s="21" t="s">
        <v>158</v>
      </c>
      <c r="F46" s="19" t="s">
        <v>159</v>
      </c>
      <c r="G46" s="20">
        <v>5382446</v>
      </c>
    </row>
    <row r="47" spans="2:7" ht="15.75" thickBot="1" x14ac:dyDescent="0.3">
      <c r="B47" s="6"/>
      <c r="C47" s="28" t="s">
        <v>160</v>
      </c>
      <c r="D47" s="29">
        <f>SUM(D36:D46)</f>
        <v>5438096</v>
      </c>
      <c r="E47" s="21" t="s">
        <v>161</v>
      </c>
      <c r="F47" s="19" t="s">
        <v>162</v>
      </c>
      <c r="G47" s="27">
        <v>1766313</v>
      </c>
    </row>
    <row r="48" spans="2:7" ht="15.75" thickBot="1" x14ac:dyDescent="0.3">
      <c r="B48" s="6"/>
      <c r="C48" s="35" t="s">
        <v>163</v>
      </c>
      <c r="D48" s="36"/>
      <c r="E48" s="21"/>
      <c r="F48" s="28" t="s">
        <v>164</v>
      </c>
      <c r="G48" s="37">
        <f>+G33+G40+G47</f>
        <v>44375210</v>
      </c>
    </row>
    <row r="49" spans="2:7" x14ac:dyDescent="0.25">
      <c r="B49" s="6" t="s">
        <v>165</v>
      </c>
      <c r="C49" s="38" t="s">
        <v>166</v>
      </c>
      <c r="D49" s="39">
        <v>53632</v>
      </c>
      <c r="E49" s="21" t="s">
        <v>167</v>
      </c>
      <c r="F49" s="22" t="s">
        <v>168</v>
      </c>
      <c r="G49" s="23">
        <v>0</v>
      </c>
    </row>
    <row r="50" spans="2:7" x14ac:dyDescent="0.25">
      <c r="B50" s="6" t="s">
        <v>169</v>
      </c>
      <c r="C50" s="19" t="s">
        <v>163</v>
      </c>
      <c r="D50" s="20">
        <v>1900</v>
      </c>
      <c r="E50" s="21" t="s">
        <v>170</v>
      </c>
      <c r="F50" s="19" t="s">
        <v>171</v>
      </c>
      <c r="G50" s="20">
        <v>10781924</v>
      </c>
    </row>
    <row r="51" spans="2:7" x14ac:dyDescent="0.25">
      <c r="B51" s="6" t="s">
        <v>172</v>
      </c>
      <c r="C51" s="19" t="s">
        <v>173</v>
      </c>
      <c r="D51" s="27">
        <v>1377</v>
      </c>
      <c r="E51" s="21" t="s">
        <v>174</v>
      </c>
      <c r="F51" s="19" t="s">
        <v>175</v>
      </c>
      <c r="G51" s="20">
        <v>447949</v>
      </c>
    </row>
    <row r="52" spans="2:7" ht="15.75" thickBot="1" x14ac:dyDescent="0.3">
      <c r="B52" s="12"/>
      <c r="C52" s="28" t="s">
        <v>176</v>
      </c>
      <c r="D52" s="29">
        <f>SUM(D49:D51)</f>
        <v>56909</v>
      </c>
      <c r="E52" s="21" t="s">
        <v>177</v>
      </c>
      <c r="F52" s="19" t="s">
        <v>178</v>
      </c>
      <c r="G52" s="20">
        <v>206815</v>
      </c>
    </row>
    <row r="53" spans="2:7" ht="15.75" thickBot="1" x14ac:dyDescent="0.3">
      <c r="B53" s="6"/>
      <c r="C53" s="40" t="s">
        <v>179</v>
      </c>
      <c r="D53" s="41">
        <f>D20+D35+D47+D52</f>
        <v>535086039</v>
      </c>
      <c r="E53" s="21" t="s">
        <v>180</v>
      </c>
      <c r="F53" s="19" t="s">
        <v>181</v>
      </c>
      <c r="G53" s="20">
        <v>55641</v>
      </c>
    </row>
    <row r="54" spans="2:7" x14ac:dyDescent="0.25">
      <c r="C54" s="42"/>
      <c r="D54" s="43"/>
      <c r="E54" s="21" t="s">
        <v>182</v>
      </c>
      <c r="F54" s="19" t="s">
        <v>183</v>
      </c>
      <c r="G54" s="20">
        <v>510285</v>
      </c>
    </row>
    <row r="55" spans="2:7" x14ac:dyDescent="0.25">
      <c r="C55" s="44" t="s">
        <v>184</v>
      </c>
      <c r="D55" s="45"/>
      <c r="E55" s="21" t="s">
        <v>185</v>
      </c>
      <c r="F55" s="19" t="s">
        <v>186</v>
      </c>
      <c r="G55" s="20">
        <v>102764</v>
      </c>
    </row>
    <row r="56" spans="2:7" x14ac:dyDescent="0.25">
      <c r="B56" s="6" t="s">
        <v>187</v>
      </c>
      <c r="C56" s="46" t="s">
        <v>188</v>
      </c>
      <c r="D56" s="20"/>
      <c r="E56" s="21" t="s">
        <v>189</v>
      </c>
      <c r="F56" s="19" t="s">
        <v>190</v>
      </c>
      <c r="G56" s="27">
        <v>446276</v>
      </c>
    </row>
    <row r="57" spans="2:7" ht="15.75" thickBot="1" x14ac:dyDescent="0.3">
      <c r="B57" s="6" t="s">
        <v>191</v>
      </c>
      <c r="C57" s="46" t="s">
        <v>192</v>
      </c>
      <c r="D57" s="20"/>
      <c r="E57" s="21"/>
      <c r="F57" s="28" t="s">
        <v>193</v>
      </c>
      <c r="G57" s="29">
        <f>SUM(G49:G56)</f>
        <v>12551654</v>
      </c>
    </row>
    <row r="58" spans="2:7" x14ac:dyDescent="0.25">
      <c r="B58" s="6" t="s">
        <v>194</v>
      </c>
      <c r="C58" s="46" t="s">
        <v>195</v>
      </c>
      <c r="D58" s="20"/>
      <c r="E58" s="21" t="s">
        <v>196</v>
      </c>
      <c r="F58" s="22" t="s">
        <v>197</v>
      </c>
      <c r="G58" s="23">
        <v>0</v>
      </c>
    </row>
    <row r="59" spans="2:7" x14ac:dyDescent="0.25">
      <c r="B59" s="6" t="s">
        <v>198</v>
      </c>
      <c r="C59" s="19" t="s">
        <v>199</v>
      </c>
      <c r="D59" s="27"/>
      <c r="E59" s="21" t="s">
        <v>200</v>
      </c>
      <c r="F59" s="19" t="s">
        <v>201</v>
      </c>
      <c r="G59" s="20">
        <v>21088772</v>
      </c>
    </row>
    <row r="60" spans="2:7" ht="15.75" thickBot="1" x14ac:dyDescent="0.3">
      <c r="B60" s="6"/>
      <c r="C60" s="28" t="s">
        <v>202</v>
      </c>
      <c r="D60" s="29">
        <f>SUM(D56:D59)</f>
        <v>0</v>
      </c>
      <c r="E60" s="21" t="s">
        <v>203</v>
      </c>
      <c r="F60" s="19" t="s">
        <v>204</v>
      </c>
      <c r="G60" s="20">
        <v>15617201</v>
      </c>
    </row>
    <row r="61" spans="2:7" ht="16.5" thickBot="1" x14ac:dyDescent="0.3">
      <c r="B61" s="47"/>
      <c r="C61" s="48" t="s">
        <v>205</v>
      </c>
      <c r="D61" s="49">
        <f>D53+D60</f>
        <v>535086039</v>
      </c>
      <c r="E61" s="21" t="s">
        <v>206</v>
      </c>
      <c r="F61" s="19" t="s">
        <v>207</v>
      </c>
      <c r="G61" s="20">
        <v>707685</v>
      </c>
    </row>
    <row r="62" spans="2:7" x14ac:dyDescent="0.25">
      <c r="B62" s="50"/>
      <c r="C62" s="51"/>
      <c r="D62" s="51"/>
      <c r="E62" s="21" t="s">
        <v>208</v>
      </c>
      <c r="F62" s="19" t="s">
        <v>209</v>
      </c>
      <c r="G62" s="20">
        <v>0</v>
      </c>
    </row>
    <row r="63" spans="2:7" x14ac:dyDescent="0.25">
      <c r="B63" s="52"/>
      <c r="C63" s="53" t="s">
        <v>8</v>
      </c>
      <c r="D63" s="53"/>
      <c r="E63" s="21" t="s">
        <v>210</v>
      </c>
      <c r="F63" s="19" t="s">
        <v>211</v>
      </c>
      <c r="G63" s="20">
        <v>17267213</v>
      </c>
    </row>
    <row r="64" spans="2:7" x14ac:dyDescent="0.25">
      <c r="B64" s="54" t="s">
        <v>212</v>
      </c>
      <c r="C64" s="55" t="s">
        <v>213</v>
      </c>
      <c r="D64" s="55">
        <f>[19]Amortizaciones!D6</f>
        <v>4408794</v>
      </c>
      <c r="E64" s="21" t="s">
        <v>214</v>
      </c>
      <c r="F64" s="19" t="s">
        <v>215</v>
      </c>
      <c r="G64" s="20">
        <v>2940132</v>
      </c>
    </row>
    <row r="65" spans="2:7" x14ac:dyDescent="0.25">
      <c r="B65" s="54" t="s">
        <v>216</v>
      </c>
      <c r="C65" s="55" t="s">
        <v>217</v>
      </c>
      <c r="D65" s="55">
        <f>[19]Amortizaciones!D7</f>
        <v>0</v>
      </c>
      <c r="E65" s="21" t="s">
        <v>218</v>
      </c>
      <c r="F65" s="19" t="s">
        <v>219</v>
      </c>
      <c r="G65" s="20">
        <v>1076470</v>
      </c>
    </row>
    <row r="66" spans="2:7" x14ac:dyDescent="0.25">
      <c r="B66" s="54" t="s">
        <v>220</v>
      </c>
      <c r="C66" s="55" t="s">
        <v>221</v>
      </c>
      <c r="D66" s="55">
        <f>[19]Amortizaciones!D8</f>
        <v>3150533</v>
      </c>
      <c r="E66" s="21" t="s">
        <v>222</v>
      </c>
      <c r="F66" s="19" t="s">
        <v>223</v>
      </c>
      <c r="G66" s="20">
        <v>4578156</v>
      </c>
    </row>
    <row r="67" spans="2:7" x14ac:dyDescent="0.25">
      <c r="B67" s="54" t="s">
        <v>224</v>
      </c>
      <c r="C67" s="55" t="s">
        <v>225</v>
      </c>
      <c r="D67" s="55">
        <f>[19]Amortizaciones!D9</f>
        <v>0</v>
      </c>
      <c r="E67" s="21" t="s">
        <v>226</v>
      </c>
      <c r="F67" s="19" t="s">
        <v>227</v>
      </c>
      <c r="G67" s="20">
        <v>3990419</v>
      </c>
    </row>
    <row r="68" spans="2:7" x14ac:dyDescent="0.25">
      <c r="B68" s="54" t="s">
        <v>228</v>
      </c>
      <c r="C68" s="55" t="s">
        <v>229</v>
      </c>
      <c r="D68" s="55">
        <f>[19]Amortizaciones!D10</f>
        <v>0</v>
      </c>
      <c r="E68" s="21" t="s">
        <v>230</v>
      </c>
      <c r="F68" s="19" t="s">
        <v>231</v>
      </c>
      <c r="G68" s="20">
        <v>0</v>
      </c>
    </row>
    <row r="69" spans="2:7" x14ac:dyDescent="0.25">
      <c r="B69" s="54" t="s">
        <v>232</v>
      </c>
      <c r="C69" s="55" t="s">
        <v>233</v>
      </c>
      <c r="D69" s="55">
        <f>[19]Amortizaciones!D11</f>
        <v>609697</v>
      </c>
      <c r="E69" s="21" t="s">
        <v>234</v>
      </c>
      <c r="F69" s="19" t="s">
        <v>235</v>
      </c>
      <c r="G69" s="20">
        <v>893014</v>
      </c>
    </row>
    <row r="70" spans="2:7" x14ac:dyDescent="0.25">
      <c r="B70" s="54" t="s">
        <v>236</v>
      </c>
      <c r="C70" s="55" t="s">
        <v>237</v>
      </c>
      <c r="D70" s="55">
        <f>[19]Amortizaciones!D12</f>
        <v>0</v>
      </c>
      <c r="E70" s="21" t="s">
        <v>238</v>
      </c>
      <c r="F70" s="19" t="s">
        <v>239</v>
      </c>
      <c r="G70" s="20">
        <v>49659</v>
      </c>
    </row>
    <row r="71" spans="2:7" x14ac:dyDescent="0.25">
      <c r="B71" s="54" t="s">
        <v>240</v>
      </c>
      <c r="C71" s="55" t="s">
        <v>241</v>
      </c>
      <c r="D71" s="55">
        <f>[19]Amortizaciones!D13</f>
        <v>0</v>
      </c>
      <c r="E71" s="21" t="s">
        <v>242</v>
      </c>
      <c r="F71" s="19" t="s">
        <v>243</v>
      </c>
      <c r="G71" s="20">
        <v>0</v>
      </c>
    </row>
    <row r="72" spans="2:7" x14ac:dyDescent="0.25">
      <c r="B72" s="54" t="s">
        <v>244</v>
      </c>
      <c r="C72" s="55" t="s">
        <v>245</v>
      </c>
      <c r="D72" s="55">
        <f>[19]Amortizaciones!D14</f>
        <v>0</v>
      </c>
      <c r="E72" s="21" t="s">
        <v>246</v>
      </c>
      <c r="F72" s="19" t="s">
        <v>247</v>
      </c>
      <c r="G72" s="20">
        <v>0</v>
      </c>
    </row>
    <row r="73" spans="2:7" x14ac:dyDescent="0.25">
      <c r="B73" s="54" t="s">
        <v>248</v>
      </c>
      <c r="C73" s="55" t="s">
        <v>249</v>
      </c>
      <c r="D73" s="55">
        <f>[19]Amortizaciones!D15</f>
        <v>0</v>
      </c>
      <c r="E73" s="21" t="s">
        <v>250</v>
      </c>
      <c r="F73" s="19" t="s">
        <v>251</v>
      </c>
      <c r="G73" s="20">
        <v>0</v>
      </c>
    </row>
    <row r="74" spans="2:7" x14ac:dyDescent="0.25">
      <c r="B74" s="54" t="s">
        <v>252</v>
      </c>
      <c r="C74" s="55" t="s">
        <v>253</v>
      </c>
      <c r="D74" s="55">
        <f>[19]Amortizaciones!D16</f>
        <v>0</v>
      </c>
      <c r="E74" s="21" t="s">
        <v>254</v>
      </c>
      <c r="F74" s="19" t="s">
        <v>255</v>
      </c>
      <c r="G74" s="20">
        <v>0</v>
      </c>
    </row>
    <row r="75" spans="2:7" x14ac:dyDescent="0.25">
      <c r="B75" s="54" t="s">
        <v>256</v>
      </c>
      <c r="C75" s="55" t="s">
        <v>257</v>
      </c>
      <c r="D75" s="55">
        <f>[19]Amortizaciones!D17</f>
        <v>0</v>
      </c>
      <c r="E75" s="21" t="s">
        <v>258</v>
      </c>
      <c r="F75" s="19" t="s">
        <v>259</v>
      </c>
      <c r="G75" s="20">
        <v>2899986</v>
      </c>
    </row>
    <row r="76" spans="2:7" x14ac:dyDescent="0.25">
      <c r="B76" s="54" t="s">
        <v>260</v>
      </c>
      <c r="C76" s="55" t="s">
        <v>261</v>
      </c>
      <c r="D76" s="55">
        <f>[19]Amortizaciones!D18</f>
        <v>0</v>
      </c>
      <c r="E76" s="21" t="s">
        <v>262</v>
      </c>
      <c r="F76" s="19" t="s">
        <v>263</v>
      </c>
      <c r="G76" s="20">
        <f>4006111+1602576</f>
        <v>5608687</v>
      </c>
    </row>
    <row r="77" spans="2:7" x14ac:dyDescent="0.25">
      <c r="B77" s="54" t="s">
        <v>264</v>
      </c>
      <c r="C77" s="55" t="s">
        <v>265</v>
      </c>
      <c r="D77" s="55">
        <f>SUM(D64:D76)</f>
        <v>8169024</v>
      </c>
      <c r="E77" s="21" t="s">
        <v>266</v>
      </c>
      <c r="F77" s="19" t="s">
        <v>267</v>
      </c>
      <c r="G77" s="20">
        <f>7636725+1952637+4771445+169950+4107410+4806051+779877+2564484</f>
        <v>26788579</v>
      </c>
    </row>
    <row r="78" spans="2:7" x14ac:dyDescent="0.25">
      <c r="B78" s="54"/>
      <c r="C78" s="55"/>
      <c r="D78" s="55"/>
      <c r="E78" s="21" t="s">
        <v>268</v>
      </c>
      <c r="F78" s="19" t="s">
        <v>269</v>
      </c>
      <c r="G78" s="27">
        <v>4696612</v>
      </c>
    </row>
    <row r="79" spans="2:7" ht="15.75" thickBot="1" x14ac:dyDescent="0.3">
      <c r="B79" s="54"/>
      <c r="C79" s="53" t="s">
        <v>270</v>
      </c>
      <c r="D79" s="56"/>
      <c r="E79" s="21"/>
      <c r="F79" s="28" t="s">
        <v>271</v>
      </c>
      <c r="G79" s="29">
        <f>SUM(G58:G78)</f>
        <v>108202585</v>
      </c>
    </row>
    <row r="80" spans="2:7" x14ac:dyDescent="0.25">
      <c r="B80" s="54" t="s">
        <v>272</v>
      </c>
      <c r="C80" s="55" t="s">
        <v>237</v>
      </c>
      <c r="D80" s="55">
        <f>[19]Amortizaciones!D22</f>
        <v>0</v>
      </c>
      <c r="E80" s="21" t="s">
        <v>273</v>
      </c>
      <c r="F80" s="22" t="s">
        <v>274</v>
      </c>
      <c r="G80" s="23">
        <v>137562</v>
      </c>
    </row>
    <row r="81" spans="2:7" x14ac:dyDescent="0.25">
      <c r="B81" s="54" t="s">
        <v>275</v>
      </c>
      <c r="C81" s="55" t="s">
        <v>241</v>
      </c>
      <c r="D81" s="55">
        <f>[19]Amortizaciones!D23</f>
        <v>671480</v>
      </c>
      <c r="E81" s="21" t="s">
        <v>276</v>
      </c>
      <c r="F81" s="19" t="s">
        <v>277</v>
      </c>
      <c r="G81" s="20">
        <v>51670</v>
      </c>
    </row>
    <row r="82" spans="2:7" x14ac:dyDescent="0.25">
      <c r="B82" s="54" t="s">
        <v>278</v>
      </c>
      <c r="C82" s="55" t="s">
        <v>245</v>
      </c>
      <c r="D82" s="55">
        <f>[19]Amortizaciones!D24</f>
        <v>1861614</v>
      </c>
      <c r="E82" s="21" t="s">
        <v>279</v>
      </c>
      <c r="F82" s="19" t="s">
        <v>280</v>
      </c>
      <c r="G82" s="20">
        <v>200011</v>
      </c>
    </row>
    <row r="83" spans="2:7" x14ac:dyDescent="0.25">
      <c r="B83" s="54" t="s">
        <v>281</v>
      </c>
      <c r="C83" s="55" t="s">
        <v>249</v>
      </c>
      <c r="D83" s="55">
        <f>[19]Amortizaciones!D25</f>
        <v>0</v>
      </c>
      <c r="E83" s="21" t="s">
        <v>282</v>
      </c>
      <c r="F83" s="19" t="s">
        <v>283</v>
      </c>
      <c r="G83" s="20">
        <v>1057888</v>
      </c>
    </row>
    <row r="84" spans="2:7" x14ac:dyDescent="0.25">
      <c r="B84" s="54" t="s">
        <v>284</v>
      </c>
      <c r="C84" s="55" t="s">
        <v>285</v>
      </c>
      <c r="D84" s="55">
        <v>0</v>
      </c>
      <c r="E84" s="21" t="s">
        <v>286</v>
      </c>
      <c r="F84" s="19" t="s">
        <v>287</v>
      </c>
      <c r="G84" s="20">
        <v>2867275</v>
      </c>
    </row>
    <row r="85" spans="2:7" x14ac:dyDescent="0.25">
      <c r="B85" s="54" t="s">
        <v>288</v>
      </c>
      <c r="C85" s="55" t="s">
        <v>289</v>
      </c>
      <c r="D85" s="55">
        <f>[19]Amortizaciones!D27</f>
        <v>0</v>
      </c>
      <c r="E85" s="21" t="s">
        <v>290</v>
      </c>
      <c r="F85" s="19" t="s">
        <v>291</v>
      </c>
      <c r="G85" s="20"/>
    </row>
    <row r="86" spans="2:7" x14ac:dyDescent="0.25">
      <c r="B86" s="54" t="s">
        <v>292</v>
      </c>
      <c r="C86" s="55" t="s">
        <v>293</v>
      </c>
      <c r="D86" s="55">
        <f>[19]Amortizaciones!D28</f>
        <v>0</v>
      </c>
      <c r="E86" s="21" t="s">
        <v>294</v>
      </c>
      <c r="F86" s="19" t="s">
        <v>295</v>
      </c>
      <c r="G86" s="20">
        <v>214946</v>
      </c>
    </row>
    <row r="87" spans="2:7" x14ac:dyDescent="0.25">
      <c r="B87" s="54" t="s">
        <v>296</v>
      </c>
      <c r="C87" s="55" t="s">
        <v>297</v>
      </c>
      <c r="D87" s="55">
        <f>[19]Amortizaciones!D29</f>
        <v>0</v>
      </c>
      <c r="E87" s="21" t="s">
        <v>298</v>
      </c>
      <c r="F87" s="19" t="s">
        <v>299</v>
      </c>
      <c r="G87" s="20">
        <v>659</v>
      </c>
    </row>
    <row r="88" spans="2:7" x14ac:dyDescent="0.25">
      <c r="B88" s="54" t="s">
        <v>300</v>
      </c>
      <c r="C88" s="55" t="s">
        <v>301</v>
      </c>
      <c r="D88" s="55">
        <f>[19]Amortizaciones!D30</f>
        <v>0</v>
      </c>
      <c r="E88" s="21" t="s">
        <v>302</v>
      </c>
      <c r="F88" s="19" t="s">
        <v>303</v>
      </c>
      <c r="G88" s="20">
        <v>369749</v>
      </c>
    </row>
    <row r="89" spans="2:7" x14ac:dyDescent="0.25">
      <c r="B89" s="54" t="s">
        <v>304</v>
      </c>
      <c r="C89" s="55" t="s">
        <v>213</v>
      </c>
      <c r="D89" s="55">
        <f>[19]Amortizaciones!D31</f>
        <v>0</v>
      </c>
      <c r="E89" s="21" t="s">
        <v>305</v>
      </c>
      <c r="F89" s="19" t="s">
        <v>306</v>
      </c>
      <c r="G89" s="20">
        <v>1700346</v>
      </c>
    </row>
    <row r="90" spans="2:7" x14ac:dyDescent="0.25">
      <c r="B90" s="54" t="s">
        <v>307</v>
      </c>
      <c r="C90" s="55" t="s">
        <v>229</v>
      </c>
      <c r="D90" s="55">
        <f>[19]Amortizaciones!D32</f>
        <v>2592</v>
      </c>
      <c r="E90" s="21" t="s">
        <v>308</v>
      </c>
      <c r="F90" s="19" t="s">
        <v>309</v>
      </c>
      <c r="G90" s="20"/>
    </row>
    <row r="91" spans="2:7" x14ac:dyDescent="0.25">
      <c r="B91" s="54" t="s">
        <v>310</v>
      </c>
      <c r="C91" s="55" t="s">
        <v>311</v>
      </c>
      <c r="D91" s="55">
        <f>SUM(D80:D90)</f>
        <v>2535686</v>
      </c>
      <c r="E91" s="52" t="s">
        <v>312</v>
      </c>
      <c r="F91" s="19" t="s">
        <v>313</v>
      </c>
      <c r="G91" s="20"/>
    </row>
    <row r="92" spans="2:7" x14ac:dyDescent="0.25">
      <c r="B92" s="54"/>
      <c r="C92" s="57" t="s">
        <v>314</v>
      </c>
      <c r="D92" s="55">
        <f>D77+D91</f>
        <v>10704710</v>
      </c>
      <c r="E92" s="52" t="s">
        <v>315</v>
      </c>
      <c r="F92" s="19" t="s">
        <v>316</v>
      </c>
      <c r="G92" s="20"/>
    </row>
    <row r="93" spans="2:7" x14ac:dyDescent="0.25">
      <c r="E93" s="52" t="s">
        <v>317</v>
      </c>
      <c r="F93" s="19" t="s">
        <v>318</v>
      </c>
      <c r="G93" s="20">
        <f>354646+5754473-86321</f>
        <v>6022798</v>
      </c>
    </row>
    <row r="94" spans="2:7" x14ac:dyDescent="0.25">
      <c r="E94" s="52" t="s">
        <v>319</v>
      </c>
      <c r="F94" s="19" t="s">
        <v>320</v>
      </c>
      <c r="G94" s="27">
        <v>499304</v>
      </c>
    </row>
    <row r="95" spans="2:7" ht="13.5" customHeight="1" thickBot="1" x14ac:dyDescent="0.3">
      <c r="E95" s="21"/>
      <c r="F95" s="28" t="s">
        <v>321</v>
      </c>
      <c r="G95" s="29">
        <f>SUM(G80:G94)</f>
        <v>13122208</v>
      </c>
    </row>
    <row r="96" spans="2:7" x14ac:dyDescent="0.25">
      <c r="E96" s="52" t="s">
        <v>322</v>
      </c>
      <c r="F96" s="22" t="s">
        <v>323</v>
      </c>
      <c r="G96" s="23">
        <f>217359+15628</f>
        <v>232987</v>
      </c>
    </row>
    <row r="97" spans="2:7" x14ac:dyDescent="0.25">
      <c r="E97" s="52" t="s">
        <v>324</v>
      </c>
      <c r="F97" s="19" t="s">
        <v>325</v>
      </c>
      <c r="G97" s="20">
        <f>708319+73065+880</f>
        <v>782264</v>
      </c>
    </row>
    <row r="98" spans="2:7" x14ac:dyDescent="0.25">
      <c r="E98" s="52" t="s">
        <v>326</v>
      </c>
      <c r="F98" s="19" t="s">
        <v>327</v>
      </c>
      <c r="G98" s="20">
        <v>200144</v>
      </c>
    </row>
    <row r="99" spans="2:7" x14ac:dyDescent="0.25">
      <c r="E99" s="52" t="s">
        <v>328</v>
      </c>
      <c r="F99" s="19" t="s">
        <v>329</v>
      </c>
      <c r="G99" s="20">
        <f>172397+77000</f>
        <v>249397</v>
      </c>
    </row>
    <row r="100" spans="2:7" x14ac:dyDescent="0.25">
      <c r="E100" s="52" t="s">
        <v>330</v>
      </c>
      <c r="F100" s="19" t="s">
        <v>331</v>
      </c>
      <c r="G100" s="27">
        <v>50468</v>
      </c>
    </row>
    <row r="101" spans="2:7" ht="15.75" thickBot="1" x14ac:dyDescent="0.3">
      <c r="E101" s="21"/>
      <c r="F101" s="28" t="s">
        <v>332</v>
      </c>
      <c r="G101" s="29">
        <f>SUM(G96:G100)</f>
        <v>1515260</v>
      </c>
    </row>
    <row r="102" spans="2:7" ht="15.75" thickBot="1" x14ac:dyDescent="0.3">
      <c r="E102" s="52"/>
      <c r="F102" s="59" t="s">
        <v>333</v>
      </c>
      <c r="G102" s="60">
        <f>[19]Amortizaciones!D19</f>
        <v>8169024</v>
      </c>
    </row>
    <row r="103" spans="2:7" x14ac:dyDescent="0.25">
      <c r="E103" s="52" t="s">
        <v>334</v>
      </c>
      <c r="F103" s="19" t="s">
        <v>335</v>
      </c>
      <c r="G103" s="23"/>
    </row>
    <row r="104" spans="2:7" x14ac:dyDescent="0.25">
      <c r="E104" s="52" t="s">
        <v>336</v>
      </c>
      <c r="F104" s="61" t="s">
        <v>337</v>
      </c>
      <c r="G104" s="20"/>
    </row>
    <row r="105" spans="2:7" ht="15.75" thickBot="1" x14ac:dyDescent="0.3">
      <c r="E105" s="21"/>
      <c r="F105" s="28" t="s">
        <v>338</v>
      </c>
      <c r="G105" s="29">
        <f>SUM(G103:G104)</f>
        <v>0</v>
      </c>
    </row>
    <row r="106" spans="2:7" ht="13.7" customHeight="1" thickBot="1" x14ac:dyDescent="0.3">
      <c r="B106" s="6"/>
      <c r="C106" s="62"/>
      <c r="D106" s="62"/>
      <c r="E106" s="52"/>
      <c r="F106" s="48" t="s">
        <v>339</v>
      </c>
      <c r="G106" s="49">
        <f>G19+G27+G32+G48+G57+G79+G95+G101+G102+G105</f>
        <v>463848468</v>
      </c>
    </row>
    <row r="107" spans="2:7" ht="13.7" customHeight="1" x14ac:dyDescent="0.25">
      <c r="B107" s="6"/>
      <c r="C107" s="62"/>
      <c r="D107" s="62"/>
      <c r="E107" s="21"/>
      <c r="F107" s="63"/>
      <c r="G107" s="64"/>
    </row>
    <row r="108" spans="2:7" ht="13.7" customHeight="1" thickBot="1" x14ac:dyDescent="0.3">
      <c r="B108" s="6"/>
      <c r="C108" s="62"/>
      <c r="D108" s="62"/>
      <c r="E108" s="21"/>
    </row>
    <row r="109" spans="2:7" ht="13.7" customHeight="1" thickBot="1" x14ac:dyDescent="0.3">
      <c r="B109" s="6"/>
      <c r="C109" s="62"/>
      <c r="D109" s="62"/>
      <c r="E109" s="21"/>
      <c r="F109" s="13" t="s">
        <v>340</v>
      </c>
      <c r="G109" s="65">
        <f>D61-G106</f>
        <v>71237571</v>
      </c>
    </row>
    <row r="110" spans="2:7" ht="13.7" customHeight="1" thickBot="1" x14ac:dyDescent="0.3">
      <c r="B110" s="6"/>
      <c r="C110" s="62"/>
      <c r="D110" s="62"/>
      <c r="E110" s="21"/>
    </row>
    <row r="111" spans="2:7" ht="13.7" customHeight="1" thickBot="1" x14ac:dyDescent="0.3">
      <c r="C111" s="48" t="s">
        <v>270</v>
      </c>
      <c r="D111" s="17">
        <f>+[19]E.S.P.!D6</f>
        <v>2020</v>
      </c>
      <c r="E111" s="52"/>
      <c r="F111" s="48" t="s">
        <v>341</v>
      </c>
      <c r="G111" s="17">
        <f>+[19]E.S.P.!D6</f>
        <v>2020</v>
      </c>
    </row>
    <row r="112" spans="2:7" ht="13.7" customHeight="1" x14ac:dyDescent="0.25">
      <c r="B112" s="6" t="s">
        <v>342</v>
      </c>
      <c r="C112" s="66" t="s">
        <v>343</v>
      </c>
      <c r="D112" s="67">
        <v>724060</v>
      </c>
      <c r="E112" s="21" t="s">
        <v>344</v>
      </c>
      <c r="F112" s="66" t="s">
        <v>309</v>
      </c>
      <c r="G112" s="67">
        <v>275381</v>
      </c>
    </row>
    <row r="113" spans="2:7" ht="13.7" customHeight="1" x14ac:dyDescent="0.25">
      <c r="B113" s="6" t="s">
        <v>345</v>
      </c>
      <c r="C113" s="68" t="s">
        <v>346</v>
      </c>
      <c r="D113" s="69">
        <v>25581809</v>
      </c>
      <c r="E113" s="21" t="s">
        <v>347</v>
      </c>
      <c r="F113" s="68" t="s">
        <v>348</v>
      </c>
      <c r="G113" s="69"/>
    </row>
    <row r="114" spans="2:7" ht="13.7" customHeight="1" x14ac:dyDescent="0.25">
      <c r="B114" s="6" t="s">
        <v>349</v>
      </c>
      <c r="C114" s="68" t="s">
        <v>48</v>
      </c>
      <c r="D114" s="69">
        <v>0</v>
      </c>
      <c r="E114" s="21" t="s">
        <v>350</v>
      </c>
      <c r="F114" s="68" t="s">
        <v>351</v>
      </c>
      <c r="G114" s="69"/>
    </row>
    <row r="115" spans="2:7" ht="13.7" customHeight="1" x14ac:dyDescent="0.25">
      <c r="B115" s="6" t="s">
        <v>352</v>
      </c>
      <c r="C115" s="68" t="s">
        <v>353</v>
      </c>
      <c r="D115" s="69">
        <v>199378</v>
      </c>
      <c r="E115" s="21" t="s">
        <v>354</v>
      </c>
      <c r="F115" s="68" t="s">
        <v>355</v>
      </c>
      <c r="G115" s="69"/>
    </row>
    <row r="116" spans="2:7" ht="13.7" customHeight="1" x14ac:dyDescent="0.25">
      <c r="B116" s="6" t="s">
        <v>356</v>
      </c>
      <c r="C116" s="68" t="s">
        <v>357</v>
      </c>
      <c r="D116" s="69">
        <v>2249147</v>
      </c>
      <c r="E116" s="21" t="s">
        <v>358</v>
      </c>
      <c r="F116" s="68" t="s">
        <v>359</v>
      </c>
      <c r="G116" s="69">
        <v>139385</v>
      </c>
    </row>
    <row r="117" spans="2:7" ht="13.7" customHeight="1" x14ac:dyDescent="0.25">
      <c r="B117" s="6" t="s">
        <v>360</v>
      </c>
      <c r="C117" s="68" t="s">
        <v>361</v>
      </c>
      <c r="D117" s="69">
        <v>0</v>
      </c>
      <c r="E117" s="21" t="s">
        <v>362</v>
      </c>
      <c r="F117" s="68" t="s">
        <v>363</v>
      </c>
      <c r="G117" s="69">
        <v>519921</v>
      </c>
    </row>
    <row r="118" spans="2:7" ht="13.7" customHeight="1" x14ac:dyDescent="0.25">
      <c r="B118" s="6" t="s">
        <v>364</v>
      </c>
      <c r="C118" s="68" t="s">
        <v>365</v>
      </c>
      <c r="D118" s="69">
        <v>0</v>
      </c>
      <c r="E118" s="21" t="s">
        <v>366</v>
      </c>
      <c r="F118" s="68" t="s">
        <v>367</v>
      </c>
      <c r="G118" s="69"/>
    </row>
    <row r="119" spans="2:7" ht="13.7" customHeight="1" x14ac:dyDescent="0.25">
      <c r="B119" s="6" t="s">
        <v>368</v>
      </c>
      <c r="C119" s="68" t="s">
        <v>369</v>
      </c>
      <c r="D119" s="69">
        <v>469695</v>
      </c>
      <c r="E119" s="21" t="s">
        <v>370</v>
      </c>
      <c r="F119" s="68" t="s">
        <v>371</v>
      </c>
      <c r="G119" s="69"/>
    </row>
    <row r="120" spans="2:7" ht="13.7" customHeight="1" x14ac:dyDescent="0.25">
      <c r="B120" s="6" t="s">
        <v>372</v>
      </c>
      <c r="C120" s="68" t="s">
        <v>373</v>
      </c>
      <c r="D120" s="69">
        <v>0</v>
      </c>
      <c r="E120" s="21" t="s">
        <v>374</v>
      </c>
      <c r="F120" s="68" t="s">
        <v>375</v>
      </c>
      <c r="G120" s="69"/>
    </row>
    <row r="121" spans="2:7" ht="13.7" customHeight="1" x14ac:dyDescent="0.25">
      <c r="B121" s="6" t="s">
        <v>376</v>
      </c>
      <c r="C121" s="19" t="s">
        <v>377</v>
      </c>
      <c r="D121" s="69">
        <v>1227082</v>
      </c>
      <c r="E121" s="21" t="s">
        <v>378</v>
      </c>
      <c r="F121" s="68" t="s">
        <v>379</v>
      </c>
      <c r="G121" s="69">
        <v>10992716</v>
      </c>
    </row>
    <row r="122" spans="2:7" ht="13.7" customHeight="1" thickBot="1" x14ac:dyDescent="0.3">
      <c r="B122" s="6"/>
      <c r="C122" s="28" t="s">
        <v>380</v>
      </c>
      <c r="D122" s="37">
        <f>SUM(D112:D121)</f>
        <v>30451171</v>
      </c>
      <c r="E122" s="21" t="s">
        <v>381</v>
      </c>
      <c r="F122" s="19" t="s">
        <v>382</v>
      </c>
      <c r="G122" s="20">
        <v>527326</v>
      </c>
    </row>
    <row r="123" spans="2:7" ht="13.7" customHeight="1" thickBot="1" x14ac:dyDescent="0.3">
      <c r="B123" s="6" t="s">
        <v>383</v>
      </c>
      <c r="C123" s="70" t="s">
        <v>309</v>
      </c>
      <c r="D123" s="67">
        <v>0</v>
      </c>
      <c r="E123" s="52"/>
      <c r="F123" s="28" t="s">
        <v>384</v>
      </c>
      <c r="G123" s="37">
        <f>SUM(G112:G122)</f>
        <v>12454729</v>
      </c>
    </row>
    <row r="124" spans="2:7" ht="13.7" customHeight="1" x14ac:dyDescent="0.25">
      <c r="B124" s="6" t="s">
        <v>385</v>
      </c>
      <c r="C124" s="68" t="s">
        <v>313</v>
      </c>
      <c r="D124" s="69">
        <f>1150511+95496</f>
        <v>1246007</v>
      </c>
      <c r="E124" s="21" t="s">
        <v>386</v>
      </c>
      <c r="F124" s="68" t="s">
        <v>387</v>
      </c>
      <c r="G124" s="69">
        <v>1044904</v>
      </c>
    </row>
    <row r="125" spans="2:7" ht="13.7" customHeight="1" x14ac:dyDescent="0.25">
      <c r="B125" s="6" t="s">
        <v>388</v>
      </c>
      <c r="C125" s="19" t="s">
        <v>389</v>
      </c>
      <c r="D125" s="69">
        <v>57863</v>
      </c>
      <c r="E125" s="21" t="s">
        <v>390</v>
      </c>
      <c r="F125" s="68" t="s">
        <v>391</v>
      </c>
      <c r="G125" s="69">
        <v>177318</v>
      </c>
    </row>
    <row r="126" spans="2:7" ht="13.7" customHeight="1" thickBot="1" x14ac:dyDescent="0.3">
      <c r="B126" s="6"/>
      <c r="C126" s="28" t="s">
        <v>392</v>
      </c>
      <c r="D126" s="37">
        <f>SUM(D123:D125)</f>
        <v>1303870</v>
      </c>
      <c r="E126" s="21" t="s">
        <v>393</v>
      </c>
      <c r="F126" s="68" t="s">
        <v>394</v>
      </c>
      <c r="G126" s="69"/>
    </row>
    <row r="127" spans="2:7" ht="13.7" customHeight="1" x14ac:dyDescent="0.25">
      <c r="B127" s="6" t="s">
        <v>395</v>
      </c>
      <c r="C127" s="66" t="s">
        <v>274</v>
      </c>
      <c r="D127" s="67">
        <v>6084309</v>
      </c>
      <c r="E127" s="21" t="s">
        <v>396</v>
      </c>
      <c r="F127" s="68" t="s">
        <v>397</v>
      </c>
      <c r="G127" s="69"/>
    </row>
    <row r="128" spans="2:7" ht="13.7" customHeight="1" x14ac:dyDescent="0.25">
      <c r="B128" s="6" t="s">
        <v>398</v>
      </c>
      <c r="C128" s="68" t="s">
        <v>399</v>
      </c>
      <c r="D128" s="69">
        <v>357205</v>
      </c>
      <c r="E128" s="21" t="s">
        <v>400</v>
      </c>
      <c r="F128" s="68" t="s">
        <v>401</v>
      </c>
      <c r="G128" s="69"/>
    </row>
    <row r="129" spans="2:7" ht="13.7" customHeight="1" x14ac:dyDescent="0.25">
      <c r="B129" s="6" t="s">
        <v>402</v>
      </c>
      <c r="C129" s="68" t="s">
        <v>277</v>
      </c>
      <c r="D129" s="69">
        <v>14536</v>
      </c>
      <c r="E129" s="21" t="s">
        <v>403</v>
      </c>
      <c r="F129" s="68" t="s">
        <v>404</v>
      </c>
      <c r="G129" s="69"/>
    </row>
    <row r="130" spans="2:7" ht="13.7" customHeight="1" x14ac:dyDescent="0.25">
      <c r="B130" s="6" t="s">
        <v>405</v>
      </c>
      <c r="C130" s="68" t="s">
        <v>283</v>
      </c>
      <c r="D130" s="69">
        <v>61506</v>
      </c>
      <c r="E130" s="21" t="s">
        <v>406</v>
      </c>
      <c r="F130" s="68" t="s">
        <v>407</v>
      </c>
      <c r="G130" s="69"/>
    </row>
    <row r="131" spans="2:7" ht="13.7" customHeight="1" x14ac:dyDescent="0.25">
      <c r="B131" s="6" t="s">
        <v>408</v>
      </c>
      <c r="C131" s="68" t="s">
        <v>287</v>
      </c>
      <c r="D131" s="69">
        <v>188795</v>
      </c>
      <c r="E131" s="21" t="s">
        <v>409</v>
      </c>
      <c r="F131" s="68" t="s">
        <v>410</v>
      </c>
      <c r="G131" s="69"/>
    </row>
    <row r="132" spans="2:7" ht="13.7" customHeight="1" x14ac:dyDescent="0.25">
      <c r="B132" s="6" t="s">
        <v>411</v>
      </c>
      <c r="C132" s="68" t="s">
        <v>291</v>
      </c>
      <c r="D132" s="69">
        <v>2493685</v>
      </c>
      <c r="E132" s="21" t="s">
        <v>412</v>
      </c>
      <c r="F132" s="68" t="s">
        <v>413</v>
      </c>
      <c r="G132" s="69">
        <v>321976</v>
      </c>
    </row>
    <row r="133" spans="2:7" ht="13.7" customHeight="1" x14ac:dyDescent="0.25">
      <c r="B133" s="6" t="s">
        <v>414</v>
      </c>
      <c r="C133" s="68" t="s">
        <v>295</v>
      </c>
      <c r="D133" s="69">
        <v>0</v>
      </c>
      <c r="E133" s="21" t="s">
        <v>415</v>
      </c>
      <c r="F133" s="68" t="s">
        <v>416</v>
      </c>
      <c r="G133" s="69"/>
    </row>
    <row r="134" spans="2:7" ht="13.7" customHeight="1" x14ac:dyDescent="0.25">
      <c r="B134" s="6" t="s">
        <v>417</v>
      </c>
      <c r="C134" s="68" t="s">
        <v>418</v>
      </c>
      <c r="D134" s="69">
        <v>461702</v>
      </c>
      <c r="E134" s="21" t="s">
        <v>419</v>
      </c>
      <c r="F134" s="68" t="s">
        <v>420</v>
      </c>
      <c r="G134" s="69"/>
    </row>
    <row r="135" spans="2:7" ht="13.7" customHeight="1" x14ac:dyDescent="0.25">
      <c r="B135" s="6" t="s">
        <v>421</v>
      </c>
      <c r="C135" s="68" t="s">
        <v>422</v>
      </c>
      <c r="D135" s="69">
        <f>31783+1854108</f>
        <v>1885891</v>
      </c>
      <c r="E135" s="21" t="s">
        <v>423</v>
      </c>
      <c r="F135" s="68" t="s">
        <v>424</v>
      </c>
      <c r="G135" s="69"/>
    </row>
    <row r="136" spans="2:7" ht="13.7" customHeight="1" x14ac:dyDescent="0.25">
      <c r="B136" s="6" t="s">
        <v>425</v>
      </c>
      <c r="C136" s="68" t="s">
        <v>318</v>
      </c>
      <c r="D136" s="69">
        <f>12775+221536+275912+573241+2281751</f>
        <v>3365215</v>
      </c>
      <c r="E136" s="21" t="s">
        <v>426</v>
      </c>
      <c r="F136" s="68" t="s">
        <v>427</v>
      </c>
      <c r="G136" s="69"/>
    </row>
    <row r="137" spans="2:7" ht="13.7" customHeight="1" x14ac:dyDescent="0.25">
      <c r="B137" s="6" t="s">
        <v>428</v>
      </c>
      <c r="C137" s="19" t="s">
        <v>320</v>
      </c>
      <c r="D137" s="71">
        <v>604111</v>
      </c>
      <c r="E137" s="21" t="s">
        <v>429</v>
      </c>
      <c r="F137" s="68" t="s">
        <v>430</v>
      </c>
      <c r="G137" s="69">
        <f>52009+40062+258679+7091+659125</f>
        <v>1016966</v>
      </c>
    </row>
    <row r="138" spans="2:7" ht="13.7" customHeight="1" thickBot="1" x14ac:dyDescent="0.3">
      <c r="B138" s="6"/>
      <c r="C138" s="28" t="s">
        <v>321</v>
      </c>
      <c r="D138" s="37">
        <f>SUM(D127:D137)</f>
        <v>15516955</v>
      </c>
      <c r="E138" s="21" t="s">
        <v>431</v>
      </c>
      <c r="F138" s="19" t="s">
        <v>432</v>
      </c>
      <c r="G138" s="20">
        <f>76044+6176+19071</f>
        <v>101291</v>
      </c>
    </row>
    <row r="139" spans="2:7" ht="13.7" customHeight="1" thickBot="1" x14ac:dyDescent="0.3">
      <c r="B139" s="6" t="s">
        <v>433</v>
      </c>
      <c r="C139" s="66" t="s">
        <v>327</v>
      </c>
      <c r="D139" s="67">
        <v>5606</v>
      </c>
      <c r="E139" s="7"/>
      <c r="F139" s="28" t="s">
        <v>434</v>
      </c>
      <c r="G139" s="37">
        <f>SUM(G124:G138)</f>
        <v>2662455</v>
      </c>
    </row>
    <row r="140" spans="2:7" ht="13.7" customHeight="1" thickBot="1" x14ac:dyDescent="0.3">
      <c r="B140" s="6" t="s">
        <v>435</v>
      </c>
      <c r="C140" s="68" t="s">
        <v>329</v>
      </c>
      <c r="D140" s="69">
        <v>25381</v>
      </c>
      <c r="E140" s="7"/>
      <c r="F140" s="48" t="s">
        <v>436</v>
      </c>
      <c r="G140" s="72">
        <f>G123-G139</f>
        <v>9792274</v>
      </c>
    </row>
    <row r="141" spans="2:7" ht="13.7" customHeight="1" x14ac:dyDescent="0.25">
      <c r="B141" s="6" t="s">
        <v>437</v>
      </c>
      <c r="C141" s="19" t="s">
        <v>331</v>
      </c>
      <c r="D141" s="71">
        <v>510</v>
      </c>
      <c r="E141" s="73"/>
    </row>
    <row r="142" spans="2:7" ht="13.7" customHeight="1" thickBot="1" x14ac:dyDescent="0.3">
      <c r="B142" s="6"/>
      <c r="C142" s="28" t="s">
        <v>332</v>
      </c>
      <c r="D142" s="37">
        <f>SUM(D139:D141)</f>
        <v>31497</v>
      </c>
      <c r="E142" s="73"/>
    </row>
    <row r="143" spans="2:7" ht="13.7" customHeight="1" thickBot="1" x14ac:dyDescent="0.3">
      <c r="B143" s="6"/>
      <c r="C143" s="59" t="s">
        <v>438</v>
      </c>
      <c r="D143" s="74">
        <f>[19]Amortizaciones!D33</f>
        <v>2535686</v>
      </c>
      <c r="E143" s="21"/>
      <c r="F143" s="48" t="s">
        <v>439</v>
      </c>
      <c r="G143" s="17">
        <f>+[19]E.S.P.!D6</f>
        <v>2020</v>
      </c>
    </row>
    <row r="144" spans="2:7" ht="13.7" customHeight="1" x14ac:dyDescent="0.25">
      <c r="B144" s="6" t="s">
        <v>440</v>
      </c>
      <c r="C144" s="66" t="s">
        <v>441</v>
      </c>
      <c r="D144" s="67"/>
      <c r="E144" s="21" t="s">
        <v>442</v>
      </c>
      <c r="F144" s="66" t="s">
        <v>443</v>
      </c>
      <c r="G144" s="67">
        <v>1267179</v>
      </c>
    </row>
    <row r="145" spans="2:7" ht="13.7" customHeight="1" x14ac:dyDescent="0.25">
      <c r="B145" s="6" t="s">
        <v>444</v>
      </c>
      <c r="C145" s="68" t="s">
        <v>445</v>
      </c>
      <c r="D145" s="69"/>
      <c r="E145" s="21" t="s">
        <v>446</v>
      </c>
      <c r="F145" s="68" t="s">
        <v>447</v>
      </c>
      <c r="G145" s="69">
        <v>4163231</v>
      </c>
    </row>
    <row r="146" spans="2:7" ht="13.7" customHeight="1" x14ac:dyDescent="0.25">
      <c r="B146" s="6" t="s">
        <v>448</v>
      </c>
      <c r="C146" s="75" t="s">
        <v>449</v>
      </c>
      <c r="D146" s="69"/>
      <c r="E146" s="21" t="s">
        <v>450</v>
      </c>
      <c r="F146" s="68" t="s">
        <v>451</v>
      </c>
      <c r="G146" s="69">
        <v>1466500</v>
      </c>
    </row>
    <row r="147" spans="2:7" ht="13.7" customHeight="1" x14ac:dyDescent="0.25">
      <c r="B147" s="6" t="s">
        <v>452</v>
      </c>
      <c r="C147" s="19" t="s">
        <v>453</v>
      </c>
      <c r="D147" s="71"/>
      <c r="E147" s="21" t="s">
        <v>454</v>
      </c>
      <c r="F147" s="68" t="s">
        <v>455</v>
      </c>
      <c r="G147" s="69">
        <v>0</v>
      </c>
    </row>
    <row r="148" spans="2:7" ht="13.7" customHeight="1" thickBot="1" x14ac:dyDescent="0.3">
      <c r="B148" s="6"/>
      <c r="C148" s="28" t="s">
        <v>456</v>
      </c>
      <c r="D148" s="37">
        <f>SUM(D144:D147)</f>
        <v>0</v>
      </c>
      <c r="E148" s="21" t="s">
        <v>457</v>
      </c>
      <c r="F148" s="68" t="s">
        <v>458</v>
      </c>
      <c r="G148" s="69">
        <v>0</v>
      </c>
    </row>
    <row r="149" spans="2:7" ht="13.7" customHeight="1" x14ac:dyDescent="0.25">
      <c r="B149" s="6" t="s">
        <v>459</v>
      </c>
      <c r="C149" s="66" t="s">
        <v>460</v>
      </c>
      <c r="D149" s="67"/>
      <c r="E149" s="21" t="s">
        <v>461</v>
      </c>
      <c r="F149" s="68" t="s">
        <v>462</v>
      </c>
      <c r="G149" s="69">
        <v>0</v>
      </c>
    </row>
    <row r="150" spans="2:7" ht="13.7" customHeight="1" x14ac:dyDescent="0.25">
      <c r="B150" s="6" t="s">
        <v>463</v>
      </c>
      <c r="C150" s="68" t="s">
        <v>464</v>
      </c>
      <c r="D150" s="69"/>
      <c r="E150" s="21" t="s">
        <v>465</v>
      </c>
      <c r="F150" s="68" t="s">
        <v>466</v>
      </c>
      <c r="G150" s="69">
        <v>0</v>
      </c>
    </row>
    <row r="151" spans="2:7" ht="13.7" customHeight="1" x14ac:dyDescent="0.25">
      <c r="B151" s="6" t="s">
        <v>467</v>
      </c>
      <c r="C151" s="19" t="s">
        <v>468</v>
      </c>
      <c r="D151" s="71"/>
      <c r="E151" s="21" t="s">
        <v>469</v>
      </c>
      <c r="F151" s="68" t="s">
        <v>470</v>
      </c>
      <c r="G151" s="69"/>
    </row>
    <row r="152" spans="2:7" ht="13.7" customHeight="1" thickBot="1" x14ac:dyDescent="0.3">
      <c r="B152" s="6"/>
      <c r="C152" s="28" t="s">
        <v>471</v>
      </c>
      <c r="D152" s="37">
        <f>SUM(D149:D151)</f>
        <v>0</v>
      </c>
      <c r="E152" s="21" t="s">
        <v>472</v>
      </c>
      <c r="F152" s="68" t="s">
        <v>473</v>
      </c>
      <c r="G152" s="69">
        <v>0</v>
      </c>
    </row>
    <row r="153" spans="2:7" ht="13.7" customHeight="1" thickBot="1" x14ac:dyDescent="0.3">
      <c r="B153" s="6"/>
      <c r="C153" s="48" t="s">
        <v>474</v>
      </c>
      <c r="D153" s="76">
        <f>D122+D126+D138+D142+D143+D148+D152</f>
        <v>49839179</v>
      </c>
      <c r="E153" s="21" t="s">
        <v>475</v>
      </c>
      <c r="F153" s="19" t="s">
        <v>476</v>
      </c>
      <c r="G153" s="20">
        <v>98676</v>
      </c>
    </row>
    <row r="154" spans="2:7" ht="13.7" customHeight="1" thickBot="1" x14ac:dyDescent="0.3">
      <c r="B154" s="6"/>
      <c r="E154" s="21"/>
      <c r="F154" s="28" t="s">
        <v>477</v>
      </c>
      <c r="G154" s="37">
        <f>SUM(G144:G153)</f>
        <v>6995586</v>
      </c>
    </row>
    <row r="155" spans="2:7" ht="13.7" customHeight="1" thickBot="1" x14ac:dyDescent="0.3">
      <c r="B155" s="6"/>
      <c r="C155" s="77" t="s">
        <v>478</v>
      </c>
      <c r="D155" s="65">
        <f>G109-D153</f>
        <v>21398392</v>
      </c>
      <c r="E155" s="21" t="s">
        <v>479</v>
      </c>
      <c r="F155" s="66" t="s">
        <v>480</v>
      </c>
      <c r="G155" s="67">
        <v>216929</v>
      </c>
    </row>
    <row r="156" spans="2:7" ht="13.7" customHeight="1" x14ac:dyDescent="0.25">
      <c r="E156" s="21" t="s">
        <v>481</v>
      </c>
      <c r="F156" s="68" t="s">
        <v>482</v>
      </c>
      <c r="G156" s="69">
        <v>40398</v>
      </c>
    </row>
    <row r="157" spans="2:7" ht="13.7" customHeight="1" x14ac:dyDescent="0.25">
      <c r="E157" s="21" t="s">
        <v>483</v>
      </c>
      <c r="F157" s="68" t="s">
        <v>484</v>
      </c>
      <c r="G157" s="69">
        <v>2948086</v>
      </c>
    </row>
    <row r="158" spans="2:7" ht="13.7" customHeight="1" x14ac:dyDescent="0.25">
      <c r="E158" s="21" t="s">
        <v>485</v>
      </c>
      <c r="F158" s="68" t="s">
        <v>486</v>
      </c>
      <c r="G158" s="69">
        <v>0</v>
      </c>
    </row>
    <row r="159" spans="2:7" ht="13.7" customHeight="1" x14ac:dyDescent="0.25">
      <c r="E159" s="21" t="s">
        <v>487</v>
      </c>
      <c r="F159" s="68" t="s">
        <v>488</v>
      </c>
      <c r="G159" s="69">
        <v>303107</v>
      </c>
    </row>
    <row r="160" spans="2:7" ht="13.7" customHeight="1" x14ac:dyDescent="0.25">
      <c r="E160" s="21" t="s">
        <v>489</v>
      </c>
      <c r="F160" s="68" t="s">
        <v>490</v>
      </c>
      <c r="G160" s="69">
        <v>0</v>
      </c>
    </row>
    <row r="161" spans="5:7" ht="13.7" customHeight="1" x14ac:dyDescent="0.25">
      <c r="E161" s="21" t="s">
        <v>491</v>
      </c>
      <c r="F161" s="68" t="s">
        <v>492</v>
      </c>
      <c r="G161" s="69">
        <v>0</v>
      </c>
    </row>
    <row r="162" spans="5:7" ht="13.7" customHeight="1" x14ac:dyDescent="0.25">
      <c r="E162" s="21" t="s">
        <v>493</v>
      </c>
      <c r="F162" s="68" t="s">
        <v>494</v>
      </c>
      <c r="G162" s="69">
        <v>0</v>
      </c>
    </row>
    <row r="163" spans="5:7" ht="13.7" customHeight="1" x14ac:dyDescent="0.25">
      <c r="E163" s="21" t="s">
        <v>495</v>
      </c>
      <c r="F163" s="68" t="s">
        <v>496</v>
      </c>
      <c r="G163" s="69">
        <v>0</v>
      </c>
    </row>
    <row r="164" spans="5:7" ht="13.7" customHeight="1" x14ac:dyDescent="0.25">
      <c r="E164" s="21" t="s">
        <v>497</v>
      </c>
      <c r="F164" s="68" t="s">
        <v>498</v>
      </c>
      <c r="G164" s="69">
        <v>0</v>
      </c>
    </row>
    <row r="165" spans="5:7" ht="13.7" customHeight="1" x14ac:dyDescent="0.25">
      <c r="E165" s="21" t="s">
        <v>499</v>
      </c>
      <c r="F165" s="68" t="s">
        <v>500</v>
      </c>
      <c r="G165" s="69">
        <v>10679663</v>
      </c>
    </row>
    <row r="166" spans="5:7" ht="13.7" customHeight="1" x14ac:dyDescent="0.25">
      <c r="E166" s="21" t="s">
        <v>501</v>
      </c>
      <c r="F166" s="68" t="s">
        <v>502</v>
      </c>
      <c r="G166" s="69">
        <v>0</v>
      </c>
    </row>
    <row r="167" spans="5:7" ht="13.7" customHeight="1" x14ac:dyDescent="0.25">
      <c r="E167" s="21" t="s">
        <v>503</v>
      </c>
      <c r="F167" s="19" t="s">
        <v>504</v>
      </c>
      <c r="G167" s="20">
        <v>146337</v>
      </c>
    </row>
    <row r="168" spans="5:7" ht="13.7" customHeight="1" thickBot="1" x14ac:dyDescent="0.3">
      <c r="E168" s="21"/>
      <c r="F168" s="28" t="s">
        <v>505</v>
      </c>
      <c r="G168" s="37">
        <f>SUM(G155:G167)</f>
        <v>14334520</v>
      </c>
    </row>
    <row r="169" spans="5:7" ht="13.7" customHeight="1" thickBot="1" x14ac:dyDescent="0.3">
      <c r="E169" s="21"/>
      <c r="F169" s="48" t="s">
        <v>506</v>
      </c>
      <c r="G169" s="72">
        <f>G154-G168</f>
        <v>-7338934</v>
      </c>
    </row>
    <row r="170" spans="5:7" ht="13.7" customHeight="1" thickBot="1" x14ac:dyDescent="0.3">
      <c r="E170" s="21"/>
      <c r="F170" s="78"/>
      <c r="G170" s="78"/>
    </row>
    <row r="171" spans="5:7" ht="13.7" customHeight="1" thickBot="1" x14ac:dyDescent="0.3">
      <c r="E171" s="21"/>
      <c r="F171" s="77" t="s">
        <v>507</v>
      </c>
      <c r="G171" s="79"/>
    </row>
    <row r="172" spans="5:7" ht="13.7" customHeight="1" thickBot="1" x14ac:dyDescent="0.3">
      <c r="E172" s="21"/>
      <c r="F172" s="80"/>
      <c r="G172" s="81">
        <f>+D155+G140+G169</f>
        <v>23851732</v>
      </c>
    </row>
    <row r="173" spans="5:7" ht="13.7" customHeight="1" thickBot="1" x14ac:dyDescent="0.3">
      <c r="E173" s="21"/>
      <c r="F173" s="5"/>
      <c r="G173" s="5"/>
    </row>
    <row r="174" spans="5:7" ht="13.7" customHeight="1" thickBot="1" x14ac:dyDescent="0.3">
      <c r="E174" s="21"/>
      <c r="F174" s="48" t="s">
        <v>508</v>
      </c>
      <c r="G174" s="17">
        <f>+G143</f>
        <v>2020</v>
      </c>
    </row>
    <row r="175" spans="5:7" ht="13.7" customHeight="1" x14ac:dyDescent="0.25">
      <c r="E175" s="21"/>
      <c r="F175" s="66" t="s">
        <v>509</v>
      </c>
      <c r="G175" s="67"/>
    </row>
    <row r="176" spans="5:7" ht="13.7" customHeight="1" x14ac:dyDescent="0.25">
      <c r="E176" s="21"/>
      <c r="F176" s="68" t="s">
        <v>510</v>
      </c>
      <c r="G176" s="69"/>
    </row>
    <row r="177" spans="1:8" ht="13.7" customHeight="1" thickBot="1" x14ac:dyDescent="0.3">
      <c r="F177" s="68" t="s">
        <v>511</v>
      </c>
      <c r="G177" s="69"/>
    </row>
    <row r="178" spans="1:8" ht="13.7" customHeight="1" thickBot="1" x14ac:dyDescent="0.3">
      <c r="F178" s="48" t="s">
        <v>512</v>
      </c>
      <c r="G178" s="72">
        <f>SUM(G175:G177)</f>
        <v>0</v>
      </c>
    </row>
    <row r="179" spans="1:8" ht="13.7" customHeight="1" thickBot="1" x14ac:dyDescent="0.3"/>
    <row r="180" spans="1:8" ht="13.7" customHeight="1" thickBot="1" x14ac:dyDescent="0.3">
      <c r="F180" s="77" t="s">
        <v>513</v>
      </c>
      <c r="G180" s="79"/>
    </row>
    <row r="181" spans="1:8" ht="13.7" customHeight="1" thickBot="1" x14ac:dyDescent="0.3">
      <c r="F181" s="83"/>
      <c r="G181" s="81">
        <f>+G172+G178</f>
        <v>23851732</v>
      </c>
    </row>
    <row r="182" spans="1:8" ht="13.7" customHeight="1" x14ac:dyDescent="0.25"/>
    <row r="183" spans="1:8" ht="13.5" customHeight="1" x14ac:dyDescent="0.25"/>
    <row r="184" spans="1:8" ht="13.7" customHeight="1" x14ac:dyDescent="0.25">
      <c r="E184" s="84"/>
      <c r="F184" s="84"/>
      <c r="G184" s="84"/>
      <c r="H184" s="84"/>
    </row>
    <row r="185" spans="1:8" s="84" customFormat="1" ht="13.7" customHeight="1" x14ac:dyDescent="0.25">
      <c r="A185" s="85"/>
      <c r="E185" s="82"/>
      <c r="F185" s="86"/>
      <c r="G185" s="86"/>
    </row>
    <row r="186" spans="1:8" s="84" customFormat="1" ht="12.75" x14ac:dyDescent="0.25">
      <c r="A186" s="85"/>
      <c r="E186" s="82"/>
      <c r="F186" s="86"/>
      <c r="G186" s="86"/>
    </row>
    <row r="187" spans="1:8" s="84" customFormat="1" ht="12.75" hidden="1" x14ac:dyDescent="0.25">
      <c r="A187" s="85"/>
      <c r="E187" s="82"/>
      <c r="F187" s="86"/>
      <c r="G187" s="86"/>
    </row>
    <row r="188" spans="1:8" s="84" customFormat="1" ht="12.75" hidden="1" x14ac:dyDescent="0.25">
      <c r="A188" s="85"/>
      <c r="E188" s="82"/>
      <c r="F188" s="86"/>
      <c r="G188" s="86"/>
    </row>
    <row r="189" spans="1:8" s="84" customFormat="1" ht="12.75" hidden="1" x14ac:dyDescent="0.25">
      <c r="A189" s="85"/>
      <c r="E189" s="82"/>
      <c r="F189" s="86"/>
      <c r="G189" s="86"/>
    </row>
    <row r="190" spans="1:8" s="84" customFormat="1" ht="12.75" hidden="1" x14ac:dyDescent="0.25">
      <c r="A190" s="85"/>
      <c r="E190" s="82"/>
      <c r="F190" s="86"/>
      <c r="G190" s="86"/>
    </row>
    <row r="191" spans="1:8" s="84" customFormat="1" ht="12.75" hidden="1" x14ac:dyDescent="0.25">
      <c r="A191" s="85"/>
      <c r="E191" s="82"/>
      <c r="F191" s="86"/>
      <c r="G191" s="86"/>
    </row>
    <row r="192" spans="1:8" s="84" customFormat="1" ht="12.75" hidden="1" x14ac:dyDescent="0.25">
      <c r="A192" s="85"/>
      <c r="E192" s="82"/>
      <c r="F192" s="86"/>
      <c r="G192" s="86"/>
    </row>
    <row r="193" spans="5:7" s="84" customFormat="1" ht="12.75" hidden="1" x14ac:dyDescent="0.25">
      <c r="E193" s="82"/>
      <c r="F193" s="86"/>
      <c r="G193" s="86"/>
    </row>
    <row r="194" spans="5:7" s="84" customFormat="1" ht="12.75" hidden="1" x14ac:dyDescent="0.25">
      <c r="E194" s="82"/>
      <c r="F194" s="86"/>
      <c r="G194" s="86"/>
    </row>
    <row r="195" spans="5:7" s="84" customFormat="1" ht="12.75" hidden="1" x14ac:dyDescent="0.25">
      <c r="E195" s="82"/>
      <c r="F195" s="86"/>
      <c r="G195" s="86"/>
    </row>
    <row r="196" spans="5:7" s="84" customFormat="1" ht="12.75" hidden="1" x14ac:dyDescent="0.25">
      <c r="E196" s="82"/>
      <c r="F196" s="86"/>
      <c r="G196" s="86"/>
    </row>
    <row r="197" spans="5:7" s="84" customFormat="1" ht="12.75" hidden="1" x14ac:dyDescent="0.25">
      <c r="E197" s="82"/>
      <c r="F197" s="86"/>
      <c r="G197" s="86"/>
    </row>
    <row r="198" spans="5:7" s="84" customFormat="1" ht="12.75" hidden="1" x14ac:dyDescent="0.25">
      <c r="E198" s="82"/>
      <c r="F198" s="86"/>
      <c r="G198" s="86"/>
    </row>
    <row r="199" spans="5:7" s="84" customFormat="1" ht="12.75" hidden="1" x14ac:dyDescent="0.25">
      <c r="E199" s="82"/>
      <c r="F199" s="86"/>
      <c r="G199" s="86"/>
    </row>
    <row r="200" spans="5:7" s="84" customFormat="1" ht="12.75" hidden="1" x14ac:dyDescent="0.25">
      <c r="E200" s="82"/>
      <c r="F200" s="86"/>
      <c r="G200" s="86"/>
    </row>
    <row r="201" spans="5:7" s="84" customFormat="1" ht="12.75" hidden="1" x14ac:dyDescent="0.25">
      <c r="E201" s="82"/>
      <c r="F201" s="86"/>
      <c r="G201" s="86"/>
    </row>
    <row r="202" spans="5:7" s="84" customFormat="1" ht="12.75" hidden="1" x14ac:dyDescent="0.25">
      <c r="E202" s="82"/>
      <c r="F202" s="86"/>
      <c r="G202" s="86"/>
    </row>
    <row r="203" spans="5:7" s="84" customFormat="1" ht="12.75" hidden="1" x14ac:dyDescent="0.25">
      <c r="E203" s="82"/>
      <c r="F203" s="86"/>
      <c r="G203" s="86"/>
    </row>
    <row r="204" spans="5:7" s="84" customFormat="1" ht="12.75" hidden="1" x14ac:dyDescent="0.25">
      <c r="E204" s="82"/>
      <c r="F204" s="86"/>
      <c r="G204" s="86"/>
    </row>
    <row r="205" spans="5:7" s="84" customFormat="1" ht="12.75" hidden="1" x14ac:dyDescent="0.25">
      <c r="E205" s="82"/>
      <c r="F205" s="86"/>
      <c r="G205" s="86"/>
    </row>
    <row r="206" spans="5:7" s="84" customFormat="1" ht="12.75" hidden="1" x14ac:dyDescent="0.25">
      <c r="E206" s="82"/>
      <c r="F206" s="86"/>
      <c r="G206" s="86"/>
    </row>
    <row r="207" spans="5:7" s="84" customFormat="1" ht="12.75" hidden="1" x14ac:dyDescent="0.25">
      <c r="E207" s="82"/>
      <c r="F207" s="86"/>
      <c r="G207" s="86"/>
    </row>
    <row r="208" spans="5:7" s="84" customFormat="1" ht="12.75" hidden="1" x14ac:dyDescent="0.25">
      <c r="E208" s="82"/>
      <c r="F208" s="86"/>
      <c r="G208" s="86"/>
    </row>
    <row r="209" spans="3:8" s="84" customFormat="1" ht="12.75" hidden="1" x14ac:dyDescent="0.25">
      <c r="E209" s="82"/>
      <c r="F209" s="86"/>
      <c r="G209" s="86"/>
    </row>
    <row r="210" spans="3:8" s="84" customFormat="1" ht="12.75" hidden="1" x14ac:dyDescent="0.25">
      <c r="E210" s="82"/>
      <c r="F210" s="86"/>
      <c r="G210" s="86"/>
    </row>
    <row r="211" spans="3:8" s="84" customFormat="1" ht="12.75" hidden="1" x14ac:dyDescent="0.25">
      <c r="E211" s="82"/>
      <c r="F211" s="86"/>
      <c r="G211" s="86"/>
    </row>
    <row r="212" spans="3:8" s="84" customFormat="1" ht="12.75" hidden="1" x14ac:dyDescent="0.25">
      <c r="E212" s="82"/>
      <c r="F212" s="86"/>
      <c r="G212" s="86"/>
    </row>
    <row r="213" spans="3:8" s="84" customFormat="1" ht="12.75" hidden="1" x14ac:dyDescent="0.25">
      <c r="E213" s="82"/>
      <c r="F213" s="86"/>
      <c r="G213" s="86"/>
    </row>
    <row r="214" spans="3:8" s="84" customFormat="1" hidden="1" x14ac:dyDescent="0.25">
      <c r="E214" s="82"/>
      <c r="F214" s="87"/>
      <c r="G214" s="58"/>
      <c r="H214" s="5"/>
    </row>
    <row r="215" spans="3:8" hidden="1" x14ac:dyDescent="0.25">
      <c r="C215" s="86"/>
      <c r="D215" s="86"/>
      <c r="F215" s="87"/>
    </row>
  </sheetData>
  <mergeCells count="6">
    <mergeCell ref="C1:D1"/>
    <mergeCell ref="E1:F1"/>
    <mergeCell ref="C2:D2"/>
    <mergeCell ref="E2:F2"/>
    <mergeCell ref="C3:D3"/>
    <mergeCell ref="E3:F3"/>
  </mergeCells>
  <conditionalFormatting sqref="D7:D12">
    <cfRule type="cellIs" dxfId="177" priority="42" stopIfTrue="1" operator="greaterThan">
      <formula>50</formula>
    </cfRule>
    <cfRule type="cellIs" dxfId="176" priority="50" stopIfTrue="1" operator="equal">
      <formula>0</formula>
    </cfRule>
  </conditionalFormatting>
  <conditionalFormatting sqref="D7:D61">
    <cfRule type="cellIs" dxfId="175" priority="48" stopIfTrue="1" operator="between">
      <formula>-0.1</formula>
      <formula>-50</formula>
    </cfRule>
    <cfRule type="cellIs" dxfId="174" priority="49" stopIfTrue="1" operator="between">
      <formula>0.1</formula>
      <formula>50</formula>
    </cfRule>
  </conditionalFormatting>
  <conditionalFormatting sqref="G7:G150 G152:G181">
    <cfRule type="cellIs" dxfId="173" priority="46" stopIfTrue="1" operator="between">
      <formula>-0.1</formula>
      <formula>-50</formula>
    </cfRule>
    <cfRule type="cellIs" dxfId="172" priority="47" stopIfTrue="1" operator="between">
      <formula>0.1</formula>
      <formula>50</formula>
    </cfRule>
  </conditionalFormatting>
  <conditionalFormatting sqref="D111:D155">
    <cfRule type="cellIs" dxfId="171" priority="44" stopIfTrue="1" operator="between">
      <formula>-0.1</formula>
      <formula>-50</formula>
    </cfRule>
    <cfRule type="cellIs" dxfId="170" priority="45" stopIfTrue="1" operator="between">
      <formula>0.1</formula>
      <formula>50</formula>
    </cfRule>
  </conditionalFormatting>
  <conditionalFormatting sqref="G165">
    <cfRule type="expression" dxfId="169" priority="43" stopIfTrue="1">
      <formula>AND($G$165&gt;0,$G$151&gt;0)</formula>
    </cfRule>
  </conditionalFormatting>
  <conditionalFormatting sqref="G151">
    <cfRule type="expression" dxfId="168" priority="41" stopIfTrue="1">
      <formula>AND($G$151&gt;0,$G$165&gt;0)</formula>
    </cfRule>
  </conditionalFormatting>
  <dataValidations count="11">
    <dataValidation type="custom" operator="greaterThan" showInputMessage="1" showErrorMessage="1" errorTitle="RDM" error="No se admite ingresar RDM como ingresos y egresos a la vez. Tampoco se admiten valores menores a $50._x000a_" sqref="G151">
      <formula1>AND(OR(G151=0, G151&gt;50),G165=0)</formula1>
    </dataValidation>
    <dataValidation type="whole" operator="greaterThan" allowBlank="1" showInputMessage="1" showErrorMessage="1" sqref="D8:D12">
      <formula1>50</formula1>
    </dataValidation>
    <dataValidation type="whole" operator="greaterThan" showInputMessage="1" showErrorMessage="1" errorTitle="eee" error="Valores mayores a $50" sqref="D7">
      <formula1>50</formula1>
    </dataValidation>
    <dataValidation type="custom" operator="greaterThan" showInputMessage="1" showErrorMessage="1" errorTitle="eee" sqref="D56">
      <formula1>OR(D56=0, D56&lt;50)</formula1>
    </dataValidation>
    <dataValidation type="custom" operator="greaterThan" showInputMessage="1" showErrorMessage="1" errorTitle="eee" sqref="D57:D61">
      <formula1>OR(D57=0, D57&lt;0)</formula1>
    </dataValidation>
    <dataValidation type="custom" operator="greaterThan" showInputMessage="1" showErrorMessage="1" errorTitle="eee" sqref="G7:G140 D62:D155 G152:G164 G166:G181 G144:G150 D13:D55">
      <formula1>OR(D7=0, D7&gt;50)</formula1>
    </dataValidation>
    <dataValidation type="whole" allowBlank="1" showErrorMessage="1" errorTitle="Error de datos" error="Debe ingresar un valor entre 1 y 12" sqref="G1:G3">
      <formula1>1</formula1>
      <formula2>12</formula2>
    </dataValidation>
    <dataValidation allowBlank="1" errorTitle="Error de datos" error="Debe introducir una fecha válida" sqref="E3"/>
    <dataValidation allowBlank="1" sqref="G204"/>
    <dataValidation operator="greaterThanOrEqual" allowBlank="1" errorTitle="Error de datos" error="Debe ingresar un valor entero positivo" sqref="F6:F107 F203 C13:C47 C106:C153 F171 F174:F178 F180 F111:F119 C7:C10 F121:F140 F143:F169 C49:C62 C155 F109"/>
    <dataValidation type="custom" operator="greaterThan" showInputMessage="1" showErrorMessage="1" errorTitle="rdm2" error="No se admite ingresar a la vez RDM como ingresos y como egresos. Tampoco se admiten valores negattivos o positivos menores de 50" sqref="G165">
      <formula1>AND(OR(G165=0, G165&gt;50),G151=0)</formula1>
    </dataValidation>
  </dataValidations>
  <pageMargins left="0.7" right="0.7" top="0.75" bottom="0.75" header="0.3" footer="0.3"/>
  <ignoredErrors>
    <ignoredError sqref="E7:E181" numberStoredAsText="1"/>
    <ignoredError sqref="G16 G76:G77 G93 G96:G99 D124 D135:D136 G137:G138" unlockedFormula="1"/>
    <ignoredError sqref="G40" formulaRange="1"/>
  </ignoredErrors>
  <legacy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26"/>
  <sheetViews>
    <sheetView showGridLines="0" workbookViewId="0">
      <selection activeCell="F4" sqref="F4"/>
    </sheetView>
  </sheetViews>
  <sheetFormatPr baseColWidth="10" defaultColWidth="0" defaultRowHeight="15" zeroHeight="1" x14ac:dyDescent="0.25"/>
  <cols>
    <col min="1" max="1" width="3.7109375" style="1" customWidth="1"/>
    <col min="2" max="2" width="14.28515625" style="7" hidden="1" customWidth="1"/>
    <col min="3" max="3" width="58.7109375" style="58" customWidth="1"/>
    <col min="4" max="4" width="25.140625" style="58" customWidth="1"/>
    <col min="5" max="5" width="5.85546875" style="82" customWidth="1"/>
    <col min="6" max="6" width="57.28515625" style="58" customWidth="1"/>
    <col min="7" max="7" width="24.7109375" style="58" customWidth="1"/>
    <col min="8" max="8" width="5.42578125" style="5" customWidth="1"/>
    <col min="9" max="16384" width="0" style="5" hidden="1"/>
  </cols>
  <sheetData>
    <row r="1" spans="1:9" ht="15.75" x14ac:dyDescent="0.25">
      <c r="B1" s="2"/>
      <c r="C1" s="313" t="s">
        <v>0</v>
      </c>
      <c r="D1" s="314"/>
      <c r="E1" s="315" t="str">
        <f>[20]Presentacion!C2</f>
        <v>COMEF</v>
      </c>
      <c r="F1" s="315"/>
      <c r="G1" s="3"/>
      <c r="H1" s="4"/>
    </row>
    <row r="2" spans="1:9" ht="15.75" x14ac:dyDescent="0.25">
      <c r="B2" s="6"/>
      <c r="C2" s="313" t="s">
        <v>1</v>
      </c>
      <c r="D2" s="314"/>
      <c r="E2" s="315" t="str">
        <f>[20]Presentacion!C3</f>
        <v>Florida</v>
      </c>
      <c r="F2" s="315"/>
      <c r="G2" s="3"/>
      <c r="H2" s="4"/>
    </row>
    <row r="3" spans="1:9" ht="15.75" x14ac:dyDescent="0.25">
      <c r="B3" s="6"/>
      <c r="C3" s="313" t="s">
        <v>2</v>
      </c>
      <c r="D3" s="316"/>
      <c r="E3" s="317" t="s">
        <v>3</v>
      </c>
      <c r="F3" s="317"/>
      <c r="G3" s="3"/>
      <c r="H3" s="4"/>
    </row>
    <row r="4" spans="1:9" ht="15.75" thickBot="1" x14ac:dyDescent="0.3">
      <c r="C4" s="287"/>
      <c r="D4" s="8"/>
      <c r="E4" s="9"/>
      <c r="F4" s="10"/>
      <c r="G4" s="11"/>
    </row>
    <row r="5" spans="1:9" ht="16.5" thickBot="1" x14ac:dyDescent="0.3">
      <c r="B5" s="12"/>
      <c r="C5" s="13" t="s">
        <v>4</v>
      </c>
      <c r="D5" s="284" t="s">
        <v>5</v>
      </c>
      <c r="E5" s="14"/>
      <c r="F5" s="13" t="s">
        <v>6</v>
      </c>
      <c r="G5" s="284" t="s">
        <v>5</v>
      </c>
      <c r="I5" s="15"/>
    </row>
    <row r="6" spans="1:9" ht="16.5" thickBot="1" x14ac:dyDescent="0.3">
      <c r="B6" s="12"/>
      <c r="C6" s="16" t="s">
        <v>7</v>
      </c>
      <c r="D6" s="290">
        <f>+[20]E.S.P.!D6</f>
        <v>2020</v>
      </c>
      <c r="E6" s="18"/>
      <c r="F6" s="16" t="s">
        <v>8</v>
      </c>
      <c r="G6" s="290">
        <f>+D6</f>
        <v>2020</v>
      </c>
      <c r="H6" s="15"/>
    </row>
    <row r="7" spans="1:9" x14ac:dyDescent="0.25">
      <c r="B7" s="6" t="s">
        <v>9</v>
      </c>
      <c r="C7" s="19" t="s">
        <v>10</v>
      </c>
      <c r="D7" s="20">
        <v>21787439</v>
      </c>
      <c r="E7" s="21" t="s">
        <v>11</v>
      </c>
      <c r="F7" s="22" t="s">
        <v>12</v>
      </c>
      <c r="G7" s="23">
        <v>8940824</v>
      </c>
    </row>
    <row r="8" spans="1:9" x14ac:dyDescent="0.25">
      <c r="B8" s="6" t="s">
        <v>13</v>
      </c>
      <c r="C8" s="19" t="s">
        <v>14</v>
      </c>
      <c r="D8" s="20">
        <v>36031008</v>
      </c>
      <c r="E8" s="21" t="s">
        <v>15</v>
      </c>
      <c r="F8" s="19" t="s">
        <v>16</v>
      </c>
      <c r="G8" s="24">
        <v>63709010</v>
      </c>
    </row>
    <row r="9" spans="1:9" x14ac:dyDescent="0.25">
      <c r="B9" s="6" t="s">
        <v>17</v>
      </c>
      <c r="C9" s="19" t="s">
        <v>18</v>
      </c>
      <c r="D9" s="20">
        <v>868562057</v>
      </c>
      <c r="E9" s="21" t="s">
        <v>19</v>
      </c>
      <c r="F9" s="19" t="s">
        <v>20</v>
      </c>
      <c r="G9" s="20">
        <v>22532539</v>
      </c>
    </row>
    <row r="10" spans="1:9" x14ac:dyDescent="0.25">
      <c r="B10" s="6" t="s">
        <v>21</v>
      </c>
      <c r="C10" s="19" t="s">
        <v>22</v>
      </c>
      <c r="D10" s="20">
        <v>91522528</v>
      </c>
      <c r="E10" s="21" t="s">
        <v>23</v>
      </c>
      <c r="F10" s="19" t="s">
        <v>24</v>
      </c>
      <c r="G10" s="20">
        <v>196383558</v>
      </c>
    </row>
    <row r="11" spans="1:9" x14ac:dyDescent="0.25">
      <c r="B11" s="6" t="s">
        <v>25</v>
      </c>
      <c r="C11" s="19" t="s">
        <v>26</v>
      </c>
      <c r="D11" s="20">
        <v>20019724</v>
      </c>
      <c r="E11" s="21" t="s">
        <v>27</v>
      </c>
      <c r="F11" s="19" t="s">
        <v>28</v>
      </c>
      <c r="G11" s="20">
        <v>58458164</v>
      </c>
    </row>
    <row r="12" spans="1:9" x14ac:dyDescent="0.25">
      <c r="B12" s="6" t="s">
        <v>29</v>
      </c>
      <c r="C12" s="19" t="s">
        <v>30</v>
      </c>
      <c r="D12" s="20">
        <v>20246017</v>
      </c>
      <c r="E12" s="21" t="s">
        <v>31</v>
      </c>
      <c r="F12" s="19" t="s">
        <v>32</v>
      </c>
      <c r="G12" s="20">
        <v>57249758</v>
      </c>
    </row>
    <row r="13" spans="1:9" x14ac:dyDescent="0.25">
      <c r="B13" s="6" t="s">
        <v>33</v>
      </c>
      <c r="C13" s="19" t="s">
        <v>34</v>
      </c>
      <c r="D13" s="20">
        <v>54837</v>
      </c>
      <c r="E13" s="21" t="s">
        <v>35</v>
      </c>
      <c r="F13" s="19" t="s">
        <v>36</v>
      </c>
      <c r="G13" s="20">
        <v>20269661</v>
      </c>
    </row>
    <row r="14" spans="1:9" x14ac:dyDescent="0.25">
      <c r="A14" s="25"/>
      <c r="B14" s="6" t="s">
        <v>37</v>
      </c>
      <c r="C14" s="19" t="s">
        <v>38</v>
      </c>
      <c r="D14" s="20">
        <f>5979412</f>
        <v>5979412</v>
      </c>
      <c r="E14" s="21" t="s">
        <v>39</v>
      </c>
      <c r="F14" s="19" t="s">
        <v>40</v>
      </c>
      <c r="G14" s="20">
        <v>165538087</v>
      </c>
    </row>
    <row r="15" spans="1:9" x14ac:dyDescent="0.25">
      <c r="B15" s="6" t="s">
        <v>41</v>
      </c>
      <c r="C15" s="26" t="s">
        <v>42</v>
      </c>
      <c r="D15" s="20"/>
      <c r="E15" s="21" t="s">
        <v>43</v>
      </c>
      <c r="F15" s="19" t="s">
        <v>44</v>
      </c>
      <c r="G15" s="20">
        <v>81264625</v>
      </c>
    </row>
    <row r="16" spans="1:9" x14ac:dyDescent="0.25">
      <c r="B16" s="6" t="s">
        <v>45</v>
      </c>
      <c r="C16" s="19" t="s">
        <v>46</v>
      </c>
      <c r="D16" s="20"/>
      <c r="E16" s="21" t="s">
        <v>47</v>
      </c>
      <c r="F16" s="19" t="s">
        <v>48</v>
      </c>
      <c r="G16" s="20">
        <v>42841293</v>
      </c>
    </row>
    <row r="17" spans="1:7" x14ac:dyDescent="0.25">
      <c r="B17" s="6" t="s">
        <v>49</v>
      </c>
      <c r="C17" s="19" t="s">
        <v>50</v>
      </c>
      <c r="D17" s="20"/>
      <c r="E17" s="21" t="s">
        <v>51</v>
      </c>
      <c r="F17" s="19" t="s">
        <v>52</v>
      </c>
      <c r="G17" s="20">
        <v>494136</v>
      </c>
    </row>
    <row r="18" spans="1:7" x14ac:dyDescent="0.25">
      <c r="A18" s="25"/>
      <c r="B18" s="6" t="s">
        <v>53</v>
      </c>
      <c r="C18" s="19" t="s">
        <v>54</v>
      </c>
      <c r="D18" s="20"/>
      <c r="E18" s="21" t="s">
        <v>55</v>
      </c>
      <c r="F18" s="19" t="s">
        <v>56</v>
      </c>
      <c r="G18" s="27">
        <v>31021554</v>
      </c>
    </row>
    <row r="19" spans="1:7" ht="15.75" thickBot="1" x14ac:dyDescent="0.3">
      <c r="A19" s="25"/>
      <c r="B19" s="6" t="s">
        <v>57</v>
      </c>
      <c r="C19" s="19" t="s">
        <v>58</v>
      </c>
      <c r="D19" s="20">
        <v>45439996</v>
      </c>
      <c r="E19" s="21"/>
      <c r="F19" s="28" t="s">
        <v>59</v>
      </c>
      <c r="G19" s="29">
        <f>SUM(G7:G18)</f>
        <v>748703209</v>
      </c>
    </row>
    <row r="20" spans="1:7" ht="15.75" thickBot="1" x14ac:dyDescent="0.3">
      <c r="B20" s="6"/>
      <c r="C20" s="28" t="s">
        <v>60</v>
      </c>
      <c r="D20" s="29">
        <f>SUM(D7:D19)</f>
        <v>1109643018</v>
      </c>
      <c r="E20" s="21" t="s">
        <v>61</v>
      </c>
      <c r="F20" s="22" t="s">
        <v>62</v>
      </c>
      <c r="G20" s="23">
        <v>506645</v>
      </c>
    </row>
    <row r="21" spans="1:7" x14ac:dyDescent="0.25">
      <c r="B21" s="6"/>
      <c r="C21" s="30" t="s">
        <v>63</v>
      </c>
      <c r="D21" s="31">
        <f>SUM(D22:D28)</f>
        <v>10879440</v>
      </c>
      <c r="E21" s="21" t="s">
        <v>64</v>
      </c>
      <c r="F21" s="19" t="s">
        <v>65</v>
      </c>
      <c r="G21" s="20">
        <v>20136086</v>
      </c>
    </row>
    <row r="22" spans="1:7" x14ac:dyDescent="0.25">
      <c r="B22" s="6" t="s">
        <v>66</v>
      </c>
      <c r="C22" s="19" t="s">
        <v>67</v>
      </c>
      <c r="D22" s="20">
        <v>5125605</v>
      </c>
      <c r="E22" s="21" t="s">
        <v>68</v>
      </c>
      <c r="F22" s="19" t="s">
        <v>69</v>
      </c>
      <c r="G22" s="20">
        <v>3444010</v>
      </c>
    </row>
    <row r="23" spans="1:7" x14ac:dyDescent="0.25">
      <c r="B23" s="6" t="s">
        <v>70</v>
      </c>
      <c r="C23" s="19" t="s">
        <v>71</v>
      </c>
      <c r="D23" s="20">
        <v>271761</v>
      </c>
      <c r="E23" s="21" t="s">
        <v>72</v>
      </c>
      <c r="F23" s="19" t="s">
        <v>73</v>
      </c>
      <c r="G23" s="20">
        <v>10993994</v>
      </c>
    </row>
    <row r="24" spans="1:7" x14ac:dyDescent="0.25">
      <c r="B24" s="6" t="s">
        <v>74</v>
      </c>
      <c r="C24" s="19" t="s">
        <v>75</v>
      </c>
      <c r="D24" s="20">
        <v>3230201</v>
      </c>
      <c r="E24" s="21" t="s">
        <v>76</v>
      </c>
      <c r="F24" s="19" t="s">
        <v>77</v>
      </c>
      <c r="G24" s="20">
        <v>3474884</v>
      </c>
    </row>
    <row r="25" spans="1:7" x14ac:dyDescent="0.25">
      <c r="B25" s="6" t="s">
        <v>78</v>
      </c>
      <c r="C25" s="19" t="s">
        <v>79</v>
      </c>
      <c r="D25" s="20">
        <v>1521550</v>
      </c>
      <c r="E25" s="21" t="s">
        <v>80</v>
      </c>
      <c r="F25" s="19" t="s">
        <v>81</v>
      </c>
      <c r="G25" s="20">
        <v>5165801</v>
      </c>
    </row>
    <row r="26" spans="1:7" x14ac:dyDescent="0.25">
      <c r="B26" s="6" t="s">
        <v>82</v>
      </c>
      <c r="C26" s="19" t="s">
        <v>83</v>
      </c>
      <c r="D26" s="20">
        <v>266988</v>
      </c>
      <c r="E26" s="21" t="s">
        <v>84</v>
      </c>
      <c r="F26" s="19" t="s">
        <v>85</v>
      </c>
      <c r="G26" s="27">
        <v>1926359</v>
      </c>
    </row>
    <row r="27" spans="1:7" ht="15.75" thickBot="1" x14ac:dyDescent="0.3">
      <c r="B27" s="6" t="s">
        <v>86</v>
      </c>
      <c r="C27" s="19" t="s">
        <v>87</v>
      </c>
      <c r="D27" s="20"/>
      <c r="E27" s="21"/>
      <c r="F27" s="28" t="s">
        <v>88</v>
      </c>
      <c r="G27" s="29">
        <f>SUM(G20:G26)</f>
        <v>45647779</v>
      </c>
    </row>
    <row r="28" spans="1:7" x14ac:dyDescent="0.25">
      <c r="B28" s="6" t="s">
        <v>89</v>
      </c>
      <c r="C28" s="19" t="s">
        <v>90</v>
      </c>
      <c r="D28" s="20">
        <v>463335</v>
      </c>
      <c r="E28" s="21" t="s">
        <v>91</v>
      </c>
      <c r="F28" s="22" t="s">
        <v>92</v>
      </c>
      <c r="G28" s="23">
        <v>35646586</v>
      </c>
    </row>
    <row r="29" spans="1:7" x14ac:dyDescent="0.25">
      <c r="B29" s="6"/>
      <c r="C29" s="32" t="s">
        <v>93</v>
      </c>
      <c r="D29" s="31">
        <f>SUM(D30:D34)</f>
        <v>80248110</v>
      </c>
      <c r="E29" s="21" t="s">
        <v>94</v>
      </c>
      <c r="F29" s="19" t="s">
        <v>95</v>
      </c>
      <c r="G29" s="20">
        <v>22738521</v>
      </c>
    </row>
    <row r="30" spans="1:7" x14ac:dyDescent="0.25">
      <c r="B30" s="6" t="s">
        <v>96</v>
      </c>
      <c r="C30" s="19" t="s">
        <v>97</v>
      </c>
      <c r="D30" s="20">
        <v>65331682</v>
      </c>
      <c r="E30" s="21" t="s">
        <v>98</v>
      </c>
      <c r="F30" s="19" t="s">
        <v>99</v>
      </c>
      <c r="G30" s="20"/>
    </row>
    <row r="31" spans="1:7" x14ac:dyDescent="0.25">
      <c r="B31" s="6" t="s">
        <v>100</v>
      </c>
      <c r="C31" s="19" t="s">
        <v>101</v>
      </c>
      <c r="D31" s="20">
        <v>4706255</v>
      </c>
      <c r="E31" s="21" t="s">
        <v>102</v>
      </c>
      <c r="F31" s="19" t="s">
        <v>103</v>
      </c>
      <c r="G31" s="27">
        <v>2479805</v>
      </c>
    </row>
    <row r="32" spans="1:7" ht="15.75" thickBot="1" x14ac:dyDescent="0.3">
      <c r="B32" s="6" t="s">
        <v>104</v>
      </c>
      <c r="C32" s="19" t="s">
        <v>105</v>
      </c>
      <c r="D32" s="20">
        <v>6960309</v>
      </c>
      <c r="E32" s="21"/>
      <c r="F32" s="28" t="s">
        <v>106</v>
      </c>
      <c r="G32" s="29">
        <f>SUM(G28:G31)</f>
        <v>60864912</v>
      </c>
    </row>
    <row r="33" spans="2:7" x14ac:dyDescent="0.25">
      <c r="B33" s="6" t="s">
        <v>107</v>
      </c>
      <c r="C33" s="19" t="s">
        <v>108</v>
      </c>
      <c r="D33" s="20"/>
      <c r="E33" s="21"/>
      <c r="F33" s="32" t="s">
        <v>109</v>
      </c>
      <c r="G33" s="31">
        <f>SUM(G34:G39)</f>
        <v>77905197</v>
      </c>
    </row>
    <row r="34" spans="2:7" x14ac:dyDescent="0.25">
      <c r="B34" s="6" t="s">
        <v>110</v>
      </c>
      <c r="C34" s="19" t="s">
        <v>111</v>
      </c>
      <c r="D34" s="20">
        <v>3249864</v>
      </c>
      <c r="E34" s="21" t="s">
        <v>112</v>
      </c>
      <c r="F34" s="19" t="s">
        <v>113</v>
      </c>
      <c r="G34" s="20">
        <v>3524026</v>
      </c>
    </row>
    <row r="35" spans="2:7" ht="15.75" thickBot="1" x14ac:dyDescent="0.3">
      <c r="B35" s="6"/>
      <c r="C35" s="28" t="s">
        <v>114</v>
      </c>
      <c r="D35" s="29">
        <f>+D21+D29</f>
        <v>91127550</v>
      </c>
      <c r="E35" s="21" t="s">
        <v>115</v>
      </c>
      <c r="F35" s="19" t="s">
        <v>116</v>
      </c>
      <c r="G35" s="20">
        <v>987019</v>
      </c>
    </row>
    <row r="36" spans="2:7" x14ac:dyDescent="0.25">
      <c r="B36" s="6" t="s">
        <v>117</v>
      </c>
      <c r="C36" s="19" t="s">
        <v>118</v>
      </c>
      <c r="D36" s="20">
        <f>983222+704490+883297+2597048/2</f>
        <v>3869533</v>
      </c>
      <c r="E36" s="21" t="s">
        <v>119</v>
      </c>
      <c r="F36" s="19" t="s">
        <v>120</v>
      </c>
      <c r="G36" s="20">
        <v>1562308</v>
      </c>
    </row>
    <row r="37" spans="2:7" x14ac:dyDescent="0.25">
      <c r="B37" s="6" t="s">
        <v>121</v>
      </c>
      <c r="C37" s="19" t="s">
        <v>122</v>
      </c>
      <c r="D37" s="20">
        <v>9708066</v>
      </c>
      <c r="E37" s="21" t="s">
        <v>123</v>
      </c>
      <c r="F37" s="19" t="s">
        <v>124</v>
      </c>
      <c r="G37" s="20">
        <v>5628644</v>
      </c>
    </row>
    <row r="38" spans="2:7" x14ac:dyDescent="0.25">
      <c r="B38" s="6" t="s">
        <v>125</v>
      </c>
      <c r="C38" s="19" t="s">
        <v>126</v>
      </c>
      <c r="D38" s="20"/>
      <c r="E38" s="21" t="s">
        <v>127</v>
      </c>
      <c r="F38" s="19" t="s">
        <v>128</v>
      </c>
      <c r="G38" s="20">
        <v>9694255</v>
      </c>
    </row>
    <row r="39" spans="2:7" x14ac:dyDescent="0.25">
      <c r="B39" s="6" t="s">
        <v>129</v>
      </c>
      <c r="C39" s="19" t="s">
        <v>130</v>
      </c>
      <c r="D39" s="20"/>
      <c r="E39" s="21" t="s">
        <v>131</v>
      </c>
      <c r="F39" s="19" t="s">
        <v>132</v>
      </c>
      <c r="G39" s="20">
        <v>56508945</v>
      </c>
    </row>
    <row r="40" spans="2:7" x14ac:dyDescent="0.25">
      <c r="B40" s="6" t="s">
        <v>133</v>
      </c>
      <c r="C40" s="19" t="s">
        <v>134</v>
      </c>
      <c r="D40" s="20">
        <f>2654597+457534</f>
        <v>3112131</v>
      </c>
      <c r="E40" s="21"/>
      <c r="F40" s="33" t="s">
        <v>135</v>
      </c>
      <c r="G40" s="34">
        <f>SUM(G41:G46)</f>
        <v>14755930</v>
      </c>
    </row>
    <row r="41" spans="2:7" x14ac:dyDescent="0.25">
      <c r="B41" s="6" t="s">
        <v>136</v>
      </c>
      <c r="C41" s="19" t="s">
        <v>137</v>
      </c>
      <c r="D41" s="20">
        <v>36780686</v>
      </c>
      <c r="E41" s="21" t="s">
        <v>138</v>
      </c>
      <c r="F41" s="19" t="s">
        <v>139</v>
      </c>
      <c r="G41" s="20">
        <v>2025025</v>
      </c>
    </row>
    <row r="42" spans="2:7" x14ac:dyDescent="0.25">
      <c r="B42" s="6" t="s">
        <v>140</v>
      </c>
      <c r="C42" s="19" t="s">
        <v>141</v>
      </c>
      <c r="D42" s="20">
        <f>50205374+1256-457534-983222-704490-D37-2597048/2+2119236</f>
        <v>39174030</v>
      </c>
      <c r="E42" s="21" t="s">
        <v>142</v>
      </c>
      <c r="F42" s="19" t="s">
        <v>143</v>
      </c>
      <c r="G42" s="20"/>
    </row>
    <row r="43" spans="2:7" x14ac:dyDescent="0.25">
      <c r="B43" s="6" t="s">
        <v>144</v>
      </c>
      <c r="C43" s="19" t="s">
        <v>145</v>
      </c>
      <c r="D43" s="20"/>
      <c r="E43" s="21" t="s">
        <v>146</v>
      </c>
      <c r="F43" s="19" t="s">
        <v>147</v>
      </c>
      <c r="G43" s="20">
        <v>839986</v>
      </c>
    </row>
    <row r="44" spans="2:7" x14ac:dyDescent="0.25">
      <c r="B44" s="6" t="s">
        <v>148</v>
      </c>
      <c r="C44" s="19" t="s">
        <v>149</v>
      </c>
      <c r="D44" s="20"/>
      <c r="E44" s="21" t="s">
        <v>150</v>
      </c>
      <c r="F44" s="19" t="s">
        <v>151</v>
      </c>
      <c r="G44" s="20">
        <v>373378</v>
      </c>
    </row>
    <row r="45" spans="2:7" x14ac:dyDescent="0.25">
      <c r="B45" s="6" t="s">
        <v>152</v>
      </c>
      <c r="C45" s="19" t="s">
        <v>153</v>
      </c>
      <c r="D45" s="20">
        <v>6998779</v>
      </c>
      <c r="E45" s="21" t="s">
        <v>154</v>
      </c>
      <c r="F45" s="19" t="s">
        <v>155</v>
      </c>
      <c r="G45" s="20">
        <v>438060</v>
      </c>
    </row>
    <row r="46" spans="2:7" x14ac:dyDescent="0.25">
      <c r="B46" s="6" t="s">
        <v>156</v>
      </c>
      <c r="C46" s="19" t="s">
        <v>157</v>
      </c>
      <c r="D46" s="20">
        <v>4353922</v>
      </c>
      <c r="E46" s="21" t="s">
        <v>158</v>
      </c>
      <c r="F46" s="19" t="s">
        <v>159</v>
      </c>
      <c r="G46" s="20">
        <v>11079481</v>
      </c>
    </row>
    <row r="47" spans="2:7" ht="15.75" thickBot="1" x14ac:dyDescent="0.3">
      <c r="B47" s="6"/>
      <c r="C47" s="28" t="s">
        <v>160</v>
      </c>
      <c r="D47" s="29">
        <f>SUM(D36:D46)</f>
        <v>103997147</v>
      </c>
      <c r="E47" s="21" t="s">
        <v>161</v>
      </c>
      <c r="F47" s="19" t="s">
        <v>162</v>
      </c>
      <c r="G47" s="27">
        <v>3778512</v>
      </c>
    </row>
    <row r="48" spans="2:7" ht="15.75" thickBot="1" x14ac:dyDescent="0.3">
      <c r="B48" s="6"/>
      <c r="C48" s="35" t="s">
        <v>163</v>
      </c>
      <c r="D48" s="36"/>
      <c r="E48" s="21"/>
      <c r="F48" s="28" t="s">
        <v>164</v>
      </c>
      <c r="G48" s="37">
        <f>+G33+G40+G47</f>
        <v>96439639</v>
      </c>
    </row>
    <row r="49" spans="2:7" x14ac:dyDescent="0.25">
      <c r="B49" s="6" t="s">
        <v>165</v>
      </c>
      <c r="C49" s="38" t="s">
        <v>166</v>
      </c>
      <c r="D49" s="39"/>
      <c r="E49" s="21" t="s">
        <v>167</v>
      </c>
      <c r="F49" s="22" t="s">
        <v>168</v>
      </c>
      <c r="G49" s="23">
        <v>14998365</v>
      </c>
    </row>
    <row r="50" spans="2:7" x14ac:dyDescent="0.25">
      <c r="B50" s="6" t="s">
        <v>169</v>
      </c>
      <c r="C50" s="19" t="s">
        <v>163</v>
      </c>
      <c r="D50" s="20"/>
      <c r="E50" s="21" t="s">
        <v>170</v>
      </c>
      <c r="F50" s="19" t="s">
        <v>171</v>
      </c>
      <c r="G50" s="20">
        <v>40443000</v>
      </c>
    </row>
    <row r="51" spans="2:7" x14ac:dyDescent="0.25">
      <c r="B51" s="6" t="s">
        <v>172</v>
      </c>
      <c r="C51" s="19" t="s">
        <v>173</v>
      </c>
      <c r="D51" s="27"/>
      <c r="E51" s="21" t="s">
        <v>174</v>
      </c>
      <c r="F51" s="19" t="s">
        <v>175</v>
      </c>
      <c r="G51" s="20">
        <v>1377022</v>
      </c>
    </row>
    <row r="52" spans="2:7" ht="15.75" thickBot="1" x14ac:dyDescent="0.3">
      <c r="B52" s="12"/>
      <c r="C52" s="28" t="s">
        <v>176</v>
      </c>
      <c r="D52" s="29">
        <f>SUM(D49:D51)</f>
        <v>0</v>
      </c>
      <c r="E52" s="21" t="s">
        <v>177</v>
      </c>
      <c r="F52" s="19" t="s">
        <v>178</v>
      </c>
      <c r="G52" s="20">
        <v>1388507</v>
      </c>
    </row>
    <row r="53" spans="2:7" ht="15.75" thickBot="1" x14ac:dyDescent="0.3">
      <c r="B53" s="6"/>
      <c r="C53" s="40" t="s">
        <v>179</v>
      </c>
      <c r="D53" s="41">
        <f>D20+D35+D47+D52</f>
        <v>1304767715</v>
      </c>
      <c r="E53" s="21" t="s">
        <v>180</v>
      </c>
      <c r="F53" s="19" t="s">
        <v>181</v>
      </c>
      <c r="G53" s="20">
        <v>6536428</v>
      </c>
    </row>
    <row r="54" spans="2:7" x14ac:dyDescent="0.25">
      <c r="C54" s="42"/>
      <c r="D54" s="43"/>
      <c r="E54" s="21" t="s">
        <v>182</v>
      </c>
      <c r="F54" s="19" t="s">
        <v>183</v>
      </c>
      <c r="G54" s="20">
        <v>1661069</v>
      </c>
    </row>
    <row r="55" spans="2:7" x14ac:dyDescent="0.25">
      <c r="C55" s="44" t="s">
        <v>184</v>
      </c>
      <c r="D55" s="45"/>
      <c r="E55" s="21" t="s">
        <v>185</v>
      </c>
      <c r="F55" s="19" t="s">
        <v>186</v>
      </c>
      <c r="G55" s="20">
        <f>269697+1659142</f>
        <v>1928839</v>
      </c>
    </row>
    <row r="56" spans="2:7" x14ac:dyDescent="0.25">
      <c r="B56" s="6" t="s">
        <v>187</v>
      </c>
      <c r="C56" s="46" t="s">
        <v>188</v>
      </c>
      <c r="D56" s="20"/>
      <c r="E56" s="21" t="s">
        <v>189</v>
      </c>
      <c r="F56" s="19" t="s">
        <v>190</v>
      </c>
      <c r="G56" s="27">
        <v>2791002</v>
      </c>
    </row>
    <row r="57" spans="2:7" ht="15.75" thickBot="1" x14ac:dyDescent="0.3">
      <c r="B57" s="6" t="s">
        <v>191</v>
      </c>
      <c r="C57" s="46" t="s">
        <v>192</v>
      </c>
      <c r="D57" s="20"/>
      <c r="E57" s="21"/>
      <c r="F57" s="28" t="s">
        <v>193</v>
      </c>
      <c r="G57" s="29">
        <f>SUM(G49:G56)</f>
        <v>71124232</v>
      </c>
    </row>
    <row r="58" spans="2:7" x14ac:dyDescent="0.25">
      <c r="B58" s="6" t="s">
        <v>194</v>
      </c>
      <c r="C58" s="46" t="s">
        <v>195</v>
      </c>
      <c r="D58" s="20"/>
      <c r="E58" s="21" t="s">
        <v>196</v>
      </c>
      <c r="F58" s="22" t="s">
        <v>197</v>
      </c>
      <c r="G58" s="23">
        <v>6405622</v>
      </c>
    </row>
    <row r="59" spans="2:7" x14ac:dyDescent="0.25">
      <c r="B59" s="6" t="s">
        <v>198</v>
      </c>
      <c r="C59" s="19" t="s">
        <v>199</v>
      </c>
      <c r="D59" s="27"/>
      <c r="E59" s="21" t="s">
        <v>200</v>
      </c>
      <c r="F59" s="19" t="s">
        <v>201</v>
      </c>
      <c r="G59" s="20">
        <v>10384059</v>
      </c>
    </row>
    <row r="60" spans="2:7" ht="15.75" thickBot="1" x14ac:dyDescent="0.3">
      <c r="B60" s="6"/>
      <c r="C60" s="28" t="s">
        <v>202</v>
      </c>
      <c r="D60" s="29">
        <f>SUM(D56:D59)</f>
        <v>0</v>
      </c>
      <c r="E60" s="21" t="s">
        <v>203</v>
      </c>
      <c r="F60" s="19" t="s">
        <v>204</v>
      </c>
      <c r="G60" s="20">
        <v>4030448</v>
      </c>
    </row>
    <row r="61" spans="2:7" ht="16.5" thickBot="1" x14ac:dyDescent="0.3">
      <c r="B61" s="47"/>
      <c r="C61" s="48" t="s">
        <v>205</v>
      </c>
      <c r="D61" s="49">
        <f>D53+D60</f>
        <v>1304767715</v>
      </c>
      <c r="E61" s="21" t="s">
        <v>206</v>
      </c>
      <c r="F61" s="19" t="s">
        <v>207</v>
      </c>
      <c r="G61" s="20">
        <v>12665362</v>
      </c>
    </row>
    <row r="62" spans="2:7" x14ac:dyDescent="0.25">
      <c r="B62" s="50"/>
      <c r="C62" s="51"/>
      <c r="D62" s="51"/>
      <c r="E62" s="21" t="s">
        <v>208</v>
      </c>
      <c r="F62" s="19" t="s">
        <v>209</v>
      </c>
      <c r="G62" s="20"/>
    </row>
    <row r="63" spans="2:7" x14ac:dyDescent="0.25">
      <c r="B63" s="52"/>
      <c r="C63" s="53" t="s">
        <v>8</v>
      </c>
      <c r="D63" s="53"/>
      <c r="E63" s="21" t="s">
        <v>210</v>
      </c>
      <c r="F63" s="19" t="s">
        <v>211</v>
      </c>
      <c r="G63" s="20">
        <v>4334122</v>
      </c>
    </row>
    <row r="64" spans="2:7" x14ac:dyDescent="0.25">
      <c r="B64" s="54" t="s">
        <v>212</v>
      </c>
      <c r="C64" s="55" t="s">
        <v>213</v>
      </c>
      <c r="D64" s="55">
        <f>[20]Amortizaciones!D6</f>
        <v>9412462</v>
      </c>
      <c r="E64" s="21" t="s">
        <v>214</v>
      </c>
      <c r="F64" s="19" t="s">
        <v>215</v>
      </c>
      <c r="G64" s="20">
        <v>3307935</v>
      </c>
    </row>
    <row r="65" spans="2:7" x14ac:dyDescent="0.25">
      <c r="B65" s="54" t="s">
        <v>216</v>
      </c>
      <c r="C65" s="55" t="s">
        <v>217</v>
      </c>
      <c r="D65" s="55">
        <f>[20]Amortizaciones!D7</f>
        <v>0</v>
      </c>
      <c r="E65" s="21" t="s">
        <v>218</v>
      </c>
      <c r="F65" s="19" t="s">
        <v>219</v>
      </c>
      <c r="G65" s="20">
        <v>511002</v>
      </c>
    </row>
    <row r="66" spans="2:7" x14ac:dyDescent="0.25">
      <c r="B66" s="54" t="s">
        <v>220</v>
      </c>
      <c r="C66" s="55" t="s">
        <v>221</v>
      </c>
      <c r="D66" s="55">
        <f>[20]Amortizaciones!D8</f>
        <v>6310777</v>
      </c>
      <c r="E66" s="21" t="s">
        <v>222</v>
      </c>
      <c r="F66" s="19" t="s">
        <v>223</v>
      </c>
      <c r="G66" s="20">
        <v>7567977</v>
      </c>
    </row>
    <row r="67" spans="2:7" x14ac:dyDescent="0.25">
      <c r="B67" s="54" t="s">
        <v>224</v>
      </c>
      <c r="C67" s="55" t="s">
        <v>225</v>
      </c>
      <c r="D67" s="55">
        <f>[20]Amortizaciones!D9</f>
        <v>0</v>
      </c>
      <c r="E67" s="21" t="s">
        <v>226</v>
      </c>
      <c r="F67" s="19" t="s">
        <v>227</v>
      </c>
      <c r="G67" s="20">
        <v>528950</v>
      </c>
    </row>
    <row r="68" spans="2:7" x14ac:dyDescent="0.25">
      <c r="B68" s="54" t="s">
        <v>228</v>
      </c>
      <c r="C68" s="55" t="s">
        <v>229</v>
      </c>
      <c r="D68" s="55">
        <f>[20]Amortizaciones!D10</f>
        <v>48037</v>
      </c>
      <c r="E68" s="21" t="s">
        <v>230</v>
      </c>
      <c r="F68" s="19" t="s">
        <v>231</v>
      </c>
      <c r="G68" s="20"/>
    </row>
    <row r="69" spans="2:7" x14ac:dyDescent="0.25">
      <c r="B69" s="54" t="s">
        <v>232</v>
      </c>
      <c r="C69" s="55" t="s">
        <v>233</v>
      </c>
      <c r="D69" s="55">
        <f>[20]Amortizaciones!D11</f>
        <v>549</v>
      </c>
      <c r="E69" s="21" t="s">
        <v>234</v>
      </c>
      <c r="F69" s="19" t="s">
        <v>235</v>
      </c>
      <c r="G69" s="20">
        <v>978346</v>
      </c>
    </row>
    <row r="70" spans="2:7" x14ac:dyDescent="0.25">
      <c r="B70" s="54" t="s">
        <v>236</v>
      </c>
      <c r="C70" s="55" t="s">
        <v>237</v>
      </c>
      <c r="D70" s="55">
        <f>[20]Amortizaciones!D12</f>
        <v>302407</v>
      </c>
      <c r="E70" s="21" t="s">
        <v>238</v>
      </c>
      <c r="F70" s="19" t="s">
        <v>239</v>
      </c>
      <c r="G70" s="20">
        <v>657206</v>
      </c>
    </row>
    <row r="71" spans="2:7" x14ac:dyDescent="0.25">
      <c r="B71" s="54" t="s">
        <v>240</v>
      </c>
      <c r="C71" s="55" t="s">
        <v>241</v>
      </c>
      <c r="D71" s="55">
        <f>[20]Amortizaciones!D13</f>
        <v>835949</v>
      </c>
      <c r="E71" s="21" t="s">
        <v>242</v>
      </c>
      <c r="F71" s="19" t="s">
        <v>243</v>
      </c>
      <c r="G71" s="20"/>
    </row>
    <row r="72" spans="2:7" x14ac:dyDescent="0.25">
      <c r="B72" s="54" t="s">
        <v>244</v>
      </c>
      <c r="C72" s="55" t="s">
        <v>245</v>
      </c>
      <c r="D72" s="55">
        <f>[20]Amortizaciones!D14</f>
        <v>1005383</v>
      </c>
      <c r="E72" s="21" t="s">
        <v>246</v>
      </c>
      <c r="F72" s="19" t="s">
        <v>247</v>
      </c>
      <c r="G72" s="20"/>
    </row>
    <row r="73" spans="2:7" x14ac:dyDescent="0.25">
      <c r="B73" s="54" t="s">
        <v>248</v>
      </c>
      <c r="C73" s="55" t="s">
        <v>249</v>
      </c>
      <c r="D73" s="55">
        <f>[20]Amortizaciones!D15</f>
        <v>11505</v>
      </c>
      <c r="E73" s="21" t="s">
        <v>250</v>
      </c>
      <c r="F73" s="19" t="s">
        <v>251</v>
      </c>
      <c r="G73" s="20">
        <v>6885</v>
      </c>
    </row>
    <row r="74" spans="2:7" x14ac:dyDescent="0.25">
      <c r="B74" s="54" t="s">
        <v>252</v>
      </c>
      <c r="C74" s="55" t="s">
        <v>253</v>
      </c>
      <c r="D74" s="55">
        <f>[20]Amortizaciones!D16</f>
        <v>0</v>
      </c>
      <c r="E74" s="21" t="s">
        <v>254</v>
      </c>
      <c r="F74" s="19" t="s">
        <v>255</v>
      </c>
      <c r="G74" s="20">
        <v>165852</v>
      </c>
    </row>
    <row r="75" spans="2:7" x14ac:dyDescent="0.25">
      <c r="B75" s="54" t="s">
        <v>256</v>
      </c>
      <c r="C75" s="55" t="s">
        <v>257</v>
      </c>
      <c r="D75" s="55">
        <f>[20]Amortizaciones!D17</f>
        <v>0</v>
      </c>
      <c r="E75" s="21" t="s">
        <v>258</v>
      </c>
      <c r="F75" s="19" t="s">
        <v>259</v>
      </c>
      <c r="G75" s="20">
        <v>7187461</v>
      </c>
    </row>
    <row r="76" spans="2:7" x14ac:dyDescent="0.25">
      <c r="B76" s="54" t="s">
        <v>260</v>
      </c>
      <c r="C76" s="55" t="s">
        <v>261</v>
      </c>
      <c r="D76" s="55">
        <f>[20]Amortizaciones!D18</f>
        <v>0</v>
      </c>
      <c r="E76" s="21" t="s">
        <v>262</v>
      </c>
      <c r="F76" s="19" t="s">
        <v>263</v>
      </c>
      <c r="G76" s="20">
        <v>10960056</v>
      </c>
    </row>
    <row r="77" spans="2:7" x14ac:dyDescent="0.25">
      <c r="B77" s="54" t="s">
        <v>264</v>
      </c>
      <c r="C77" s="55" t="s">
        <v>265</v>
      </c>
      <c r="D77" s="55">
        <f>SUM(D64:D76)</f>
        <v>17927069</v>
      </c>
      <c r="E77" s="21" t="s">
        <v>266</v>
      </c>
      <c r="F77" s="19" t="s">
        <v>267</v>
      </c>
      <c r="G77" s="20">
        <v>9159114</v>
      </c>
    </row>
    <row r="78" spans="2:7" x14ac:dyDescent="0.25">
      <c r="B78" s="54"/>
      <c r="C78" s="55"/>
      <c r="D78" s="55"/>
      <c r="E78" s="21" t="s">
        <v>268</v>
      </c>
      <c r="F78" s="19" t="s">
        <v>269</v>
      </c>
      <c r="G78" s="27">
        <v>3698930</v>
      </c>
    </row>
    <row r="79" spans="2:7" ht="15.75" thickBot="1" x14ac:dyDescent="0.3">
      <c r="B79" s="54"/>
      <c r="C79" s="53" t="s">
        <v>270</v>
      </c>
      <c r="D79" s="56"/>
      <c r="E79" s="21"/>
      <c r="F79" s="28" t="s">
        <v>271</v>
      </c>
      <c r="G79" s="29">
        <f>SUM(G58:G78)</f>
        <v>82549327</v>
      </c>
    </row>
    <row r="80" spans="2:7" x14ac:dyDescent="0.25">
      <c r="B80" s="54" t="s">
        <v>272</v>
      </c>
      <c r="C80" s="55" t="s">
        <v>237</v>
      </c>
      <c r="D80" s="55">
        <f>[20]Amortizaciones!D22</f>
        <v>302407</v>
      </c>
      <c r="E80" s="21" t="s">
        <v>273</v>
      </c>
      <c r="F80" s="22" t="s">
        <v>274</v>
      </c>
      <c r="G80" s="23"/>
    </row>
    <row r="81" spans="2:7" x14ac:dyDescent="0.25">
      <c r="B81" s="54" t="s">
        <v>275</v>
      </c>
      <c r="C81" s="55" t="s">
        <v>241</v>
      </c>
      <c r="D81" s="55">
        <f>[20]Amortizaciones!D23</f>
        <v>0</v>
      </c>
      <c r="E81" s="21" t="s">
        <v>276</v>
      </c>
      <c r="F81" s="19" t="s">
        <v>277</v>
      </c>
      <c r="G81" s="20">
        <v>2753910</v>
      </c>
    </row>
    <row r="82" spans="2:7" x14ac:dyDescent="0.25">
      <c r="B82" s="54" t="s">
        <v>278</v>
      </c>
      <c r="C82" s="55" t="s">
        <v>245</v>
      </c>
      <c r="D82" s="55">
        <f>[20]Amortizaciones!D24</f>
        <v>177421</v>
      </c>
      <c r="E82" s="21" t="s">
        <v>279</v>
      </c>
      <c r="F82" s="19" t="s">
        <v>280</v>
      </c>
      <c r="G82" s="20">
        <v>2480429</v>
      </c>
    </row>
    <row r="83" spans="2:7" x14ac:dyDescent="0.25">
      <c r="B83" s="54" t="s">
        <v>281</v>
      </c>
      <c r="C83" s="55" t="s">
        <v>249</v>
      </c>
      <c r="D83" s="55">
        <f>[20]Amortizaciones!D25</f>
        <v>0</v>
      </c>
      <c r="E83" s="21" t="s">
        <v>282</v>
      </c>
      <c r="F83" s="19" t="s">
        <v>283</v>
      </c>
      <c r="G83" s="20">
        <v>1588380</v>
      </c>
    </row>
    <row r="84" spans="2:7" x14ac:dyDescent="0.25">
      <c r="B84" s="54" t="s">
        <v>284</v>
      </c>
      <c r="C84" s="55" t="s">
        <v>285</v>
      </c>
      <c r="D84" s="55">
        <v>0</v>
      </c>
      <c r="E84" s="21" t="s">
        <v>286</v>
      </c>
      <c r="F84" s="19" t="s">
        <v>287</v>
      </c>
      <c r="G84" s="20">
        <v>5780828</v>
      </c>
    </row>
    <row r="85" spans="2:7" x14ac:dyDescent="0.25">
      <c r="B85" s="54" t="s">
        <v>288</v>
      </c>
      <c r="C85" s="55" t="s">
        <v>289</v>
      </c>
      <c r="D85" s="55">
        <f>[20]Amortizaciones!D27</f>
        <v>0</v>
      </c>
      <c r="E85" s="21" t="s">
        <v>290</v>
      </c>
      <c r="F85" s="19" t="s">
        <v>291</v>
      </c>
      <c r="G85" s="20">
        <v>1296681</v>
      </c>
    </row>
    <row r="86" spans="2:7" x14ac:dyDescent="0.25">
      <c r="B86" s="54" t="s">
        <v>292</v>
      </c>
      <c r="C86" s="55" t="s">
        <v>293</v>
      </c>
      <c r="D86" s="55">
        <f>[20]Amortizaciones!D28</f>
        <v>0</v>
      </c>
      <c r="E86" s="21" t="s">
        <v>294</v>
      </c>
      <c r="F86" s="19" t="s">
        <v>295</v>
      </c>
      <c r="G86" s="20">
        <f>8580+497564</f>
        <v>506144</v>
      </c>
    </row>
    <row r="87" spans="2:7" x14ac:dyDescent="0.25">
      <c r="B87" s="54" t="s">
        <v>296</v>
      </c>
      <c r="C87" s="55" t="s">
        <v>297</v>
      </c>
      <c r="D87" s="55">
        <f>[20]Amortizaciones!D29</f>
        <v>725437</v>
      </c>
      <c r="E87" s="21" t="s">
        <v>298</v>
      </c>
      <c r="F87" s="19" t="s">
        <v>299</v>
      </c>
      <c r="G87" s="20">
        <v>6909361</v>
      </c>
    </row>
    <row r="88" spans="2:7" x14ac:dyDescent="0.25">
      <c r="B88" s="54" t="s">
        <v>300</v>
      </c>
      <c r="C88" s="55" t="s">
        <v>301</v>
      </c>
      <c r="D88" s="55">
        <f>[20]Amortizaciones!D30</f>
        <v>0</v>
      </c>
      <c r="E88" s="21" t="s">
        <v>302</v>
      </c>
      <c r="F88" s="19" t="s">
        <v>303</v>
      </c>
      <c r="G88" s="20">
        <v>2325759</v>
      </c>
    </row>
    <row r="89" spans="2:7" x14ac:dyDescent="0.25">
      <c r="B89" s="54" t="s">
        <v>304</v>
      </c>
      <c r="C89" s="55" t="s">
        <v>213</v>
      </c>
      <c r="D89" s="55">
        <f>[20]Amortizaciones!D31</f>
        <v>0</v>
      </c>
      <c r="E89" s="21" t="s">
        <v>305</v>
      </c>
      <c r="F89" s="19" t="s">
        <v>306</v>
      </c>
      <c r="G89" s="20">
        <v>32798351</v>
      </c>
    </row>
    <row r="90" spans="2:7" x14ac:dyDescent="0.25">
      <c r="B90" s="54" t="s">
        <v>307</v>
      </c>
      <c r="C90" s="55" t="s">
        <v>229</v>
      </c>
      <c r="D90" s="55">
        <f>[20]Amortizaciones!D32</f>
        <v>0</v>
      </c>
      <c r="E90" s="21" t="s">
        <v>308</v>
      </c>
      <c r="F90" s="19" t="s">
        <v>309</v>
      </c>
      <c r="G90" s="20">
        <v>1766733</v>
      </c>
    </row>
    <row r="91" spans="2:7" x14ac:dyDescent="0.25">
      <c r="B91" s="54" t="s">
        <v>310</v>
      </c>
      <c r="C91" s="55" t="s">
        <v>311</v>
      </c>
      <c r="D91" s="55">
        <f>SUM(D80:D90)</f>
        <v>1205265</v>
      </c>
      <c r="E91" s="52" t="s">
        <v>312</v>
      </c>
      <c r="F91" s="19" t="s">
        <v>313</v>
      </c>
      <c r="G91" s="20">
        <v>206663</v>
      </c>
    </row>
    <row r="92" spans="2:7" x14ac:dyDescent="0.25">
      <c r="B92" s="54"/>
      <c r="C92" s="57" t="s">
        <v>314</v>
      </c>
      <c r="D92" s="55">
        <f>D77+D91</f>
        <v>19132334</v>
      </c>
      <c r="E92" s="52" t="s">
        <v>315</v>
      </c>
      <c r="F92" s="19" t="s">
        <v>316</v>
      </c>
      <c r="G92" s="20">
        <f>7802+28774</f>
        <v>36576</v>
      </c>
    </row>
    <row r="93" spans="2:7" x14ac:dyDescent="0.25">
      <c r="E93" s="52" t="s">
        <v>317</v>
      </c>
      <c r="F93" s="19" t="s">
        <v>318</v>
      </c>
      <c r="G93" s="20"/>
    </row>
    <row r="94" spans="2:7" x14ac:dyDescent="0.25">
      <c r="E94" s="52" t="s">
        <v>319</v>
      </c>
      <c r="F94" s="19" t="s">
        <v>320</v>
      </c>
      <c r="G94" s="27">
        <v>2216332</v>
      </c>
    </row>
    <row r="95" spans="2:7" ht="13.5" customHeight="1" thickBot="1" x14ac:dyDescent="0.3">
      <c r="E95" s="21"/>
      <c r="F95" s="28" t="s">
        <v>321</v>
      </c>
      <c r="G95" s="29">
        <f>SUM(G80:G94)</f>
        <v>60666147</v>
      </c>
    </row>
    <row r="96" spans="2:7" x14ac:dyDescent="0.25">
      <c r="E96" s="52" t="s">
        <v>322</v>
      </c>
      <c r="F96" s="22" t="s">
        <v>323</v>
      </c>
      <c r="G96" s="23">
        <v>4457966</v>
      </c>
    </row>
    <row r="97" spans="2:7" x14ac:dyDescent="0.25">
      <c r="E97" s="52" t="s">
        <v>324</v>
      </c>
      <c r="F97" s="19" t="s">
        <v>325</v>
      </c>
      <c r="G97" s="20">
        <v>2301979</v>
      </c>
    </row>
    <row r="98" spans="2:7" x14ac:dyDescent="0.25">
      <c r="E98" s="52" t="s">
        <v>326</v>
      </c>
      <c r="F98" s="19" t="s">
        <v>327</v>
      </c>
      <c r="G98" s="20">
        <v>1155957</v>
      </c>
    </row>
    <row r="99" spans="2:7" x14ac:dyDescent="0.25">
      <c r="E99" s="52" t="s">
        <v>328</v>
      </c>
      <c r="F99" s="19" t="s">
        <v>329</v>
      </c>
      <c r="G99" s="20">
        <v>1117641</v>
      </c>
    </row>
    <row r="100" spans="2:7" x14ac:dyDescent="0.25">
      <c r="E100" s="52" t="s">
        <v>330</v>
      </c>
      <c r="F100" s="19" t="s">
        <v>331</v>
      </c>
      <c r="G100" s="27">
        <v>305118</v>
      </c>
    </row>
    <row r="101" spans="2:7" ht="15.75" thickBot="1" x14ac:dyDescent="0.3">
      <c r="E101" s="21"/>
      <c r="F101" s="28" t="s">
        <v>332</v>
      </c>
      <c r="G101" s="29">
        <f>SUM(G96:G100)</f>
        <v>9338661</v>
      </c>
    </row>
    <row r="102" spans="2:7" ht="15.75" thickBot="1" x14ac:dyDescent="0.3">
      <c r="E102" s="52"/>
      <c r="F102" s="59" t="s">
        <v>333</v>
      </c>
      <c r="G102" s="60">
        <f>[20]Amortizaciones!D19</f>
        <v>17927069</v>
      </c>
    </row>
    <row r="103" spans="2:7" x14ac:dyDescent="0.25">
      <c r="E103" s="52" t="s">
        <v>334</v>
      </c>
      <c r="F103" s="19" t="s">
        <v>335</v>
      </c>
      <c r="G103" s="23"/>
    </row>
    <row r="104" spans="2:7" x14ac:dyDescent="0.25">
      <c r="E104" s="52" t="s">
        <v>336</v>
      </c>
      <c r="F104" s="61" t="s">
        <v>337</v>
      </c>
      <c r="G104" s="20"/>
    </row>
    <row r="105" spans="2:7" ht="15.75" thickBot="1" x14ac:dyDescent="0.3">
      <c r="E105" s="21"/>
      <c r="F105" s="28" t="s">
        <v>338</v>
      </c>
      <c r="G105" s="29">
        <f>SUM(G103:G104)</f>
        <v>0</v>
      </c>
    </row>
    <row r="106" spans="2:7" ht="13.7" customHeight="1" thickBot="1" x14ac:dyDescent="0.3">
      <c r="B106" s="6"/>
      <c r="C106" s="62"/>
      <c r="D106" s="62"/>
      <c r="E106" s="52"/>
      <c r="F106" s="48" t="s">
        <v>339</v>
      </c>
      <c r="G106" s="49">
        <f>G19+G27+G32+G48+G57+G79+G95+G101+G102+G105</f>
        <v>1193260975</v>
      </c>
    </row>
    <row r="107" spans="2:7" ht="13.7" customHeight="1" x14ac:dyDescent="0.25">
      <c r="B107" s="6"/>
      <c r="C107" s="62"/>
      <c r="D107" s="62"/>
      <c r="E107" s="21"/>
      <c r="F107" s="63"/>
      <c r="G107" s="64"/>
    </row>
    <row r="108" spans="2:7" ht="13.7" customHeight="1" thickBot="1" x14ac:dyDescent="0.3">
      <c r="B108" s="6"/>
      <c r="C108" s="62"/>
      <c r="D108" s="62"/>
      <c r="E108" s="21"/>
    </row>
    <row r="109" spans="2:7" ht="13.7" customHeight="1" thickBot="1" x14ac:dyDescent="0.3">
      <c r="B109" s="6"/>
      <c r="C109" s="62"/>
      <c r="D109" s="62"/>
      <c r="E109" s="21"/>
      <c r="F109" s="13" t="s">
        <v>340</v>
      </c>
      <c r="G109" s="65">
        <f>D61-G106</f>
        <v>111506740</v>
      </c>
    </row>
    <row r="110" spans="2:7" ht="13.7" customHeight="1" thickBot="1" x14ac:dyDescent="0.3">
      <c r="B110" s="6"/>
      <c r="C110" s="62"/>
      <c r="D110" s="62"/>
      <c r="E110" s="21"/>
    </row>
    <row r="111" spans="2:7" ht="13.7" customHeight="1" thickBot="1" x14ac:dyDescent="0.3">
      <c r="C111" s="48" t="s">
        <v>270</v>
      </c>
      <c r="D111" s="17">
        <f>+[20]E.S.P.!D6</f>
        <v>2020</v>
      </c>
      <c r="E111" s="52"/>
      <c r="F111" s="48" t="s">
        <v>341</v>
      </c>
      <c r="G111" s="17">
        <f>+[20]E.S.P.!D6</f>
        <v>2020</v>
      </c>
    </row>
    <row r="112" spans="2:7" ht="13.7" customHeight="1" x14ac:dyDescent="0.25">
      <c r="B112" s="6" t="s">
        <v>342</v>
      </c>
      <c r="C112" s="66" t="s">
        <v>343</v>
      </c>
      <c r="D112" s="67">
        <v>4879518</v>
      </c>
      <c r="E112" s="21" t="s">
        <v>344</v>
      </c>
      <c r="F112" s="66" t="s">
        <v>309</v>
      </c>
      <c r="G112" s="67"/>
    </row>
    <row r="113" spans="2:7" ht="13.7" customHeight="1" x14ac:dyDescent="0.25">
      <c r="B113" s="6" t="s">
        <v>345</v>
      </c>
      <c r="C113" s="68" t="s">
        <v>346</v>
      </c>
      <c r="D113" s="69">
        <v>53138346</v>
      </c>
      <c r="E113" s="21" t="s">
        <v>347</v>
      </c>
      <c r="F113" s="68" t="s">
        <v>348</v>
      </c>
      <c r="G113" s="69"/>
    </row>
    <row r="114" spans="2:7" ht="13.7" customHeight="1" x14ac:dyDescent="0.25">
      <c r="B114" s="6" t="s">
        <v>349</v>
      </c>
      <c r="C114" s="68" t="s">
        <v>48</v>
      </c>
      <c r="D114" s="69">
        <v>16381761</v>
      </c>
      <c r="E114" s="21" t="s">
        <v>350</v>
      </c>
      <c r="F114" s="68" t="s">
        <v>351</v>
      </c>
      <c r="G114" s="69">
        <v>3119322</v>
      </c>
    </row>
    <row r="115" spans="2:7" ht="13.7" customHeight="1" x14ac:dyDescent="0.25">
      <c r="B115" s="6" t="s">
        <v>352</v>
      </c>
      <c r="C115" s="68" t="s">
        <v>353</v>
      </c>
      <c r="D115" s="69">
        <v>163432</v>
      </c>
      <c r="E115" s="21" t="s">
        <v>354</v>
      </c>
      <c r="F115" s="68" t="s">
        <v>355</v>
      </c>
      <c r="G115" s="69"/>
    </row>
    <row r="116" spans="2:7" ht="13.7" customHeight="1" x14ac:dyDescent="0.25">
      <c r="B116" s="6" t="s">
        <v>356</v>
      </c>
      <c r="C116" s="68" t="s">
        <v>357</v>
      </c>
      <c r="D116" s="69">
        <v>2166649</v>
      </c>
      <c r="E116" s="21" t="s">
        <v>358</v>
      </c>
      <c r="F116" s="68" t="s">
        <v>359</v>
      </c>
      <c r="G116" s="69">
        <v>239609</v>
      </c>
    </row>
    <row r="117" spans="2:7" ht="13.7" customHeight="1" x14ac:dyDescent="0.25">
      <c r="B117" s="6" t="s">
        <v>360</v>
      </c>
      <c r="C117" s="68" t="s">
        <v>361</v>
      </c>
      <c r="D117" s="69">
        <v>2418133</v>
      </c>
      <c r="E117" s="21" t="s">
        <v>362</v>
      </c>
      <c r="F117" s="68" t="s">
        <v>363</v>
      </c>
      <c r="G117" s="69"/>
    </row>
    <row r="118" spans="2:7" ht="13.7" customHeight="1" x14ac:dyDescent="0.25">
      <c r="B118" s="6" t="s">
        <v>364</v>
      </c>
      <c r="C118" s="68" t="s">
        <v>365</v>
      </c>
      <c r="D118" s="69"/>
      <c r="E118" s="21" t="s">
        <v>366</v>
      </c>
      <c r="F118" s="68" t="s">
        <v>367</v>
      </c>
      <c r="G118" s="69"/>
    </row>
    <row r="119" spans="2:7" ht="13.7" customHeight="1" x14ac:dyDescent="0.25">
      <c r="B119" s="6" t="s">
        <v>368</v>
      </c>
      <c r="C119" s="68" t="s">
        <v>369</v>
      </c>
      <c r="D119" s="69">
        <v>911612</v>
      </c>
      <c r="E119" s="21" t="s">
        <v>370</v>
      </c>
      <c r="F119" s="68" t="s">
        <v>371</v>
      </c>
      <c r="G119" s="69"/>
    </row>
    <row r="120" spans="2:7" ht="13.7" customHeight="1" x14ac:dyDescent="0.25">
      <c r="B120" s="6" t="s">
        <v>372</v>
      </c>
      <c r="C120" s="68" t="s">
        <v>373</v>
      </c>
      <c r="D120" s="69">
        <v>551228</v>
      </c>
      <c r="E120" s="21" t="s">
        <v>374</v>
      </c>
      <c r="F120" s="68" t="s">
        <v>375</v>
      </c>
      <c r="G120" s="69"/>
    </row>
    <row r="121" spans="2:7" ht="13.7" customHeight="1" x14ac:dyDescent="0.25">
      <c r="B121" s="6" t="s">
        <v>376</v>
      </c>
      <c r="C121" s="19" t="s">
        <v>377</v>
      </c>
      <c r="D121" s="69">
        <v>3828015</v>
      </c>
      <c r="E121" s="21" t="s">
        <v>378</v>
      </c>
      <c r="F121" s="68" t="s">
        <v>379</v>
      </c>
      <c r="G121" s="69">
        <f>489657+541</f>
        <v>490198</v>
      </c>
    </row>
    <row r="122" spans="2:7" ht="13.7" customHeight="1" thickBot="1" x14ac:dyDescent="0.3">
      <c r="B122" s="6"/>
      <c r="C122" s="28" t="s">
        <v>380</v>
      </c>
      <c r="D122" s="37">
        <f>SUM(D112:D121)</f>
        <v>84438694</v>
      </c>
      <c r="E122" s="21" t="s">
        <v>381</v>
      </c>
      <c r="F122" s="19" t="s">
        <v>382</v>
      </c>
      <c r="G122" s="20">
        <v>163477</v>
      </c>
    </row>
    <row r="123" spans="2:7" ht="13.7" customHeight="1" thickBot="1" x14ac:dyDescent="0.3">
      <c r="B123" s="6" t="s">
        <v>383</v>
      </c>
      <c r="C123" s="70" t="s">
        <v>309</v>
      </c>
      <c r="D123" s="67">
        <v>1540570</v>
      </c>
      <c r="E123" s="52"/>
      <c r="F123" s="28" t="s">
        <v>384</v>
      </c>
      <c r="G123" s="37">
        <f>SUM(G112:G122)</f>
        <v>4012606</v>
      </c>
    </row>
    <row r="124" spans="2:7" ht="13.7" customHeight="1" x14ac:dyDescent="0.25">
      <c r="B124" s="6" t="s">
        <v>385</v>
      </c>
      <c r="C124" s="68" t="s">
        <v>313</v>
      </c>
      <c r="D124" s="69"/>
      <c r="E124" s="21" t="s">
        <v>386</v>
      </c>
      <c r="F124" s="68" t="s">
        <v>387</v>
      </c>
      <c r="G124" s="69">
        <v>70300</v>
      </c>
    </row>
    <row r="125" spans="2:7" ht="13.7" customHeight="1" x14ac:dyDescent="0.25">
      <c r="B125" s="6" t="s">
        <v>388</v>
      </c>
      <c r="C125" s="19" t="s">
        <v>389</v>
      </c>
      <c r="D125" s="69">
        <v>68508</v>
      </c>
      <c r="E125" s="21" t="s">
        <v>390</v>
      </c>
      <c r="F125" s="68" t="s">
        <v>391</v>
      </c>
      <c r="G125" s="69">
        <v>43506</v>
      </c>
    </row>
    <row r="126" spans="2:7" ht="13.7" customHeight="1" thickBot="1" x14ac:dyDescent="0.3">
      <c r="B126" s="6"/>
      <c r="C126" s="28" t="s">
        <v>392</v>
      </c>
      <c r="D126" s="37">
        <f>SUM(D123:D125)</f>
        <v>1609078</v>
      </c>
      <c r="E126" s="21" t="s">
        <v>393</v>
      </c>
      <c r="F126" s="68" t="s">
        <v>394</v>
      </c>
      <c r="G126" s="69">
        <v>3386478</v>
      </c>
    </row>
    <row r="127" spans="2:7" ht="13.7" customHeight="1" x14ac:dyDescent="0.25">
      <c r="B127" s="6" t="s">
        <v>395</v>
      </c>
      <c r="C127" s="66" t="s">
        <v>274</v>
      </c>
      <c r="D127" s="67">
        <f>130450+2276257</f>
        <v>2406707</v>
      </c>
      <c r="E127" s="21" t="s">
        <v>396</v>
      </c>
      <c r="F127" s="68" t="s">
        <v>397</v>
      </c>
      <c r="G127" s="69"/>
    </row>
    <row r="128" spans="2:7" ht="13.7" customHeight="1" x14ac:dyDescent="0.25">
      <c r="B128" s="6" t="s">
        <v>398</v>
      </c>
      <c r="C128" s="68" t="s">
        <v>399</v>
      </c>
      <c r="D128" s="69">
        <f>901856+1078199</f>
        <v>1980055</v>
      </c>
      <c r="E128" s="21" t="s">
        <v>400</v>
      </c>
      <c r="F128" s="68" t="s">
        <v>401</v>
      </c>
      <c r="G128" s="69"/>
    </row>
    <row r="129" spans="2:7" ht="13.7" customHeight="1" x14ac:dyDescent="0.25">
      <c r="B129" s="6" t="s">
        <v>402</v>
      </c>
      <c r="C129" s="68" t="s">
        <v>277</v>
      </c>
      <c r="D129" s="69">
        <v>341795</v>
      </c>
      <c r="E129" s="21" t="s">
        <v>403</v>
      </c>
      <c r="F129" s="68" t="s">
        <v>404</v>
      </c>
      <c r="G129" s="69">
        <v>214248</v>
      </c>
    </row>
    <row r="130" spans="2:7" ht="13.7" customHeight="1" x14ac:dyDescent="0.25">
      <c r="B130" s="6" t="s">
        <v>405</v>
      </c>
      <c r="C130" s="68" t="s">
        <v>283</v>
      </c>
      <c r="D130" s="69">
        <v>278204</v>
      </c>
      <c r="E130" s="21" t="s">
        <v>406</v>
      </c>
      <c r="F130" s="68" t="s">
        <v>407</v>
      </c>
      <c r="G130" s="69"/>
    </row>
    <row r="131" spans="2:7" ht="13.7" customHeight="1" x14ac:dyDescent="0.25">
      <c r="B131" s="6" t="s">
        <v>408</v>
      </c>
      <c r="C131" s="68" t="s">
        <v>287</v>
      </c>
      <c r="D131" s="69">
        <v>1011777</v>
      </c>
      <c r="E131" s="21" t="s">
        <v>409</v>
      </c>
      <c r="F131" s="68" t="s">
        <v>410</v>
      </c>
      <c r="G131" s="69"/>
    </row>
    <row r="132" spans="2:7" ht="13.7" customHeight="1" x14ac:dyDescent="0.25">
      <c r="B132" s="6" t="s">
        <v>411</v>
      </c>
      <c r="C132" s="68" t="s">
        <v>291</v>
      </c>
      <c r="D132" s="69">
        <v>227646</v>
      </c>
      <c r="E132" s="21" t="s">
        <v>412</v>
      </c>
      <c r="F132" s="68" t="s">
        <v>413</v>
      </c>
      <c r="G132" s="69"/>
    </row>
    <row r="133" spans="2:7" ht="13.7" customHeight="1" x14ac:dyDescent="0.25">
      <c r="B133" s="6" t="s">
        <v>414</v>
      </c>
      <c r="C133" s="68" t="s">
        <v>295</v>
      </c>
      <c r="D133" s="69">
        <v>0</v>
      </c>
      <c r="E133" s="21" t="s">
        <v>415</v>
      </c>
      <c r="F133" s="68" t="s">
        <v>416</v>
      </c>
      <c r="G133" s="69"/>
    </row>
    <row r="134" spans="2:7" ht="13.7" customHeight="1" x14ac:dyDescent="0.25">
      <c r="B134" s="6" t="s">
        <v>417</v>
      </c>
      <c r="C134" s="68" t="s">
        <v>418</v>
      </c>
      <c r="D134" s="69">
        <f>512535+1205368</f>
        <v>1717903</v>
      </c>
      <c r="E134" s="21" t="s">
        <v>419</v>
      </c>
      <c r="F134" s="68" t="s">
        <v>420</v>
      </c>
      <c r="G134" s="69"/>
    </row>
    <row r="135" spans="2:7" ht="13.7" customHeight="1" x14ac:dyDescent="0.25">
      <c r="B135" s="6" t="s">
        <v>421</v>
      </c>
      <c r="C135" s="68" t="s">
        <v>422</v>
      </c>
      <c r="D135" s="69">
        <v>8252020</v>
      </c>
      <c r="E135" s="21" t="s">
        <v>423</v>
      </c>
      <c r="F135" s="68" t="s">
        <v>424</v>
      </c>
      <c r="G135" s="69"/>
    </row>
    <row r="136" spans="2:7" ht="13.7" customHeight="1" x14ac:dyDescent="0.25">
      <c r="B136" s="6" t="s">
        <v>425</v>
      </c>
      <c r="C136" s="68" t="s">
        <v>318</v>
      </c>
      <c r="D136" s="69">
        <f>16949452-901856-512535</f>
        <v>15535061</v>
      </c>
      <c r="E136" s="21" t="s">
        <v>426</v>
      </c>
      <c r="F136" s="68" t="s">
        <v>427</v>
      </c>
      <c r="G136" s="69">
        <v>127324</v>
      </c>
    </row>
    <row r="137" spans="2:7" ht="13.7" customHeight="1" x14ac:dyDescent="0.25">
      <c r="B137" s="6" t="s">
        <v>428</v>
      </c>
      <c r="C137" s="19" t="s">
        <v>320</v>
      </c>
      <c r="D137" s="71">
        <v>1431805</v>
      </c>
      <c r="E137" s="21" t="s">
        <v>429</v>
      </c>
      <c r="F137" s="68" t="s">
        <v>430</v>
      </c>
      <c r="G137" s="69">
        <f>593608+8</f>
        <v>593616</v>
      </c>
    </row>
    <row r="138" spans="2:7" ht="13.7" customHeight="1" thickBot="1" x14ac:dyDescent="0.3">
      <c r="B138" s="6"/>
      <c r="C138" s="28" t="s">
        <v>321</v>
      </c>
      <c r="D138" s="37">
        <f>SUM(D127:D137)</f>
        <v>33182973</v>
      </c>
      <c r="E138" s="21" t="s">
        <v>431</v>
      </c>
      <c r="F138" s="19" t="s">
        <v>432</v>
      </c>
      <c r="G138" s="20">
        <f>176968-15405</f>
        <v>161563</v>
      </c>
    </row>
    <row r="139" spans="2:7" ht="13.7" customHeight="1" thickBot="1" x14ac:dyDescent="0.3">
      <c r="B139" s="6" t="s">
        <v>433</v>
      </c>
      <c r="C139" s="66" t="s">
        <v>327</v>
      </c>
      <c r="D139" s="67"/>
      <c r="E139" s="7"/>
      <c r="F139" s="28" t="s">
        <v>434</v>
      </c>
      <c r="G139" s="37">
        <f>SUM(G124:G138)</f>
        <v>4597035</v>
      </c>
    </row>
    <row r="140" spans="2:7" ht="13.7" customHeight="1" thickBot="1" x14ac:dyDescent="0.3">
      <c r="B140" s="6" t="s">
        <v>435</v>
      </c>
      <c r="C140" s="68" t="s">
        <v>329</v>
      </c>
      <c r="D140" s="69"/>
      <c r="E140" s="7"/>
      <c r="F140" s="48" t="s">
        <v>436</v>
      </c>
      <c r="G140" s="72">
        <f>G123-G139</f>
        <v>-584429</v>
      </c>
    </row>
    <row r="141" spans="2:7" ht="13.7" customHeight="1" x14ac:dyDescent="0.25">
      <c r="B141" s="6" t="s">
        <v>437</v>
      </c>
      <c r="C141" s="19" t="s">
        <v>331</v>
      </c>
      <c r="D141" s="71"/>
      <c r="E141" s="73"/>
    </row>
    <row r="142" spans="2:7" ht="13.7" customHeight="1" thickBot="1" x14ac:dyDescent="0.3">
      <c r="B142" s="6"/>
      <c r="C142" s="28" t="s">
        <v>332</v>
      </c>
      <c r="D142" s="37">
        <f>SUM(D139:D141)</f>
        <v>0</v>
      </c>
      <c r="E142" s="73"/>
    </row>
    <row r="143" spans="2:7" ht="13.7" customHeight="1" thickBot="1" x14ac:dyDescent="0.3">
      <c r="B143" s="6"/>
      <c r="C143" s="59" t="s">
        <v>438</v>
      </c>
      <c r="D143" s="74">
        <f>[20]Amortizaciones!D33</f>
        <v>1205265</v>
      </c>
      <c r="E143" s="21"/>
      <c r="F143" s="48" t="s">
        <v>439</v>
      </c>
      <c r="G143" s="17">
        <f>+[20]E.S.P.!D6</f>
        <v>2020</v>
      </c>
    </row>
    <row r="144" spans="2:7" ht="13.7" customHeight="1" x14ac:dyDescent="0.25">
      <c r="B144" s="6" t="s">
        <v>440</v>
      </c>
      <c r="C144" s="66" t="s">
        <v>441</v>
      </c>
      <c r="D144" s="67">
        <v>633114</v>
      </c>
      <c r="E144" s="21" t="s">
        <v>442</v>
      </c>
      <c r="F144" s="66" t="s">
        <v>443</v>
      </c>
      <c r="G144" s="67">
        <v>428938</v>
      </c>
    </row>
    <row r="145" spans="2:7" ht="13.7" customHeight="1" x14ac:dyDescent="0.25">
      <c r="B145" s="6" t="s">
        <v>444</v>
      </c>
      <c r="C145" s="68" t="s">
        <v>445</v>
      </c>
      <c r="D145" s="69">
        <v>282174</v>
      </c>
      <c r="E145" s="21" t="s">
        <v>446</v>
      </c>
      <c r="F145" s="68" t="s">
        <v>447</v>
      </c>
      <c r="G145" s="69">
        <f>51775+166</f>
        <v>51941</v>
      </c>
    </row>
    <row r="146" spans="2:7" ht="13.7" customHeight="1" x14ac:dyDescent="0.25">
      <c r="B146" s="6" t="s">
        <v>448</v>
      </c>
      <c r="C146" s="75" t="s">
        <v>449</v>
      </c>
      <c r="D146" s="69"/>
      <c r="E146" s="21" t="s">
        <v>450</v>
      </c>
      <c r="F146" s="68" t="s">
        <v>451</v>
      </c>
      <c r="G146" s="69">
        <v>912133</v>
      </c>
    </row>
    <row r="147" spans="2:7" ht="13.7" customHeight="1" x14ac:dyDescent="0.25">
      <c r="B147" s="6" t="s">
        <v>452</v>
      </c>
      <c r="C147" s="19" t="s">
        <v>453</v>
      </c>
      <c r="D147" s="71">
        <v>43212</v>
      </c>
      <c r="E147" s="21" t="s">
        <v>454</v>
      </c>
      <c r="F147" s="68" t="s">
        <v>455</v>
      </c>
      <c r="G147" s="69"/>
    </row>
    <row r="148" spans="2:7" ht="13.7" customHeight="1" thickBot="1" x14ac:dyDescent="0.3">
      <c r="B148" s="6"/>
      <c r="C148" s="28" t="s">
        <v>456</v>
      </c>
      <c r="D148" s="37">
        <f>SUM(D144:D147)</f>
        <v>958500</v>
      </c>
      <c r="E148" s="21" t="s">
        <v>457</v>
      </c>
      <c r="F148" s="68" t="s">
        <v>458</v>
      </c>
      <c r="G148" s="69"/>
    </row>
    <row r="149" spans="2:7" ht="13.7" customHeight="1" x14ac:dyDescent="0.25">
      <c r="B149" s="6" t="s">
        <v>459</v>
      </c>
      <c r="C149" s="66" t="s">
        <v>460</v>
      </c>
      <c r="D149" s="67">
        <v>469358</v>
      </c>
      <c r="E149" s="21" t="s">
        <v>461</v>
      </c>
      <c r="F149" s="68" t="s">
        <v>462</v>
      </c>
      <c r="G149" s="69"/>
    </row>
    <row r="150" spans="2:7" ht="13.7" customHeight="1" x14ac:dyDescent="0.25">
      <c r="B150" s="6" t="s">
        <v>463</v>
      </c>
      <c r="C150" s="68" t="s">
        <v>464</v>
      </c>
      <c r="D150" s="69"/>
      <c r="E150" s="21" t="s">
        <v>465</v>
      </c>
      <c r="F150" s="68" t="s">
        <v>466</v>
      </c>
      <c r="G150" s="69"/>
    </row>
    <row r="151" spans="2:7" ht="13.7" customHeight="1" x14ac:dyDescent="0.25">
      <c r="B151" s="6" t="s">
        <v>467</v>
      </c>
      <c r="C151" s="19" t="s">
        <v>468</v>
      </c>
      <c r="D151" s="71">
        <v>15405</v>
      </c>
      <c r="E151" s="21" t="s">
        <v>469</v>
      </c>
      <c r="F151" s="68" t="s">
        <v>470</v>
      </c>
      <c r="G151" s="69">
        <v>19037133</v>
      </c>
    </row>
    <row r="152" spans="2:7" ht="13.7" customHeight="1" thickBot="1" x14ac:dyDescent="0.3">
      <c r="B152" s="6"/>
      <c r="C152" s="28" t="s">
        <v>471</v>
      </c>
      <c r="D152" s="37">
        <f>SUM(D149:D151)</f>
        <v>484763</v>
      </c>
      <c r="E152" s="21" t="s">
        <v>472</v>
      </c>
      <c r="F152" s="68" t="s">
        <v>473</v>
      </c>
      <c r="G152" s="69">
        <v>907</v>
      </c>
    </row>
    <row r="153" spans="2:7" ht="13.7" customHeight="1" thickBot="1" x14ac:dyDescent="0.3">
      <c r="B153" s="6"/>
      <c r="C153" s="48" t="s">
        <v>474</v>
      </c>
      <c r="D153" s="76">
        <f>D122+D126+D138+D142+D143+D148+D152</f>
        <v>121879273</v>
      </c>
      <c r="E153" s="21" t="s">
        <v>475</v>
      </c>
      <c r="F153" s="19" t="s">
        <v>476</v>
      </c>
      <c r="G153" s="20">
        <v>55815</v>
      </c>
    </row>
    <row r="154" spans="2:7" ht="13.7" customHeight="1" thickBot="1" x14ac:dyDescent="0.3">
      <c r="B154" s="6"/>
      <c r="E154" s="21"/>
      <c r="F154" s="28" t="s">
        <v>477</v>
      </c>
      <c r="G154" s="37">
        <f>SUM(G144:G153)</f>
        <v>20486867</v>
      </c>
    </row>
    <row r="155" spans="2:7" ht="13.7" customHeight="1" thickBot="1" x14ac:dyDescent="0.3">
      <c r="B155" s="6"/>
      <c r="C155" s="77" t="s">
        <v>478</v>
      </c>
      <c r="D155" s="65">
        <f>G109-D153</f>
        <v>-10372533</v>
      </c>
      <c r="E155" s="21" t="s">
        <v>479</v>
      </c>
      <c r="F155" s="66" t="s">
        <v>480</v>
      </c>
      <c r="G155" s="67">
        <v>1768565</v>
      </c>
    </row>
    <row r="156" spans="2:7" ht="13.7" customHeight="1" x14ac:dyDescent="0.25">
      <c r="E156" s="21" t="s">
        <v>481</v>
      </c>
      <c r="F156" s="68" t="s">
        <v>482</v>
      </c>
      <c r="G156" s="69">
        <f>2810702+2985799</f>
        <v>5796501</v>
      </c>
    </row>
    <row r="157" spans="2:7" ht="13.7" customHeight="1" x14ac:dyDescent="0.25">
      <c r="E157" s="21" t="s">
        <v>483</v>
      </c>
      <c r="F157" s="68" t="s">
        <v>484</v>
      </c>
      <c r="G157" s="69">
        <v>10909</v>
      </c>
    </row>
    <row r="158" spans="2:7" ht="13.7" customHeight="1" x14ac:dyDescent="0.25">
      <c r="E158" s="21" t="s">
        <v>485</v>
      </c>
      <c r="F158" s="68" t="s">
        <v>486</v>
      </c>
      <c r="G158" s="69"/>
    </row>
    <row r="159" spans="2:7" ht="13.7" customHeight="1" x14ac:dyDescent="0.25">
      <c r="E159" s="21" t="s">
        <v>487</v>
      </c>
      <c r="F159" s="68" t="s">
        <v>488</v>
      </c>
      <c r="G159" s="69">
        <v>3385</v>
      </c>
    </row>
    <row r="160" spans="2:7" ht="13.7" customHeight="1" x14ac:dyDescent="0.25">
      <c r="E160" s="21" t="s">
        <v>489</v>
      </c>
      <c r="F160" s="68" t="s">
        <v>490</v>
      </c>
      <c r="G160" s="69">
        <v>2825</v>
      </c>
    </row>
    <row r="161" spans="5:7" ht="13.7" customHeight="1" x14ac:dyDescent="0.25">
      <c r="E161" s="21" t="s">
        <v>491</v>
      </c>
      <c r="F161" s="68" t="s">
        <v>492</v>
      </c>
      <c r="G161" s="69">
        <v>3589709</v>
      </c>
    </row>
    <row r="162" spans="5:7" ht="13.7" customHeight="1" x14ac:dyDescent="0.25">
      <c r="E162" s="21" t="s">
        <v>493</v>
      </c>
      <c r="F162" s="68" t="s">
        <v>494</v>
      </c>
      <c r="G162" s="69"/>
    </row>
    <row r="163" spans="5:7" ht="13.7" customHeight="1" x14ac:dyDescent="0.25">
      <c r="E163" s="21" t="s">
        <v>495</v>
      </c>
      <c r="F163" s="68" t="s">
        <v>496</v>
      </c>
      <c r="G163" s="69"/>
    </row>
    <row r="164" spans="5:7" ht="13.7" customHeight="1" x14ac:dyDescent="0.25">
      <c r="E164" s="21" t="s">
        <v>497</v>
      </c>
      <c r="F164" s="68" t="s">
        <v>498</v>
      </c>
      <c r="G164" s="69"/>
    </row>
    <row r="165" spans="5:7" ht="13.7" customHeight="1" x14ac:dyDescent="0.25">
      <c r="E165" s="21" t="s">
        <v>499</v>
      </c>
      <c r="F165" s="68" t="s">
        <v>500</v>
      </c>
      <c r="G165" s="69"/>
    </row>
    <row r="166" spans="5:7" ht="13.7" customHeight="1" x14ac:dyDescent="0.25">
      <c r="E166" s="21" t="s">
        <v>501</v>
      </c>
      <c r="F166" s="68" t="s">
        <v>502</v>
      </c>
      <c r="G166" s="69"/>
    </row>
    <row r="167" spans="5:7" ht="13.7" customHeight="1" x14ac:dyDescent="0.25">
      <c r="E167" s="21" t="s">
        <v>503</v>
      </c>
      <c r="F167" s="19" t="s">
        <v>504</v>
      </c>
      <c r="G167" s="20">
        <v>420270</v>
      </c>
    </row>
    <row r="168" spans="5:7" ht="13.7" customHeight="1" thickBot="1" x14ac:dyDescent="0.3">
      <c r="E168" s="21"/>
      <c r="F168" s="28" t="s">
        <v>505</v>
      </c>
      <c r="G168" s="37">
        <f>SUM(G155:G167)</f>
        <v>11592164</v>
      </c>
    </row>
    <row r="169" spans="5:7" ht="13.7" customHeight="1" thickBot="1" x14ac:dyDescent="0.3">
      <c r="E169" s="21"/>
      <c r="F169" s="48" t="s">
        <v>506</v>
      </c>
      <c r="G169" s="72">
        <f>G154-G168</f>
        <v>8894703</v>
      </c>
    </row>
    <row r="170" spans="5:7" ht="13.7" customHeight="1" thickBot="1" x14ac:dyDescent="0.3">
      <c r="E170" s="21"/>
      <c r="F170" s="78"/>
      <c r="G170" s="78"/>
    </row>
    <row r="171" spans="5:7" ht="13.7" customHeight="1" thickBot="1" x14ac:dyDescent="0.3">
      <c r="E171" s="21"/>
      <c r="F171" s="77" t="s">
        <v>507</v>
      </c>
      <c r="G171" s="79"/>
    </row>
    <row r="172" spans="5:7" ht="13.7" customHeight="1" thickBot="1" x14ac:dyDescent="0.3">
      <c r="E172" s="21"/>
      <c r="F172" s="80"/>
      <c r="G172" s="81">
        <f>+D155+G140+G169</f>
        <v>-2062259</v>
      </c>
    </row>
    <row r="173" spans="5:7" ht="13.7" customHeight="1" thickBot="1" x14ac:dyDescent="0.3">
      <c r="E173" s="21"/>
      <c r="F173" s="5"/>
      <c r="G173" s="5"/>
    </row>
    <row r="174" spans="5:7" ht="13.7" customHeight="1" thickBot="1" x14ac:dyDescent="0.3">
      <c r="E174" s="21"/>
      <c r="F174" s="48" t="s">
        <v>508</v>
      </c>
      <c r="G174" s="17">
        <f>+G143</f>
        <v>2020</v>
      </c>
    </row>
    <row r="175" spans="5:7" ht="13.7" customHeight="1" x14ac:dyDescent="0.25">
      <c r="E175" s="21"/>
      <c r="F175" s="66" t="s">
        <v>509</v>
      </c>
      <c r="G175" s="67"/>
    </row>
    <row r="176" spans="5:7" ht="13.7" customHeight="1" x14ac:dyDescent="0.25">
      <c r="E176" s="21"/>
      <c r="F176" s="68" t="s">
        <v>510</v>
      </c>
      <c r="G176" s="69"/>
    </row>
    <row r="177" spans="1:8" ht="13.7" customHeight="1" thickBot="1" x14ac:dyDescent="0.3">
      <c r="F177" s="68" t="s">
        <v>511</v>
      </c>
      <c r="G177" s="69"/>
    </row>
    <row r="178" spans="1:8" ht="13.7" customHeight="1" thickBot="1" x14ac:dyDescent="0.3">
      <c r="F178" s="48" t="s">
        <v>512</v>
      </c>
      <c r="G178" s="72">
        <f>SUM(G175:G177)</f>
        <v>0</v>
      </c>
    </row>
    <row r="179" spans="1:8" ht="13.7" customHeight="1" thickBot="1" x14ac:dyDescent="0.3"/>
    <row r="180" spans="1:8" ht="13.7" customHeight="1" thickBot="1" x14ac:dyDescent="0.3">
      <c r="F180" s="77" t="s">
        <v>513</v>
      </c>
      <c r="G180" s="79"/>
    </row>
    <row r="181" spans="1:8" ht="13.7" customHeight="1" thickBot="1" x14ac:dyDescent="0.3">
      <c r="F181" s="83"/>
      <c r="G181" s="81">
        <f>+G172+G178</f>
        <v>-2062259</v>
      </c>
    </row>
    <row r="182" spans="1:8" ht="13.7" customHeight="1" x14ac:dyDescent="0.25"/>
    <row r="183" spans="1:8" ht="13.5" customHeight="1" x14ac:dyDescent="0.25"/>
    <row r="184" spans="1:8" ht="13.7" customHeight="1" x14ac:dyDescent="0.25">
      <c r="E184" s="84"/>
      <c r="F184" s="84"/>
      <c r="G184" s="84"/>
      <c r="H184" s="84"/>
    </row>
    <row r="185" spans="1:8" s="84" customFormat="1" ht="13.7" customHeight="1" x14ac:dyDescent="0.25">
      <c r="A185" s="85"/>
      <c r="E185" s="82"/>
      <c r="F185" s="86"/>
      <c r="G185" s="86"/>
    </row>
    <row r="186" spans="1:8" s="84" customFormat="1" ht="12.75" x14ac:dyDescent="0.25">
      <c r="A186" s="85"/>
      <c r="E186" s="82"/>
      <c r="F186" s="86"/>
      <c r="G186" s="86"/>
    </row>
    <row r="187" spans="1:8" s="84" customFormat="1" ht="12.75" hidden="1" x14ac:dyDescent="0.25">
      <c r="A187" s="85"/>
      <c r="E187" s="82"/>
      <c r="F187" s="86"/>
      <c r="G187" s="86"/>
    </row>
    <row r="188" spans="1:8" s="84" customFormat="1" ht="12.75" hidden="1" x14ac:dyDescent="0.25">
      <c r="A188" s="85"/>
      <c r="E188" s="82"/>
      <c r="F188" s="86"/>
      <c r="G188" s="86"/>
    </row>
    <row r="189" spans="1:8" s="84" customFormat="1" ht="12.75" hidden="1" x14ac:dyDescent="0.25">
      <c r="A189" s="85"/>
      <c r="E189" s="82"/>
      <c r="F189" s="86"/>
      <c r="G189" s="86"/>
    </row>
    <row r="190" spans="1:8" s="84" customFormat="1" ht="12.75" hidden="1" x14ac:dyDescent="0.25">
      <c r="A190" s="85"/>
      <c r="E190" s="82"/>
      <c r="F190" s="86"/>
      <c r="G190" s="86"/>
    </row>
    <row r="191" spans="1:8" s="84" customFormat="1" ht="12.75" hidden="1" x14ac:dyDescent="0.25">
      <c r="A191" s="85"/>
      <c r="E191" s="82"/>
      <c r="F191" s="86"/>
      <c r="G191" s="86"/>
    </row>
    <row r="192" spans="1:8" s="84" customFormat="1" ht="12.75" hidden="1" x14ac:dyDescent="0.25">
      <c r="A192" s="85"/>
      <c r="E192" s="82"/>
      <c r="F192" s="86"/>
      <c r="G192" s="86"/>
    </row>
    <row r="193" spans="5:7" s="84" customFormat="1" ht="12.75" hidden="1" x14ac:dyDescent="0.25">
      <c r="E193" s="82"/>
      <c r="F193" s="86"/>
      <c r="G193" s="86"/>
    </row>
    <row r="194" spans="5:7" s="84" customFormat="1" ht="12.75" hidden="1" x14ac:dyDescent="0.25">
      <c r="E194" s="82"/>
      <c r="F194" s="86"/>
      <c r="G194" s="86"/>
    </row>
    <row r="195" spans="5:7" s="84" customFormat="1" ht="12.75" hidden="1" x14ac:dyDescent="0.25">
      <c r="E195" s="82"/>
      <c r="F195" s="86"/>
      <c r="G195" s="86"/>
    </row>
    <row r="196" spans="5:7" s="84" customFormat="1" ht="12.75" hidden="1" x14ac:dyDescent="0.25">
      <c r="E196" s="82"/>
      <c r="F196" s="86"/>
      <c r="G196" s="86"/>
    </row>
    <row r="197" spans="5:7" s="84" customFormat="1" ht="12.75" hidden="1" x14ac:dyDescent="0.25">
      <c r="E197" s="82"/>
      <c r="F197" s="86"/>
      <c r="G197" s="86"/>
    </row>
    <row r="198" spans="5:7" s="84" customFormat="1" ht="12.75" hidden="1" x14ac:dyDescent="0.25">
      <c r="E198" s="82"/>
      <c r="F198" s="86"/>
      <c r="G198" s="86"/>
    </row>
    <row r="199" spans="5:7" s="84" customFormat="1" ht="12.75" hidden="1" x14ac:dyDescent="0.25">
      <c r="E199" s="82"/>
      <c r="F199" s="86"/>
      <c r="G199" s="86"/>
    </row>
    <row r="200" spans="5:7" s="84" customFormat="1" ht="12.75" hidden="1" x14ac:dyDescent="0.25">
      <c r="E200" s="82"/>
      <c r="F200" s="86"/>
      <c r="G200" s="86"/>
    </row>
    <row r="201" spans="5:7" s="84" customFormat="1" ht="12.75" hidden="1" x14ac:dyDescent="0.25">
      <c r="E201" s="82"/>
      <c r="F201" s="86"/>
      <c r="G201" s="86"/>
    </row>
    <row r="202" spans="5:7" s="84" customFormat="1" ht="12.75" hidden="1" x14ac:dyDescent="0.25">
      <c r="E202" s="82"/>
      <c r="F202" s="86"/>
      <c r="G202" s="86"/>
    </row>
    <row r="203" spans="5:7" s="84" customFormat="1" ht="12.75" hidden="1" x14ac:dyDescent="0.25">
      <c r="E203" s="82"/>
      <c r="F203" s="86"/>
      <c r="G203" s="86"/>
    </row>
    <row r="204" spans="5:7" s="84" customFormat="1" ht="12.75" hidden="1" x14ac:dyDescent="0.25">
      <c r="E204" s="82"/>
      <c r="F204" s="86"/>
      <c r="G204" s="86"/>
    </row>
    <row r="205" spans="5:7" s="84" customFormat="1" ht="12.75" hidden="1" x14ac:dyDescent="0.25">
      <c r="E205" s="82"/>
      <c r="F205" s="86"/>
      <c r="G205" s="86"/>
    </row>
    <row r="206" spans="5:7" s="84" customFormat="1" ht="12.75" hidden="1" x14ac:dyDescent="0.25">
      <c r="E206" s="82"/>
      <c r="F206" s="86"/>
      <c r="G206" s="86"/>
    </row>
    <row r="207" spans="5:7" s="84" customFormat="1" ht="12.75" hidden="1" x14ac:dyDescent="0.25">
      <c r="E207" s="82"/>
      <c r="F207" s="86"/>
      <c r="G207" s="86"/>
    </row>
    <row r="208" spans="5:7" s="84" customFormat="1" ht="12.75" hidden="1" x14ac:dyDescent="0.25">
      <c r="E208" s="82"/>
      <c r="F208" s="86"/>
      <c r="G208" s="86"/>
    </row>
    <row r="209" spans="3:8" s="84" customFormat="1" ht="12.75" hidden="1" x14ac:dyDescent="0.25">
      <c r="E209" s="82"/>
      <c r="F209" s="86"/>
      <c r="G209" s="86"/>
    </row>
    <row r="210" spans="3:8" s="84" customFormat="1" ht="12.75" hidden="1" x14ac:dyDescent="0.25">
      <c r="E210" s="82"/>
      <c r="F210" s="86"/>
      <c r="G210" s="86"/>
    </row>
    <row r="211" spans="3:8" s="84" customFormat="1" ht="12.75" hidden="1" x14ac:dyDescent="0.25">
      <c r="E211" s="82"/>
      <c r="F211" s="86"/>
      <c r="G211" s="86"/>
    </row>
    <row r="212" spans="3:8" s="84" customFormat="1" ht="12.75" hidden="1" x14ac:dyDescent="0.25">
      <c r="E212" s="82"/>
      <c r="F212" s="86"/>
      <c r="G212" s="86"/>
    </row>
    <row r="213" spans="3:8" s="84" customFormat="1" ht="12.75" hidden="1" x14ac:dyDescent="0.25">
      <c r="E213" s="82"/>
      <c r="F213" s="86"/>
      <c r="G213" s="86"/>
    </row>
    <row r="214" spans="3:8" s="84" customFormat="1" hidden="1" x14ac:dyDescent="0.25">
      <c r="E214" s="82"/>
      <c r="F214" s="87"/>
      <c r="G214" s="58"/>
      <c r="H214" s="5"/>
    </row>
    <row r="215" spans="3:8" hidden="1" x14ac:dyDescent="0.25">
      <c r="C215" s="86"/>
      <c r="D215" s="86"/>
      <c r="F215" s="87"/>
    </row>
    <row r="216" spans="3:8" hidden="1" x14ac:dyDescent="0.25"/>
    <row r="217" spans="3:8" hidden="1" x14ac:dyDescent="0.25"/>
    <row r="218" spans="3:8" hidden="1" x14ac:dyDescent="0.25"/>
    <row r="219" spans="3:8" hidden="1" x14ac:dyDescent="0.25"/>
    <row r="220" spans="3:8" hidden="1" x14ac:dyDescent="0.25"/>
    <row r="221" spans="3:8" hidden="1" x14ac:dyDescent="0.25"/>
    <row r="222" spans="3:8" hidden="1" x14ac:dyDescent="0.25"/>
    <row r="223" spans="3:8" hidden="1" x14ac:dyDescent="0.25"/>
    <row r="224" spans="3:8"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sheetData>
  <mergeCells count="6">
    <mergeCell ref="C1:D1"/>
    <mergeCell ref="E1:F1"/>
    <mergeCell ref="C2:D2"/>
    <mergeCell ref="E2:F2"/>
    <mergeCell ref="C3:D3"/>
    <mergeCell ref="E3:F3"/>
  </mergeCells>
  <conditionalFormatting sqref="D7:D12">
    <cfRule type="cellIs" dxfId="167" priority="6" stopIfTrue="1" operator="greaterThan">
      <formula>50</formula>
    </cfRule>
    <cfRule type="cellIs" dxfId="166" priority="15" stopIfTrue="1" operator="equal">
      <formula>0</formula>
    </cfRule>
  </conditionalFormatting>
  <conditionalFormatting sqref="D7:D61">
    <cfRule type="cellIs" dxfId="165" priority="13" stopIfTrue="1" operator="between">
      <formula>-0.1</formula>
      <formula>-50</formula>
    </cfRule>
    <cfRule type="cellIs" dxfId="164" priority="14" stopIfTrue="1" operator="between">
      <formula>0.1</formula>
      <formula>50</formula>
    </cfRule>
  </conditionalFormatting>
  <conditionalFormatting sqref="G152:G181 G7:G150">
    <cfRule type="cellIs" dxfId="163" priority="11" stopIfTrue="1" operator="between">
      <formula>-0.1</formula>
      <formula>-50</formula>
    </cfRule>
    <cfRule type="cellIs" dxfId="162" priority="12" stopIfTrue="1" operator="between">
      <formula>0.1</formula>
      <formula>50</formula>
    </cfRule>
  </conditionalFormatting>
  <conditionalFormatting sqref="D111:D155">
    <cfRule type="cellIs" dxfId="161" priority="9" stopIfTrue="1" operator="between">
      <formula>-0.1</formula>
      <formula>-50</formula>
    </cfRule>
    <cfRule type="cellIs" dxfId="160" priority="10" stopIfTrue="1" operator="between">
      <formula>0.1</formula>
      <formula>50</formula>
    </cfRule>
  </conditionalFormatting>
  <conditionalFormatting sqref="G165">
    <cfRule type="expression" dxfId="159" priority="8" stopIfTrue="1">
      <formula>AND($G$165&gt;0,$G$151&gt;0)</formula>
    </cfRule>
  </conditionalFormatting>
  <conditionalFormatting sqref="G151">
    <cfRule type="expression" dxfId="158" priority="5" stopIfTrue="1">
      <formula>AND($G$151&gt;0,$G$165&gt;0)</formula>
    </cfRule>
  </conditionalFormatting>
  <dataValidations count="11">
    <dataValidation type="custom" operator="greaterThan" showInputMessage="1" showErrorMessage="1" errorTitle="RDM" error="No se admite ingresar RDM como ingresos y egresos a la vez. Tampoco se admiten valores menores a $50._x000a_" sqref="G151">
      <formula1>AND(OR(G151=0, G151&gt;50),G165=0)</formula1>
    </dataValidation>
    <dataValidation type="whole" operator="greaterThan" allowBlank="1" showInputMessage="1" showErrorMessage="1" sqref="D8:D12">
      <formula1>50</formula1>
    </dataValidation>
    <dataValidation type="whole" operator="greaterThan" showInputMessage="1" showErrorMessage="1" errorTitle="eee" error="Valores mayores a $50" sqref="D7">
      <formula1>50</formula1>
    </dataValidation>
    <dataValidation type="custom" operator="greaterThan" showInputMessage="1" showErrorMessage="1" errorTitle="eee" sqref="D56">
      <formula1>OR(D56=0, D56&lt;50)</formula1>
    </dataValidation>
    <dataValidation type="custom" operator="greaterThan" showInputMessage="1" showErrorMessage="1" errorTitle="eee" sqref="D57:D61">
      <formula1>OR(D57=0, D57&lt;0)</formula1>
    </dataValidation>
    <dataValidation type="custom" operator="greaterThan" showInputMessage="1" showErrorMessage="1" errorTitle="eee" sqref="G7:G140 D62:D155 G152:G164 G166:G181 G144:G150 D13:D55">
      <formula1>OR(D7=0, D7&gt;50)</formula1>
    </dataValidation>
    <dataValidation type="whole" allowBlank="1" showErrorMessage="1" errorTitle="Error de datos" error="Debe ingresar un valor entre 1 y 12" sqref="G1:G3">
      <formula1>1</formula1>
      <formula2>12</formula2>
    </dataValidation>
    <dataValidation allowBlank="1" errorTitle="Error de datos" error="Debe introducir una fecha válida" sqref="E3"/>
    <dataValidation allowBlank="1" sqref="G204"/>
    <dataValidation operator="greaterThanOrEqual" allowBlank="1" errorTitle="Error de datos" error="Debe ingresar un valor entero positivo" sqref="F6:F107 F203 C13:C47 C106:C153 F171 F174:F178 F180 F111:F119 C7:C10 F121:F140 F143:F169 C49:C62 C155 F109"/>
    <dataValidation type="custom" operator="greaterThan" showInputMessage="1" showErrorMessage="1" errorTitle="rdm2" error="No se admite ingresar a la vez RDM como ingresos y como egresos. Tampoco se admiten valores negattivos o positivos menores de 50" sqref="G165">
      <formula1>AND(OR(G165=0, G165&gt;50),G151=0)</formula1>
    </dataValidation>
  </dataValidations>
  <pageMargins left="0.7" right="0.7" top="0.75" bottom="0.75" header="0.3" footer="0.3"/>
  <ignoredErrors>
    <ignoredError sqref="E7:E182" numberStoredAsText="1"/>
    <ignoredError sqref="D14 D36:D42 D127:D136 G55 G86:G92 G121 G137:G138 G145 G156" unlockedFormula="1"/>
    <ignoredError sqref="G40" formulaRange="1"/>
  </ignoredErrors>
  <legacy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26"/>
  <sheetViews>
    <sheetView showGridLines="0" workbookViewId="0">
      <selection activeCell="F4" sqref="F4"/>
    </sheetView>
  </sheetViews>
  <sheetFormatPr baseColWidth="10" defaultColWidth="0" defaultRowHeight="15" zeroHeight="1" x14ac:dyDescent="0.25"/>
  <cols>
    <col min="1" max="1" width="3.7109375" style="1" customWidth="1"/>
    <col min="2" max="2" width="14.28515625" style="7" hidden="1" customWidth="1"/>
    <col min="3" max="3" width="58.5703125" style="58" customWidth="1"/>
    <col min="4" max="4" width="25.140625" style="58" customWidth="1"/>
    <col min="5" max="5" width="5.85546875" style="82" customWidth="1"/>
    <col min="6" max="6" width="57.28515625" style="58" customWidth="1"/>
    <col min="7" max="7" width="24.7109375" style="58" customWidth="1"/>
    <col min="8" max="8" width="5.42578125" style="5" customWidth="1"/>
    <col min="9" max="16384" width="0" style="5" hidden="1"/>
  </cols>
  <sheetData>
    <row r="1" spans="1:9" ht="15.75" x14ac:dyDescent="0.25">
      <c r="B1" s="2"/>
      <c r="C1" s="313" t="s">
        <v>0</v>
      </c>
      <c r="D1" s="314"/>
      <c r="E1" s="315" t="str">
        <f>[21]Presentacion!C2</f>
        <v>CAMDEL</v>
      </c>
      <c r="F1" s="315"/>
      <c r="G1" s="3"/>
      <c r="H1" s="4"/>
    </row>
    <row r="2" spans="1:9" ht="15.75" x14ac:dyDescent="0.25">
      <c r="B2" s="6"/>
      <c r="C2" s="313" t="s">
        <v>1</v>
      </c>
      <c r="D2" s="314"/>
      <c r="E2" s="315" t="str">
        <f>[21]Presentacion!C3</f>
        <v>Lavalleja</v>
      </c>
      <c r="F2" s="315"/>
      <c r="G2" s="3"/>
      <c r="H2" s="4"/>
    </row>
    <row r="3" spans="1:9" ht="15.75" x14ac:dyDescent="0.25">
      <c r="B3" s="6"/>
      <c r="C3" s="313" t="s">
        <v>2</v>
      </c>
      <c r="D3" s="316"/>
      <c r="E3" s="317" t="s">
        <v>3</v>
      </c>
      <c r="F3" s="317"/>
      <c r="G3" s="3"/>
      <c r="H3" s="4"/>
    </row>
    <row r="4" spans="1:9" ht="15.75" thickBot="1" x14ac:dyDescent="0.3">
      <c r="C4" s="287"/>
      <c r="D4" s="8"/>
      <c r="E4" s="9"/>
      <c r="F4" s="10"/>
      <c r="G4" s="11"/>
    </row>
    <row r="5" spans="1:9" ht="16.5" thickBot="1" x14ac:dyDescent="0.3">
      <c r="B5" s="12"/>
      <c r="C5" s="13" t="s">
        <v>4</v>
      </c>
      <c r="D5" s="284" t="s">
        <v>5</v>
      </c>
      <c r="E5" s="14"/>
      <c r="F5" s="13" t="s">
        <v>6</v>
      </c>
      <c r="G5" s="284" t="s">
        <v>5</v>
      </c>
      <c r="I5" s="15"/>
    </row>
    <row r="6" spans="1:9" ht="16.5" thickBot="1" x14ac:dyDescent="0.3">
      <c r="B6" s="12"/>
      <c r="C6" s="16" t="s">
        <v>7</v>
      </c>
      <c r="D6" s="290">
        <f>+[21]E.S.P.!D6</f>
        <v>2020</v>
      </c>
      <c r="E6" s="18"/>
      <c r="F6" s="16" t="s">
        <v>8</v>
      </c>
      <c r="G6" s="290">
        <f>+D6</f>
        <v>2020</v>
      </c>
      <c r="H6" s="15"/>
    </row>
    <row r="7" spans="1:9" x14ac:dyDescent="0.25">
      <c r="B7" s="6" t="s">
        <v>9</v>
      </c>
      <c r="C7" s="19" t="s">
        <v>10</v>
      </c>
      <c r="D7" s="20">
        <v>25412673</v>
      </c>
      <c r="E7" s="21" t="s">
        <v>11</v>
      </c>
      <c r="F7" s="22" t="s">
        <v>12</v>
      </c>
      <c r="G7" s="23">
        <v>4312868</v>
      </c>
    </row>
    <row r="8" spans="1:9" x14ac:dyDescent="0.25">
      <c r="B8" s="6" t="s">
        <v>13</v>
      </c>
      <c r="C8" s="19" t="s">
        <v>14</v>
      </c>
      <c r="D8" s="20">
        <v>57697422</v>
      </c>
      <c r="E8" s="21" t="s">
        <v>15</v>
      </c>
      <c r="F8" s="19" t="s">
        <v>16</v>
      </c>
      <c r="G8" s="24">
        <v>124540611</v>
      </c>
    </row>
    <row r="9" spans="1:9" x14ac:dyDescent="0.25">
      <c r="B9" s="6" t="s">
        <v>17</v>
      </c>
      <c r="C9" s="19" t="s">
        <v>18</v>
      </c>
      <c r="D9" s="20">
        <v>872237743</v>
      </c>
      <c r="E9" s="21" t="s">
        <v>19</v>
      </c>
      <c r="F9" s="19" t="s">
        <v>20</v>
      </c>
      <c r="G9" s="20">
        <v>0</v>
      </c>
    </row>
    <row r="10" spans="1:9" x14ac:dyDescent="0.25">
      <c r="B10" s="6" t="s">
        <v>21</v>
      </c>
      <c r="C10" s="19" t="s">
        <v>22</v>
      </c>
      <c r="D10" s="20">
        <v>85686760</v>
      </c>
      <c r="E10" s="21" t="s">
        <v>23</v>
      </c>
      <c r="F10" s="19" t="s">
        <v>24</v>
      </c>
      <c r="G10" s="20">
        <f>230135808+430107</f>
        <v>230565915</v>
      </c>
    </row>
    <row r="11" spans="1:9" x14ac:dyDescent="0.25">
      <c r="B11" s="6" t="s">
        <v>25</v>
      </c>
      <c r="C11" s="19" t="s">
        <v>26</v>
      </c>
      <c r="D11" s="20">
        <v>21600804</v>
      </c>
      <c r="E11" s="21" t="s">
        <v>27</v>
      </c>
      <c r="F11" s="19" t="s">
        <v>28</v>
      </c>
      <c r="G11" s="20">
        <v>0</v>
      </c>
    </row>
    <row r="12" spans="1:9" x14ac:dyDescent="0.25">
      <c r="B12" s="6" t="s">
        <v>29</v>
      </c>
      <c r="C12" s="19" t="s">
        <v>30</v>
      </c>
      <c r="D12" s="20">
        <v>24909805</v>
      </c>
      <c r="E12" s="21" t="s">
        <v>31</v>
      </c>
      <c r="F12" s="19" t="s">
        <v>32</v>
      </c>
      <c r="G12" s="20">
        <v>68153697</v>
      </c>
    </row>
    <row r="13" spans="1:9" x14ac:dyDescent="0.25">
      <c r="B13" s="6" t="s">
        <v>33</v>
      </c>
      <c r="C13" s="19" t="s">
        <v>34</v>
      </c>
      <c r="D13" s="20">
        <v>0</v>
      </c>
      <c r="E13" s="21" t="s">
        <v>35</v>
      </c>
      <c r="F13" s="19" t="s">
        <v>36</v>
      </c>
      <c r="G13" s="20">
        <v>0</v>
      </c>
    </row>
    <row r="14" spans="1:9" x14ac:dyDescent="0.25">
      <c r="A14" s="25"/>
      <c r="B14" s="6" t="s">
        <v>37</v>
      </c>
      <c r="C14" s="19" t="s">
        <v>38</v>
      </c>
      <c r="D14" s="20">
        <v>0</v>
      </c>
      <c r="E14" s="21" t="s">
        <v>39</v>
      </c>
      <c r="F14" s="19" t="s">
        <v>40</v>
      </c>
      <c r="G14" s="20">
        <v>168439069</v>
      </c>
    </row>
    <row r="15" spans="1:9" x14ac:dyDescent="0.25">
      <c r="B15" s="6" t="s">
        <v>41</v>
      </c>
      <c r="C15" s="26" t="s">
        <v>42</v>
      </c>
      <c r="D15" s="20">
        <v>0</v>
      </c>
      <c r="E15" s="21" t="s">
        <v>43</v>
      </c>
      <c r="F15" s="19" t="s">
        <v>44</v>
      </c>
      <c r="G15" s="20">
        <v>68561938</v>
      </c>
    </row>
    <row r="16" spans="1:9" x14ac:dyDescent="0.25">
      <c r="B16" s="6" t="s">
        <v>45</v>
      </c>
      <c r="C16" s="19" t="s">
        <v>46</v>
      </c>
      <c r="D16" s="20">
        <v>0</v>
      </c>
      <c r="E16" s="21" t="s">
        <v>47</v>
      </c>
      <c r="F16" s="19" t="s">
        <v>48</v>
      </c>
      <c r="G16" s="20">
        <v>42557567</v>
      </c>
    </row>
    <row r="17" spans="1:7" x14ac:dyDescent="0.25">
      <c r="B17" s="6" t="s">
        <v>49</v>
      </c>
      <c r="C17" s="19" t="s">
        <v>50</v>
      </c>
      <c r="D17" s="20">
        <v>0</v>
      </c>
      <c r="E17" s="21" t="s">
        <v>51</v>
      </c>
      <c r="F17" s="19" t="s">
        <v>52</v>
      </c>
      <c r="G17" s="20">
        <v>0</v>
      </c>
    </row>
    <row r="18" spans="1:7" x14ac:dyDescent="0.25">
      <c r="A18" s="25"/>
      <c r="B18" s="6" t="s">
        <v>53</v>
      </c>
      <c r="C18" s="19" t="s">
        <v>54</v>
      </c>
      <c r="D18" s="20">
        <v>0</v>
      </c>
      <c r="E18" s="21" t="s">
        <v>55</v>
      </c>
      <c r="F18" s="19" t="s">
        <v>56</v>
      </c>
      <c r="G18" s="27">
        <v>30661052</v>
      </c>
    </row>
    <row r="19" spans="1:7" ht="15.75" thickBot="1" x14ac:dyDescent="0.3">
      <c r="A19" s="25"/>
      <c r="B19" s="6" t="s">
        <v>57</v>
      </c>
      <c r="C19" s="19" t="s">
        <v>58</v>
      </c>
      <c r="D19" s="20">
        <v>46313815</v>
      </c>
      <c r="E19" s="21"/>
      <c r="F19" s="28" t="s">
        <v>59</v>
      </c>
      <c r="G19" s="29">
        <f>SUM(G7:G18)</f>
        <v>737792717</v>
      </c>
    </row>
    <row r="20" spans="1:7" ht="15.75" thickBot="1" x14ac:dyDescent="0.3">
      <c r="B20" s="6"/>
      <c r="C20" s="28" t="s">
        <v>60</v>
      </c>
      <c r="D20" s="29">
        <f>SUM(D7:D19)</f>
        <v>1133859022</v>
      </c>
      <c r="E20" s="21" t="s">
        <v>61</v>
      </c>
      <c r="F20" s="22" t="s">
        <v>62</v>
      </c>
      <c r="G20" s="23">
        <v>238540</v>
      </c>
    </row>
    <row r="21" spans="1:7" x14ac:dyDescent="0.25">
      <c r="B21" s="6"/>
      <c r="C21" s="30" t="s">
        <v>63</v>
      </c>
      <c r="D21" s="31">
        <f>SUM(D22:D28)</f>
        <v>11572169</v>
      </c>
      <c r="E21" s="21" t="s">
        <v>64</v>
      </c>
      <c r="F21" s="19" t="s">
        <v>65</v>
      </c>
      <c r="G21" s="20">
        <v>19616798</v>
      </c>
    </row>
    <row r="22" spans="1:7" x14ac:dyDescent="0.25">
      <c r="B22" s="6" t="s">
        <v>66</v>
      </c>
      <c r="C22" s="19" t="s">
        <v>67</v>
      </c>
      <c r="D22" s="20">
        <v>7506686</v>
      </c>
      <c r="E22" s="21" t="s">
        <v>68</v>
      </c>
      <c r="F22" s="19" t="s">
        <v>69</v>
      </c>
      <c r="G22" s="20">
        <v>3769513</v>
      </c>
    </row>
    <row r="23" spans="1:7" x14ac:dyDescent="0.25">
      <c r="B23" s="6" t="s">
        <v>70</v>
      </c>
      <c r="C23" s="19" t="s">
        <v>71</v>
      </c>
      <c r="D23" s="20">
        <v>418902</v>
      </c>
      <c r="E23" s="21" t="s">
        <v>72</v>
      </c>
      <c r="F23" s="19" t="s">
        <v>73</v>
      </c>
      <c r="G23" s="20">
        <v>15449122</v>
      </c>
    </row>
    <row r="24" spans="1:7" x14ac:dyDescent="0.25">
      <c r="B24" s="6" t="s">
        <v>74</v>
      </c>
      <c r="C24" s="19" t="s">
        <v>75</v>
      </c>
      <c r="D24" s="20">
        <v>2372588</v>
      </c>
      <c r="E24" s="21" t="s">
        <v>76</v>
      </c>
      <c r="F24" s="19" t="s">
        <v>77</v>
      </c>
      <c r="G24" s="20">
        <v>0</v>
      </c>
    </row>
    <row r="25" spans="1:7" x14ac:dyDescent="0.25">
      <c r="B25" s="6" t="s">
        <v>78</v>
      </c>
      <c r="C25" s="19" t="s">
        <v>79</v>
      </c>
      <c r="D25" s="20">
        <v>292880</v>
      </c>
      <c r="E25" s="21" t="s">
        <v>80</v>
      </c>
      <c r="F25" s="19" t="s">
        <v>81</v>
      </c>
      <c r="G25" s="20">
        <v>4109669</v>
      </c>
    </row>
    <row r="26" spans="1:7" x14ac:dyDescent="0.25">
      <c r="B26" s="6" t="s">
        <v>82</v>
      </c>
      <c r="C26" s="19" t="s">
        <v>83</v>
      </c>
      <c r="D26" s="20">
        <v>470140</v>
      </c>
      <c r="E26" s="21" t="s">
        <v>84</v>
      </c>
      <c r="F26" s="19" t="s">
        <v>85</v>
      </c>
      <c r="G26" s="27">
        <v>1863828</v>
      </c>
    </row>
    <row r="27" spans="1:7" ht="15.75" thickBot="1" x14ac:dyDescent="0.3">
      <c r="B27" s="6" t="s">
        <v>86</v>
      </c>
      <c r="C27" s="19" t="s">
        <v>87</v>
      </c>
      <c r="D27" s="20">
        <v>0</v>
      </c>
      <c r="E27" s="21"/>
      <c r="F27" s="28" t="s">
        <v>88</v>
      </c>
      <c r="G27" s="29">
        <f>SUM(G20:G26)</f>
        <v>45047470</v>
      </c>
    </row>
    <row r="28" spans="1:7" x14ac:dyDescent="0.25">
      <c r="B28" s="6" t="s">
        <v>89</v>
      </c>
      <c r="C28" s="19" t="s">
        <v>90</v>
      </c>
      <c r="D28" s="20">
        <v>510973</v>
      </c>
      <c r="E28" s="21" t="s">
        <v>91</v>
      </c>
      <c r="F28" s="22" t="s">
        <v>92</v>
      </c>
      <c r="G28" s="23">
        <v>68468148</v>
      </c>
    </row>
    <row r="29" spans="1:7" x14ac:dyDescent="0.25">
      <c r="B29" s="6"/>
      <c r="C29" s="32" t="s">
        <v>93</v>
      </c>
      <c r="D29" s="31">
        <f>SUM(D30:D34)</f>
        <v>87098122</v>
      </c>
      <c r="E29" s="21" t="s">
        <v>94</v>
      </c>
      <c r="F29" s="19" t="s">
        <v>95</v>
      </c>
      <c r="G29" s="20">
        <v>0</v>
      </c>
    </row>
    <row r="30" spans="1:7" x14ac:dyDescent="0.25">
      <c r="B30" s="6" t="s">
        <v>96</v>
      </c>
      <c r="C30" s="19" t="s">
        <v>97</v>
      </c>
      <c r="D30" s="20">
        <v>72589966</v>
      </c>
      <c r="E30" s="21" t="s">
        <v>98</v>
      </c>
      <c r="F30" s="19" t="s">
        <v>99</v>
      </c>
      <c r="G30" s="20">
        <v>5893962</v>
      </c>
    </row>
    <row r="31" spans="1:7" x14ac:dyDescent="0.25">
      <c r="B31" s="6" t="s">
        <v>100</v>
      </c>
      <c r="C31" s="19" t="s">
        <v>101</v>
      </c>
      <c r="D31" s="20">
        <v>7317413</v>
      </c>
      <c r="E31" s="21" t="s">
        <v>102</v>
      </c>
      <c r="F31" s="19" t="s">
        <v>103</v>
      </c>
      <c r="G31" s="27">
        <v>3069384</v>
      </c>
    </row>
    <row r="32" spans="1:7" ht="15.75" thickBot="1" x14ac:dyDescent="0.3">
      <c r="B32" s="6" t="s">
        <v>104</v>
      </c>
      <c r="C32" s="19" t="s">
        <v>105</v>
      </c>
      <c r="D32" s="20">
        <v>3564472</v>
      </c>
      <c r="E32" s="21"/>
      <c r="F32" s="28" t="s">
        <v>106</v>
      </c>
      <c r="G32" s="29">
        <f>SUM(G28:G31)</f>
        <v>77431494</v>
      </c>
    </row>
    <row r="33" spans="2:7" x14ac:dyDescent="0.25">
      <c r="B33" s="6" t="s">
        <v>107</v>
      </c>
      <c r="C33" s="19" t="s">
        <v>108</v>
      </c>
      <c r="D33" s="20">
        <v>93989</v>
      </c>
      <c r="E33" s="21"/>
      <c r="F33" s="32" t="s">
        <v>109</v>
      </c>
      <c r="G33" s="31">
        <f>SUM(G34:G39)</f>
        <v>77067015</v>
      </c>
    </row>
    <row r="34" spans="2:7" x14ac:dyDescent="0.25">
      <c r="B34" s="6" t="s">
        <v>110</v>
      </c>
      <c r="C34" s="19" t="s">
        <v>111</v>
      </c>
      <c r="D34" s="20">
        <v>3532282</v>
      </c>
      <c r="E34" s="21" t="s">
        <v>112</v>
      </c>
      <c r="F34" s="19" t="s">
        <v>113</v>
      </c>
      <c r="G34" s="20">
        <v>10943844</v>
      </c>
    </row>
    <row r="35" spans="2:7" ht="15.75" thickBot="1" x14ac:dyDescent="0.3">
      <c r="B35" s="6"/>
      <c r="C35" s="28" t="s">
        <v>114</v>
      </c>
      <c r="D35" s="29">
        <f>+D21+D29</f>
        <v>98670291</v>
      </c>
      <c r="E35" s="21" t="s">
        <v>115</v>
      </c>
      <c r="F35" s="19" t="s">
        <v>116</v>
      </c>
      <c r="G35" s="20">
        <v>1151515</v>
      </c>
    </row>
    <row r="36" spans="2:7" x14ac:dyDescent="0.25">
      <c r="B36" s="6" t="s">
        <v>117</v>
      </c>
      <c r="C36" s="19" t="s">
        <v>118</v>
      </c>
      <c r="D36" s="20">
        <v>6247306</v>
      </c>
      <c r="E36" s="21" t="s">
        <v>119</v>
      </c>
      <c r="F36" s="19" t="s">
        <v>120</v>
      </c>
      <c r="G36" s="20">
        <v>1697957</v>
      </c>
    </row>
    <row r="37" spans="2:7" x14ac:dyDescent="0.25">
      <c r="B37" s="6" t="s">
        <v>121</v>
      </c>
      <c r="C37" s="19" t="s">
        <v>122</v>
      </c>
      <c r="D37" s="20">
        <v>2457605</v>
      </c>
      <c r="E37" s="21" t="s">
        <v>123</v>
      </c>
      <c r="F37" s="19" t="s">
        <v>124</v>
      </c>
      <c r="G37" s="20">
        <v>4036962</v>
      </c>
    </row>
    <row r="38" spans="2:7" x14ac:dyDescent="0.25">
      <c r="B38" s="6" t="s">
        <v>125</v>
      </c>
      <c r="C38" s="19" t="s">
        <v>126</v>
      </c>
      <c r="D38" s="20">
        <v>26629564</v>
      </c>
      <c r="E38" s="21" t="s">
        <v>127</v>
      </c>
      <c r="F38" s="19" t="s">
        <v>128</v>
      </c>
      <c r="G38" s="20">
        <v>9694919</v>
      </c>
    </row>
    <row r="39" spans="2:7" x14ac:dyDescent="0.25">
      <c r="B39" s="6" t="s">
        <v>129</v>
      </c>
      <c r="C39" s="19" t="s">
        <v>130</v>
      </c>
      <c r="D39" s="20">
        <v>0</v>
      </c>
      <c r="E39" s="21" t="s">
        <v>131</v>
      </c>
      <c r="F39" s="19" t="s">
        <v>132</v>
      </c>
      <c r="G39" s="20">
        <v>49541818</v>
      </c>
    </row>
    <row r="40" spans="2:7" x14ac:dyDescent="0.25">
      <c r="B40" s="6" t="s">
        <v>133</v>
      </c>
      <c r="C40" s="19" t="s">
        <v>134</v>
      </c>
      <c r="D40" s="20">
        <v>2021950</v>
      </c>
      <c r="E40" s="21"/>
      <c r="F40" s="33" t="s">
        <v>135</v>
      </c>
      <c r="G40" s="34">
        <f>SUM(G41:G46)</f>
        <v>21663886</v>
      </c>
    </row>
    <row r="41" spans="2:7" x14ac:dyDescent="0.25">
      <c r="B41" s="6" t="s">
        <v>136</v>
      </c>
      <c r="C41" s="19" t="s">
        <v>137</v>
      </c>
      <c r="D41" s="20">
        <v>0</v>
      </c>
      <c r="E41" s="21" t="s">
        <v>138</v>
      </c>
      <c r="F41" s="19" t="s">
        <v>139</v>
      </c>
      <c r="G41" s="20">
        <v>3978055</v>
      </c>
    </row>
    <row r="42" spans="2:7" x14ac:dyDescent="0.25">
      <c r="B42" s="6" t="s">
        <v>140</v>
      </c>
      <c r="C42" s="19" t="s">
        <v>141</v>
      </c>
      <c r="D42" s="20">
        <v>14145581</v>
      </c>
      <c r="E42" s="21" t="s">
        <v>142</v>
      </c>
      <c r="F42" s="19" t="s">
        <v>143</v>
      </c>
      <c r="G42" s="20">
        <v>94432</v>
      </c>
    </row>
    <row r="43" spans="2:7" x14ac:dyDescent="0.25">
      <c r="B43" s="6" t="s">
        <v>144</v>
      </c>
      <c r="C43" s="19" t="s">
        <v>145</v>
      </c>
      <c r="D43" s="20">
        <v>0</v>
      </c>
      <c r="E43" s="21" t="s">
        <v>146</v>
      </c>
      <c r="F43" s="19" t="s">
        <v>147</v>
      </c>
      <c r="G43" s="20">
        <v>2154103</v>
      </c>
    </row>
    <row r="44" spans="2:7" x14ac:dyDescent="0.25">
      <c r="B44" s="6" t="s">
        <v>148</v>
      </c>
      <c r="C44" s="19" t="s">
        <v>149</v>
      </c>
      <c r="D44" s="20">
        <v>0</v>
      </c>
      <c r="E44" s="21" t="s">
        <v>150</v>
      </c>
      <c r="F44" s="19" t="s">
        <v>151</v>
      </c>
      <c r="G44" s="20">
        <v>1237651</v>
      </c>
    </row>
    <row r="45" spans="2:7" x14ac:dyDescent="0.25">
      <c r="B45" s="6" t="s">
        <v>152</v>
      </c>
      <c r="C45" s="19" t="s">
        <v>153</v>
      </c>
      <c r="D45" s="20">
        <v>2449590</v>
      </c>
      <c r="E45" s="21" t="s">
        <v>154</v>
      </c>
      <c r="F45" s="19" t="s">
        <v>155</v>
      </c>
      <c r="G45" s="20">
        <v>826336</v>
      </c>
    </row>
    <row r="46" spans="2:7" x14ac:dyDescent="0.25">
      <c r="B46" s="6" t="s">
        <v>156</v>
      </c>
      <c r="C46" s="19" t="s">
        <v>157</v>
      </c>
      <c r="D46" s="20">
        <v>2250458</v>
      </c>
      <c r="E46" s="21" t="s">
        <v>158</v>
      </c>
      <c r="F46" s="19" t="s">
        <v>159</v>
      </c>
      <c r="G46" s="20">
        <v>13373309</v>
      </c>
    </row>
    <row r="47" spans="2:7" ht="15.75" thickBot="1" x14ac:dyDescent="0.3">
      <c r="B47" s="6"/>
      <c r="C47" s="28" t="s">
        <v>160</v>
      </c>
      <c r="D47" s="29">
        <f>SUM(D36:D46)</f>
        <v>56202054</v>
      </c>
      <c r="E47" s="21" t="s">
        <v>161</v>
      </c>
      <c r="F47" s="19" t="s">
        <v>162</v>
      </c>
      <c r="G47" s="27">
        <v>4185907</v>
      </c>
    </row>
    <row r="48" spans="2:7" ht="15.75" thickBot="1" x14ac:dyDescent="0.3">
      <c r="B48" s="6"/>
      <c r="C48" s="35" t="s">
        <v>163</v>
      </c>
      <c r="D48" s="36"/>
      <c r="E48" s="21"/>
      <c r="F48" s="28" t="s">
        <v>164</v>
      </c>
      <c r="G48" s="37">
        <f>+G33+G40+G47</f>
        <v>102916808</v>
      </c>
    </row>
    <row r="49" spans="2:7" x14ac:dyDescent="0.25">
      <c r="B49" s="6" t="s">
        <v>165</v>
      </c>
      <c r="C49" s="38" t="s">
        <v>166</v>
      </c>
      <c r="D49" s="39">
        <v>0</v>
      </c>
      <c r="E49" s="21" t="s">
        <v>167</v>
      </c>
      <c r="F49" s="22" t="s">
        <v>168</v>
      </c>
      <c r="G49" s="23">
        <v>21366219</v>
      </c>
    </row>
    <row r="50" spans="2:7" x14ac:dyDescent="0.25">
      <c r="B50" s="6" t="s">
        <v>169</v>
      </c>
      <c r="C50" s="19" t="s">
        <v>163</v>
      </c>
      <c r="D50" s="20">
        <v>1330052</v>
      </c>
      <c r="E50" s="21" t="s">
        <v>170</v>
      </c>
      <c r="F50" s="19" t="s">
        <v>171</v>
      </c>
      <c r="G50" s="20">
        <v>34830933</v>
      </c>
    </row>
    <row r="51" spans="2:7" x14ac:dyDescent="0.25">
      <c r="B51" s="6" t="s">
        <v>172</v>
      </c>
      <c r="C51" s="19" t="s">
        <v>173</v>
      </c>
      <c r="D51" s="27">
        <v>118042</v>
      </c>
      <c r="E51" s="21" t="s">
        <v>174</v>
      </c>
      <c r="F51" s="19" t="s">
        <v>175</v>
      </c>
      <c r="G51" s="20">
        <v>784986</v>
      </c>
    </row>
    <row r="52" spans="2:7" ht="15.75" thickBot="1" x14ac:dyDescent="0.3">
      <c r="B52" s="12"/>
      <c r="C52" s="28" t="s">
        <v>176</v>
      </c>
      <c r="D52" s="29">
        <f>SUM(D49:D51)</f>
        <v>1448094</v>
      </c>
      <c r="E52" s="21" t="s">
        <v>177</v>
      </c>
      <c r="F52" s="19" t="s">
        <v>178</v>
      </c>
      <c r="G52" s="20">
        <v>2042632</v>
      </c>
    </row>
    <row r="53" spans="2:7" ht="15.75" thickBot="1" x14ac:dyDescent="0.3">
      <c r="B53" s="6"/>
      <c r="C53" s="40" t="s">
        <v>179</v>
      </c>
      <c r="D53" s="41">
        <f>D20+D35+D47+D52</f>
        <v>1290179461</v>
      </c>
      <c r="E53" s="21" t="s">
        <v>180</v>
      </c>
      <c r="F53" s="19" t="s">
        <v>181</v>
      </c>
      <c r="G53" s="20">
        <v>6108170</v>
      </c>
    </row>
    <row r="54" spans="2:7" x14ac:dyDescent="0.25">
      <c r="C54" s="42"/>
      <c r="D54" s="43"/>
      <c r="E54" s="21" t="s">
        <v>182</v>
      </c>
      <c r="F54" s="19" t="s">
        <v>183</v>
      </c>
      <c r="G54" s="20">
        <v>1517331</v>
      </c>
    </row>
    <row r="55" spans="2:7" x14ac:dyDescent="0.25">
      <c r="C55" s="44" t="s">
        <v>184</v>
      </c>
      <c r="D55" s="45"/>
      <c r="E55" s="21" t="s">
        <v>185</v>
      </c>
      <c r="F55" s="19" t="s">
        <v>186</v>
      </c>
      <c r="G55" s="20">
        <v>0</v>
      </c>
    </row>
    <row r="56" spans="2:7" x14ac:dyDescent="0.25">
      <c r="B56" s="6" t="s">
        <v>187</v>
      </c>
      <c r="C56" s="46" t="s">
        <v>188</v>
      </c>
      <c r="D56" s="20">
        <v>0</v>
      </c>
      <c r="E56" s="21" t="s">
        <v>189</v>
      </c>
      <c r="F56" s="19" t="s">
        <v>190</v>
      </c>
      <c r="G56" s="27">
        <v>2778539</v>
      </c>
    </row>
    <row r="57" spans="2:7" ht="15.75" thickBot="1" x14ac:dyDescent="0.3">
      <c r="B57" s="6" t="s">
        <v>191</v>
      </c>
      <c r="C57" s="46" t="s">
        <v>192</v>
      </c>
      <c r="D57" s="20">
        <v>0</v>
      </c>
      <c r="E57" s="21"/>
      <c r="F57" s="28" t="s">
        <v>193</v>
      </c>
      <c r="G57" s="29">
        <f>SUM(G49:G56)</f>
        <v>69428810</v>
      </c>
    </row>
    <row r="58" spans="2:7" x14ac:dyDescent="0.25">
      <c r="B58" s="6" t="s">
        <v>194</v>
      </c>
      <c r="C58" s="46" t="s">
        <v>195</v>
      </c>
      <c r="D58" s="20">
        <v>0</v>
      </c>
      <c r="E58" s="21" t="s">
        <v>196</v>
      </c>
      <c r="F58" s="22" t="s">
        <v>197</v>
      </c>
      <c r="G58" s="23">
        <v>0</v>
      </c>
    </row>
    <row r="59" spans="2:7" x14ac:dyDescent="0.25">
      <c r="B59" s="6" t="s">
        <v>198</v>
      </c>
      <c r="C59" s="19" t="s">
        <v>199</v>
      </c>
      <c r="D59" s="27">
        <v>0</v>
      </c>
      <c r="E59" s="21" t="s">
        <v>200</v>
      </c>
      <c r="F59" s="19" t="s">
        <v>201</v>
      </c>
      <c r="G59" s="20">
        <v>5391057</v>
      </c>
    </row>
    <row r="60" spans="2:7" ht="15.75" thickBot="1" x14ac:dyDescent="0.3">
      <c r="B60" s="6"/>
      <c r="C60" s="28" t="s">
        <v>202</v>
      </c>
      <c r="D60" s="29">
        <f>SUM(D56:D59)</f>
        <v>0</v>
      </c>
      <c r="E60" s="21" t="s">
        <v>203</v>
      </c>
      <c r="F60" s="19" t="s">
        <v>204</v>
      </c>
      <c r="G60" s="20">
        <v>73022</v>
      </c>
    </row>
    <row r="61" spans="2:7" ht="16.5" thickBot="1" x14ac:dyDescent="0.3">
      <c r="B61" s="47"/>
      <c r="C61" s="48" t="s">
        <v>205</v>
      </c>
      <c r="D61" s="49">
        <f>D53+D60</f>
        <v>1290179461</v>
      </c>
      <c r="E61" s="21" t="s">
        <v>206</v>
      </c>
      <c r="F61" s="19" t="s">
        <v>207</v>
      </c>
      <c r="G61" s="20">
        <v>0</v>
      </c>
    </row>
    <row r="62" spans="2:7" x14ac:dyDescent="0.25">
      <c r="B62" s="50"/>
      <c r="C62" s="51"/>
      <c r="D62" s="51"/>
      <c r="E62" s="21" t="s">
        <v>208</v>
      </c>
      <c r="F62" s="19" t="s">
        <v>209</v>
      </c>
      <c r="G62" s="20">
        <v>0</v>
      </c>
    </row>
    <row r="63" spans="2:7" x14ac:dyDescent="0.25">
      <c r="B63" s="52"/>
      <c r="C63" s="53" t="s">
        <v>8</v>
      </c>
      <c r="D63" s="53"/>
      <c r="E63" s="21" t="s">
        <v>210</v>
      </c>
      <c r="F63" s="19" t="s">
        <v>211</v>
      </c>
      <c r="G63" s="20">
        <v>7165090</v>
      </c>
    </row>
    <row r="64" spans="2:7" x14ac:dyDescent="0.25">
      <c r="B64" s="54" t="s">
        <v>212</v>
      </c>
      <c r="C64" s="55" t="s">
        <v>213</v>
      </c>
      <c r="D64" s="55">
        <f>[21]Amortizaciones!D6</f>
        <v>11612196</v>
      </c>
      <c r="E64" s="21" t="s">
        <v>214</v>
      </c>
      <c r="F64" s="19" t="s">
        <v>215</v>
      </c>
      <c r="G64" s="20">
        <v>0</v>
      </c>
    </row>
    <row r="65" spans="2:7" x14ac:dyDescent="0.25">
      <c r="B65" s="54" t="s">
        <v>216</v>
      </c>
      <c r="C65" s="55" t="s">
        <v>217</v>
      </c>
      <c r="D65" s="55">
        <f>[21]Amortizaciones!D7</f>
        <v>0</v>
      </c>
      <c r="E65" s="21" t="s">
        <v>218</v>
      </c>
      <c r="F65" s="19" t="s">
        <v>219</v>
      </c>
      <c r="G65" s="20">
        <v>3183166</v>
      </c>
    </row>
    <row r="66" spans="2:7" x14ac:dyDescent="0.25">
      <c r="B66" s="54" t="s">
        <v>220</v>
      </c>
      <c r="C66" s="55" t="s">
        <v>221</v>
      </c>
      <c r="D66" s="55">
        <f>[21]Amortizaciones!D8</f>
        <v>8537052</v>
      </c>
      <c r="E66" s="21" t="s">
        <v>222</v>
      </c>
      <c r="F66" s="19" t="s">
        <v>223</v>
      </c>
      <c r="G66" s="20">
        <v>7922701</v>
      </c>
    </row>
    <row r="67" spans="2:7" x14ac:dyDescent="0.25">
      <c r="B67" s="54" t="s">
        <v>224</v>
      </c>
      <c r="C67" s="55" t="s">
        <v>225</v>
      </c>
      <c r="D67" s="55">
        <f>[21]Amortizaciones!D9</f>
        <v>0</v>
      </c>
      <c r="E67" s="21" t="s">
        <v>226</v>
      </c>
      <c r="F67" s="19" t="s">
        <v>227</v>
      </c>
      <c r="G67" s="20">
        <v>861323</v>
      </c>
    </row>
    <row r="68" spans="2:7" x14ac:dyDescent="0.25">
      <c r="B68" s="54" t="s">
        <v>228</v>
      </c>
      <c r="C68" s="55" t="s">
        <v>229</v>
      </c>
      <c r="D68" s="55">
        <f>[21]Amortizaciones!D10</f>
        <v>0</v>
      </c>
      <c r="E68" s="21" t="s">
        <v>230</v>
      </c>
      <c r="F68" s="19" t="s">
        <v>231</v>
      </c>
      <c r="G68" s="20">
        <v>0</v>
      </c>
    </row>
    <row r="69" spans="2:7" x14ac:dyDescent="0.25">
      <c r="B69" s="54" t="s">
        <v>232</v>
      </c>
      <c r="C69" s="55" t="s">
        <v>233</v>
      </c>
      <c r="D69" s="55">
        <f>[21]Amortizaciones!D11</f>
        <v>466830</v>
      </c>
      <c r="E69" s="21" t="s">
        <v>234</v>
      </c>
      <c r="F69" s="19" t="s">
        <v>235</v>
      </c>
      <c r="G69" s="20">
        <v>0</v>
      </c>
    </row>
    <row r="70" spans="2:7" x14ac:dyDescent="0.25">
      <c r="B70" s="54" t="s">
        <v>236</v>
      </c>
      <c r="C70" s="55" t="s">
        <v>237</v>
      </c>
      <c r="D70" s="55">
        <f>[21]Amortizaciones!D12</f>
        <v>0</v>
      </c>
      <c r="E70" s="21" t="s">
        <v>238</v>
      </c>
      <c r="F70" s="19" t="s">
        <v>239</v>
      </c>
      <c r="G70" s="20">
        <v>35377</v>
      </c>
    </row>
    <row r="71" spans="2:7" x14ac:dyDescent="0.25">
      <c r="B71" s="54" t="s">
        <v>240</v>
      </c>
      <c r="C71" s="55" t="s">
        <v>241</v>
      </c>
      <c r="D71" s="55">
        <f>[21]Amortizaciones!D13</f>
        <v>0</v>
      </c>
      <c r="E71" s="21" t="s">
        <v>242</v>
      </c>
      <c r="F71" s="19" t="s">
        <v>243</v>
      </c>
      <c r="G71" s="20">
        <v>6549946</v>
      </c>
    </row>
    <row r="72" spans="2:7" x14ac:dyDescent="0.25">
      <c r="B72" s="54" t="s">
        <v>244</v>
      </c>
      <c r="C72" s="55" t="s">
        <v>245</v>
      </c>
      <c r="D72" s="55">
        <f>[21]Amortizaciones!D14</f>
        <v>0</v>
      </c>
      <c r="E72" s="21" t="s">
        <v>246</v>
      </c>
      <c r="F72" s="19" t="s">
        <v>247</v>
      </c>
      <c r="G72" s="20">
        <v>249227</v>
      </c>
    </row>
    <row r="73" spans="2:7" x14ac:dyDescent="0.25">
      <c r="B73" s="54" t="s">
        <v>248</v>
      </c>
      <c r="C73" s="55" t="s">
        <v>249</v>
      </c>
      <c r="D73" s="55">
        <f>[21]Amortizaciones!D15</f>
        <v>2013209</v>
      </c>
      <c r="E73" s="21" t="s">
        <v>250</v>
      </c>
      <c r="F73" s="19" t="s">
        <v>251</v>
      </c>
      <c r="G73" s="20">
        <v>0</v>
      </c>
    </row>
    <row r="74" spans="2:7" x14ac:dyDescent="0.25">
      <c r="B74" s="54" t="s">
        <v>252</v>
      </c>
      <c r="C74" s="55" t="s">
        <v>253</v>
      </c>
      <c r="D74" s="55">
        <f>[21]Amortizaciones!D16</f>
        <v>0</v>
      </c>
      <c r="E74" s="21" t="s">
        <v>254</v>
      </c>
      <c r="F74" s="19" t="s">
        <v>255</v>
      </c>
      <c r="G74" s="20">
        <v>59280</v>
      </c>
    </row>
    <row r="75" spans="2:7" x14ac:dyDescent="0.25">
      <c r="B75" s="54" t="s">
        <v>256</v>
      </c>
      <c r="C75" s="55" t="s">
        <v>257</v>
      </c>
      <c r="D75" s="55">
        <f>[21]Amortizaciones!D17</f>
        <v>0</v>
      </c>
      <c r="E75" s="21" t="s">
        <v>258</v>
      </c>
      <c r="F75" s="19" t="s">
        <v>259</v>
      </c>
      <c r="G75" s="20">
        <v>3001941</v>
      </c>
    </row>
    <row r="76" spans="2:7" x14ac:dyDescent="0.25">
      <c r="B76" s="54" t="s">
        <v>260</v>
      </c>
      <c r="C76" s="55" t="s">
        <v>261</v>
      </c>
      <c r="D76" s="55">
        <f>[21]Amortizaciones!D18</f>
        <v>0</v>
      </c>
      <c r="E76" s="21" t="s">
        <v>262</v>
      </c>
      <c r="F76" s="19" t="s">
        <v>263</v>
      </c>
      <c r="G76" s="20">
        <v>29393448</v>
      </c>
    </row>
    <row r="77" spans="2:7" x14ac:dyDescent="0.25">
      <c r="B77" s="54" t="s">
        <v>264</v>
      </c>
      <c r="C77" s="55" t="s">
        <v>265</v>
      </c>
      <c r="D77" s="55">
        <f>SUM(D64:D76)</f>
        <v>22629287</v>
      </c>
      <c r="E77" s="21" t="s">
        <v>266</v>
      </c>
      <c r="F77" s="19" t="s">
        <v>267</v>
      </c>
      <c r="G77" s="20">
        <v>47938102</v>
      </c>
    </row>
    <row r="78" spans="2:7" x14ac:dyDescent="0.25">
      <c r="B78" s="54"/>
      <c r="C78" s="55"/>
      <c r="D78" s="55"/>
      <c r="E78" s="21" t="s">
        <v>268</v>
      </c>
      <c r="F78" s="19" t="s">
        <v>269</v>
      </c>
      <c r="G78" s="27">
        <v>4547444</v>
      </c>
    </row>
    <row r="79" spans="2:7" ht="15.75" thickBot="1" x14ac:dyDescent="0.3">
      <c r="B79" s="54"/>
      <c r="C79" s="53" t="s">
        <v>270</v>
      </c>
      <c r="D79" s="56"/>
      <c r="E79" s="21"/>
      <c r="F79" s="28" t="s">
        <v>271</v>
      </c>
      <c r="G79" s="29">
        <f>SUM(G58:G78)</f>
        <v>116371124</v>
      </c>
    </row>
    <row r="80" spans="2:7" x14ac:dyDescent="0.25">
      <c r="B80" s="54" t="s">
        <v>272</v>
      </c>
      <c r="C80" s="55" t="s">
        <v>237</v>
      </c>
      <c r="D80" s="55">
        <f>[21]Amortizaciones!D22</f>
        <v>1242740</v>
      </c>
      <c r="E80" s="21" t="s">
        <v>273</v>
      </c>
      <c r="F80" s="22" t="s">
        <v>274</v>
      </c>
      <c r="G80" s="23">
        <v>0</v>
      </c>
    </row>
    <row r="81" spans="2:7" x14ac:dyDescent="0.25">
      <c r="B81" s="54" t="s">
        <v>275</v>
      </c>
      <c r="C81" s="55" t="s">
        <v>241</v>
      </c>
      <c r="D81" s="55">
        <f>[21]Amortizaciones!D23</f>
        <v>340539</v>
      </c>
      <c r="E81" s="21" t="s">
        <v>276</v>
      </c>
      <c r="F81" s="19" t="s">
        <v>277</v>
      </c>
      <c r="G81" s="20">
        <v>7264188</v>
      </c>
    </row>
    <row r="82" spans="2:7" x14ac:dyDescent="0.25">
      <c r="B82" s="54" t="s">
        <v>278</v>
      </c>
      <c r="C82" s="55" t="s">
        <v>245</v>
      </c>
      <c r="D82" s="55">
        <f>[21]Amortizaciones!D24</f>
        <v>1833042</v>
      </c>
      <c r="E82" s="21" t="s">
        <v>279</v>
      </c>
      <c r="F82" s="19" t="s">
        <v>280</v>
      </c>
      <c r="G82" s="20">
        <v>3088094</v>
      </c>
    </row>
    <row r="83" spans="2:7" x14ac:dyDescent="0.25">
      <c r="B83" s="54" t="s">
        <v>281</v>
      </c>
      <c r="C83" s="55" t="s">
        <v>249</v>
      </c>
      <c r="D83" s="55">
        <f>[21]Amortizaciones!D25</f>
        <v>0</v>
      </c>
      <c r="E83" s="21" t="s">
        <v>282</v>
      </c>
      <c r="F83" s="19" t="s">
        <v>283</v>
      </c>
      <c r="G83" s="20">
        <v>3250101</v>
      </c>
    </row>
    <row r="84" spans="2:7" x14ac:dyDescent="0.25">
      <c r="B84" s="54" t="s">
        <v>284</v>
      </c>
      <c r="C84" s="55" t="s">
        <v>285</v>
      </c>
      <c r="D84" s="55">
        <v>0</v>
      </c>
      <c r="E84" s="21" t="s">
        <v>286</v>
      </c>
      <c r="F84" s="19" t="s">
        <v>287</v>
      </c>
      <c r="G84" s="20">
        <v>6123955</v>
      </c>
    </row>
    <row r="85" spans="2:7" x14ac:dyDescent="0.25">
      <c r="B85" s="54" t="s">
        <v>288</v>
      </c>
      <c r="C85" s="55" t="s">
        <v>289</v>
      </c>
      <c r="D85" s="55">
        <f>[21]Amortizaciones!D27</f>
        <v>0</v>
      </c>
      <c r="E85" s="21" t="s">
        <v>290</v>
      </c>
      <c r="F85" s="19" t="s">
        <v>291</v>
      </c>
      <c r="G85" s="20">
        <v>1103478</v>
      </c>
    </row>
    <row r="86" spans="2:7" x14ac:dyDescent="0.25">
      <c r="B86" s="54" t="s">
        <v>292</v>
      </c>
      <c r="C86" s="55" t="s">
        <v>293</v>
      </c>
      <c r="D86" s="55">
        <f>[21]Amortizaciones!D28</f>
        <v>0</v>
      </c>
      <c r="E86" s="21" t="s">
        <v>294</v>
      </c>
      <c r="F86" s="19" t="s">
        <v>295</v>
      </c>
      <c r="G86" s="20">
        <v>858300</v>
      </c>
    </row>
    <row r="87" spans="2:7" x14ac:dyDescent="0.25">
      <c r="B87" s="54" t="s">
        <v>296</v>
      </c>
      <c r="C87" s="55" t="s">
        <v>297</v>
      </c>
      <c r="D87" s="55">
        <f>[21]Amortizaciones!D29</f>
        <v>0</v>
      </c>
      <c r="E87" s="21" t="s">
        <v>298</v>
      </c>
      <c r="F87" s="19" t="s">
        <v>299</v>
      </c>
      <c r="G87" s="20">
        <v>381160</v>
      </c>
    </row>
    <row r="88" spans="2:7" x14ac:dyDescent="0.25">
      <c r="B88" s="54" t="s">
        <v>300</v>
      </c>
      <c r="C88" s="55" t="s">
        <v>301</v>
      </c>
      <c r="D88" s="55">
        <f>[21]Amortizaciones!D30</f>
        <v>1255891</v>
      </c>
      <c r="E88" s="21" t="s">
        <v>302</v>
      </c>
      <c r="F88" s="19" t="s">
        <v>303</v>
      </c>
      <c r="G88" s="20">
        <v>0</v>
      </c>
    </row>
    <row r="89" spans="2:7" x14ac:dyDescent="0.25">
      <c r="B89" s="54" t="s">
        <v>304</v>
      </c>
      <c r="C89" s="55" t="s">
        <v>213</v>
      </c>
      <c r="D89" s="55">
        <f>[21]Amortizaciones!D31</f>
        <v>0</v>
      </c>
      <c r="E89" s="21" t="s">
        <v>305</v>
      </c>
      <c r="F89" s="19" t="s">
        <v>306</v>
      </c>
      <c r="G89" s="20">
        <v>0</v>
      </c>
    </row>
    <row r="90" spans="2:7" x14ac:dyDescent="0.25">
      <c r="B90" s="54" t="s">
        <v>307</v>
      </c>
      <c r="C90" s="55" t="s">
        <v>229</v>
      </c>
      <c r="D90" s="55">
        <f>[21]Amortizaciones!D32</f>
        <v>16088</v>
      </c>
      <c r="E90" s="21" t="s">
        <v>308</v>
      </c>
      <c r="F90" s="19" t="s">
        <v>309</v>
      </c>
      <c r="G90" s="20">
        <v>0</v>
      </c>
    </row>
    <row r="91" spans="2:7" x14ac:dyDescent="0.25">
      <c r="B91" s="54" t="s">
        <v>310</v>
      </c>
      <c r="C91" s="55" t="s">
        <v>311</v>
      </c>
      <c r="D91" s="55">
        <f>SUM(D80:D90)</f>
        <v>4688300</v>
      </c>
      <c r="E91" s="52" t="s">
        <v>312</v>
      </c>
      <c r="F91" s="19" t="s">
        <v>313</v>
      </c>
      <c r="G91" s="20">
        <v>835584</v>
      </c>
    </row>
    <row r="92" spans="2:7" x14ac:dyDescent="0.25">
      <c r="B92" s="54"/>
      <c r="C92" s="57" t="s">
        <v>314</v>
      </c>
      <c r="D92" s="55">
        <f>D77+D91</f>
        <v>27317587</v>
      </c>
      <c r="E92" s="52" t="s">
        <v>315</v>
      </c>
      <c r="F92" s="19" t="s">
        <v>316</v>
      </c>
      <c r="G92" s="20">
        <v>25163</v>
      </c>
    </row>
    <row r="93" spans="2:7" x14ac:dyDescent="0.25">
      <c r="E93" s="52" t="s">
        <v>317</v>
      </c>
      <c r="F93" s="19" t="s">
        <v>318</v>
      </c>
      <c r="G93" s="20">
        <v>9450752</v>
      </c>
    </row>
    <row r="94" spans="2:7" x14ac:dyDescent="0.25">
      <c r="E94" s="52" t="s">
        <v>319</v>
      </c>
      <c r="F94" s="19" t="s">
        <v>320</v>
      </c>
      <c r="G94" s="27">
        <v>1284956</v>
      </c>
    </row>
    <row r="95" spans="2:7" ht="13.5" customHeight="1" thickBot="1" x14ac:dyDescent="0.3">
      <c r="E95" s="21"/>
      <c r="F95" s="28" t="s">
        <v>321</v>
      </c>
      <c r="G95" s="29">
        <f>SUM(G80:G94)</f>
        <v>33665731</v>
      </c>
    </row>
    <row r="96" spans="2:7" x14ac:dyDescent="0.25">
      <c r="E96" s="52" t="s">
        <v>322</v>
      </c>
      <c r="F96" s="22" t="s">
        <v>323</v>
      </c>
      <c r="G96" s="23">
        <v>3353982</v>
      </c>
    </row>
    <row r="97" spans="2:7" x14ac:dyDescent="0.25">
      <c r="E97" s="52" t="s">
        <v>324</v>
      </c>
      <c r="F97" s="19" t="s">
        <v>325</v>
      </c>
      <c r="G97" s="20">
        <v>3458529</v>
      </c>
    </row>
    <row r="98" spans="2:7" x14ac:dyDescent="0.25">
      <c r="E98" s="52" t="s">
        <v>326</v>
      </c>
      <c r="F98" s="19" t="s">
        <v>327</v>
      </c>
      <c r="G98" s="20">
        <v>361345</v>
      </c>
    </row>
    <row r="99" spans="2:7" x14ac:dyDescent="0.25">
      <c r="E99" s="52" t="s">
        <v>328</v>
      </c>
      <c r="F99" s="19" t="s">
        <v>329</v>
      </c>
      <c r="G99" s="20">
        <v>502315</v>
      </c>
    </row>
    <row r="100" spans="2:7" x14ac:dyDescent="0.25">
      <c r="E100" s="52" t="s">
        <v>330</v>
      </c>
      <c r="F100" s="19" t="s">
        <v>331</v>
      </c>
      <c r="G100" s="27">
        <v>270254</v>
      </c>
    </row>
    <row r="101" spans="2:7" ht="15.75" thickBot="1" x14ac:dyDescent="0.3">
      <c r="E101" s="21"/>
      <c r="F101" s="28" t="s">
        <v>332</v>
      </c>
      <c r="G101" s="29">
        <f>SUM(G96:G100)</f>
        <v>7946425</v>
      </c>
    </row>
    <row r="102" spans="2:7" ht="15.75" thickBot="1" x14ac:dyDescent="0.3">
      <c r="E102" s="52"/>
      <c r="F102" s="59" t="s">
        <v>333</v>
      </c>
      <c r="G102" s="60">
        <f>[21]Amortizaciones!D19</f>
        <v>22629287</v>
      </c>
    </row>
    <row r="103" spans="2:7" x14ac:dyDescent="0.25">
      <c r="E103" s="52" t="s">
        <v>334</v>
      </c>
      <c r="F103" s="19" t="s">
        <v>335</v>
      </c>
      <c r="G103" s="23">
        <v>0</v>
      </c>
    </row>
    <row r="104" spans="2:7" x14ac:dyDescent="0.25">
      <c r="E104" s="52" t="s">
        <v>336</v>
      </c>
      <c r="F104" s="61" t="s">
        <v>337</v>
      </c>
      <c r="G104" s="20">
        <v>0</v>
      </c>
    </row>
    <row r="105" spans="2:7" ht="15.75" thickBot="1" x14ac:dyDescent="0.3">
      <c r="E105" s="21"/>
      <c r="F105" s="28" t="s">
        <v>338</v>
      </c>
      <c r="G105" s="29">
        <f>SUM(G103:G104)</f>
        <v>0</v>
      </c>
    </row>
    <row r="106" spans="2:7" ht="13.7" customHeight="1" thickBot="1" x14ac:dyDescent="0.3">
      <c r="B106" s="6"/>
      <c r="C106" s="62"/>
      <c r="D106" s="62"/>
      <c r="E106" s="52"/>
      <c r="F106" s="48" t="s">
        <v>339</v>
      </c>
      <c r="G106" s="49">
        <f>G19+G27+G32+G48+G57+G79+G95+G101+G102+G105</f>
        <v>1213229866</v>
      </c>
    </row>
    <row r="107" spans="2:7" ht="13.7" customHeight="1" x14ac:dyDescent="0.25">
      <c r="B107" s="6"/>
      <c r="C107" s="62"/>
      <c r="D107" s="62"/>
      <c r="E107" s="21"/>
      <c r="F107" s="63"/>
      <c r="G107" s="64"/>
    </row>
    <row r="108" spans="2:7" ht="13.7" customHeight="1" thickBot="1" x14ac:dyDescent="0.3">
      <c r="B108" s="6"/>
      <c r="C108" s="62"/>
      <c r="D108" s="62"/>
      <c r="E108" s="21"/>
    </row>
    <row r="109" spans="2:7" ht="13.7" customHeight="1" thickBot="1" x14ac:dyDescent="0.3">
      <c r="B109" s="6"/>
      <c r="C109" s="62"/>
      <c r="D109" s="62"/>
      <c r="E109" s="21"/>
      <c r="F109" s="13" t="s">
        <v>340</v>
      </c>
      <c r="G109" s="65">
        <f>D61-G106</f>
        <v>76949595</v>
      </c>
    </row>
    <row r="110" spans="2:7" ht="13.7" customHeight="1" thickBot="1" x14ac:dyDescent="0.3">
      <c r="B110" s="6"/>
      <c r="C110" s="62"/>
      <c r="D110" s="62"/>
      <c r="E110" s="21"/>
    </row>
    <row r="111" spans="2:7" ht="13.7" customHeight="1" thickBot="1" x14ac:dyDescent="0.3">
      <c r="C111" s="48" t="s">
        <v>270</v>
      </c>
      <c r="D111" s="17">
        <f>+[21]E.S.P.!D6</f>
        <v>2020</v>
      </c>
      <c r="E111" s="52"/>
      <c r="F111" s="48" t="s">
        <v>341</v>
      </c>
      <c r="G111" s="17">
        <f>+[21]E.S.P.!D6</f>
        <v>2020</v>
      </c>
    </row>
    <row r="112" spans="2:7" ht="13.7" customHeight="1" x14ac:dyDescent="0.25">
      <c r="B112" s="6" t="s">
        <v>342</v>
      </c>
      <c r="C112" s="66" t="s">
        <v>343</v>
      </c>
      <c r="D112" s="67">
        <v>0</v>
      </c>
      <c r="E112" s="21" t="s">
        <v>344</v>
      </c>
      <c r="F112" s="66" t="s">
        <v>309</v>
      </c>
      <c r="G112" s="67">
        <v>209900</v>
      </c>
    </row>
    <row r="113" spans="2:7" ht="13.7" customHeight="1" x14ac:dyDescent="0.25">
      <c r="B113" s="6" t="s">
        <v>345</v>
      </c>
      <c r="C113" s="68" t="s">
        <v>346</v>
      </c>
      <c r="D113" s="69">
        <v>40216727</v>
      </c>
      <c r="E113" s="21" t="s">
        <v>347</v>
      </c>
      <c r="F113" s="68" t="s">
        <v>348</v>
      </c>
      <c r="G113" s="69">
        <v>0</v>
      </c>
    </row>
    <row r="114" spans="2:7" ht="13.7" customHeight="1" x14ac:dyDescent="0.25">
      <c r="B114" s="6" t="s">
        <v>349</v>
      </c>
      <c r="C114" s="68" t="s">
        <v>48</v>
      </c>
      <c r="D114" s="69">
        <v>0</v>
      </c>
      <c r="E114" s="21" t="s">
        <v>350</v>
      </c>
      <c r="F114" s="68" t="s">
        <v>351</v>
      </c>
      <c r="G114" s="69">
        <v>0</v>
      </c>
    </row>
    <row r="115" spans="2:7" ht="13.7" customHeight="1" x14ac:dyDescent="0.25">
      <c r="B115" s="6" t="s">
        <v>352</v>
      </c>
      <c r="C115" s="68" t="s">
        <v>353</v>
      </c>
      <c r="D115" s="69">
        <v>0</v>
      </c>
      <c r="E115" s="21" t="s">
        <v>354</v>
      </c>
      <c r="F115" s="68" t="s">
        <v>355</v>
      </c>
      <c r="G115" s="69">
        <v>0</v>
      </c>
    </row>
    <row r="116" spans="2:7" ht="13.7" customHeight="1" x14ac:dyDescent="0.25">
      <c r="B116" s="6" t="s">
        <v>356</v>
      </c>
      <c r="C116" s="68" t="s">
        <v>357</v>
      </c>
      <c r="D116" s="69">
        <v>1715518</v>
      </c>
      <c r="E116" s="21" t="s">
        <v>358</v>
      </c>
      <c r="F116" s="68" t="s">
        <v>359</v>
      </c>
      <c r="G116" s="69">
        <v>16067679</v>
      </c>
    </row>
    <row r="117" spans="2:7" ht="13.7" customHeight="1" x14ac:dyDescent="0.25">
      <c r="B117" s="6" t="s">
        <v>360</v>
      </c>
      <c r="C117" s="68" t="s">
        <v>361</v>
      </c>
      <c r="D117" s="69">
        <v>0</v>
      </c>
      <c r="E117" s="21" t="s">
        <v>362</v>
      </c>
      <c r="F117" s="68" t="s">
        <v>363</v>
      </c>
      <c r="G117" s="69">
        <v>505321</v>
      </c>
    </row>
    <row r="118" spans="2:7" ht="13.7" customHeight="1" x14ac:dyDescent="0.25">
      <c r="B118" s="6" t="s">
        <v>364</v>
      </c>
      <c r="C118" s="68" t="s">
        <v>365</v>
      </c>
      <c r="D118" s="69">
        <v>0</v>
      </c>
      <c r="E118" s="21" t="s">
        <v>366</v>
      </c>
      <c r="F118" s="68" t="s">
        <v>367</v>
      </c>
      <c r="G118" s="69">
        <v>1305838</v>
      </c>
    </row>
    <row r="119" spans="2:7" ht="13.7" customHeight="1" x14ac:dyDescent="0.25">
      <c r="B119" s="6" t="s">
        <v>368</v>
      </c>
      <c r="C119" s="68" t="s">
        <v>369</v>
      </c>
      <c r="D119" s="69">
        <v>232213</v>
      </c>
      <c r="E119" s="21" t="s">
        <v>370</v>
      </c>
      <c r="F119" s="68" t="s">
        <v>371</v>
      </c>
      <c r="G119" s="69">
        <v>0</v>
      </c>
    </row>
    <row r="120" spans="2:7" ht="13.7" customHeight="1" x14ac:dyDescent="0.25">
      <c r="B120" s="6" t="s">
        <v>372</v>
      </c>
      <c r="C120" s="68" t="s">
        <v>373</v>
      </c>
      <c r="D120" s="69">
        <v>0</v>
      </c>
      <c r="E120" s="21" t="s">
        <v>374</v>
      </c>
      <c r="F120" s="68" t="s">
        <v>375</v>
      </c>
      <c r="G120" s="69">
        <v>0</v>
      </c>
    </row>
    <row r="121" spans="2:7" ht="13.7" customHeight="1" x14ac:dyDescent="0.25">
      <c r="B121" s="6" t="s">
        <v>376</v>
      </c>
      <c r="C121" s="19" t="s">
        <v>377</v>
      </c>
      <c r="D121" s="69">
        <v>1851231</v>
      </c>
      <c r="E121" s="21" t="s">
        <v>378</v>
      </c>
      <c r="F121" s="68" t="s">
        <v>379</v>
      </c>
      <c r="G121" s="69">
        <v>1877754</v>
      </c>
    </row>
    <row r="122" spans="2:7" ht="13.7" customHeight="1" thickBot="1" x14ac:dyDescent="0.3">
      <c r="B122" s="6"/>
      <c r="C122" s="28" t="s">
        <v>380</v>
      </c>
      <c r="D122" s="37">
        <f>SUM(D112:D121)</f>
        <v>44015689</v>
      </c>
      <c r="E122" s="21" t="s">
        <v>381</v>
      </c>
      <c r="F122" s="19" t="s">
        <v>382</v>
      </c>
      <c r="G122" s="20">
        <v>174613</v>
      </c>
    </row>
    <row r="123" spans="2:7" ht="13.7" customHeight="1" thickBot="1" x14ac:dyDescent="0.3">
      <c r="B123" s="6" t="s">
        <v>383</v>
      </c>
      <c r="C123" s="70" t="s">
        <v>309</v>
      </c>
      <c r="D123" s="67">
        <v>2605288</v>
      </c>
      <c r="E123" s="52"/>
      <c r="F123" s="28" t="s">
        <v>384</v>
      </c>
      <c r="G123" s="37">
        <f>SUM(G112:G122)</f>
        <v>20141105</v>
      </c>
    </row>
    <row r="124" spans="2:7" ht="13.7" customHeight="1" x14ac:dyDescent="0.25">
      <c r="B124" s="6" t="s">
        <v>385</v>
      </c>
      <c r="C124" s="68" t="s">
        <v>313</v>
      </c>
      <c r="D124" s="69">
        <v>0</v>
      </c>
      <c r="E124" s="21" t="s">
        <v>386</v>
      </c>
      <c r="F124" s="68" t="s">
        <v>387</v>
      </c>
      <c r="G124" s="69">
        <v>516245</v>
      </c>
    </row>
    <row r="125" spans="2:7" ht="13.7" customHeight="1" x14ac:dyDescent="0.25">
      <c r="B125" s="6" t="s">
        <v>388</v>
      </c>
      <c r="C125" s="19" t="s">
        <v>389</v>
      </c>
      <c r="D125" s="69">
        <v>106279</v>
      </c>
      <c r="E125" s="21" t="s">
        <v>390</v>
      </c>
      <c r="F125" s="68" t="s">
        <v>391</v>
      </c>
      <c r="G125" s="69">
        <v>15669</v>
      </c>
    </row>
    <row r="126" spans="2:7" ht="13.7" customHeight="1" thickBot="1" x14ac:dyDescent="0.3">
      <c r="B126" s="6"/>
      <c r="C126" s="28" t="s">
        <v>392</v>
      </c>
      <c r="D126" s="37">
        <f>SUM(D123:D125)</f>
        <v>2711567</v>
      </c>
      <c r="E126" s="21" t="s">
        <v>393</v>
      </c>
      <c r="F126" s="68" t="s">
        <v>394</v>
      </c>
      <c r="G126" s="69">
        <v>0</v>
      </c>
    </row>
    <row r="127" spans="2:7" ht="13.7" customHeight="1" x14ac:dyDescent="0.25">
      <c r="B127" s="6" t="s">
        <v>395</v>
      </c>
      <c r="C127" s="66" t="s">
        <v>274</v>
      </c>
      <c r="D127" s="67">
        <v>5565799</v>
      </c>
      <c r="E127" s="21" t="s">
        <v>396</v>
      </c>
      <c r="F127" s="68" t="s">
        <v>397</v>
      </c>
      <c r="G127" s="69">
        <v>0</v>
      </c>
    </row>
    <row r="128" spans="2:7" ht="13.7" customHeight="1" x14ac:dyDescent="0.25">
      <c r="B128" s="6" t="s">
        <v>398</v>
      </c>
      <c r="C128" s="68" t="s">
        <v>399</v>
      </c>
      <c r="D128" s="69">
        <v>2901063</v>
      </c>
      <c r="E128" s="21" t="s">
        <v>400</v>
      </c>
      <c r="F128" s="68" t="s">
        <v>401</v>
      </c>
      <c r="G128" s="69">
        <v>0</v>
      </c>
    </row>
    <row r="129" spans="2:7" ht="13.7" customHeight="1" x14ac:dyDescent="0.25">
      <c r="B129" s="6" t="s">
        <v>402</v>
      </c>
      <c r="C129" s="68" t="s">
        <v>277</v>
      </c>
      <c r="D129" s="69">
        <v>0</v>
      </c>
      <c r="E129" s="21" t="s">
        <v>403</v>
      </c>
      <c r="F129" s="68" t="s">
        <v>404</v>
      </c>
      <c r="G129" s="69">
        <v>0</v>
      </c>
    </row>
    <row r="130" spans="2:7" ht="13.7" customHeight="1" x14ac:dyDescent="0.25">
      <c r="B130" s="6" t="s">
        <v>405</v>
      </c>
      <c r="C130" s="68" t="s">
        <v>283</v>
      </c>
      <c r="D130" s="69">
        <v>0</v>
      </c>
      <c r="E130" s="21" t="s">
        <v>406</v>
      </c>
      <c r="F130" s="68" t="s">
        <v>407</v>
      </c>
      <c r="G130" s="69">
        <v>0</v>
      </c>
    </row>
    <row r="131" spans="2:7" ht="13.7" customHeight="1" x14ac:dyDescent="0.25">
      <c r="B131" s="6" t="s">
        <v>408</v>
      </c>
      <c r="C131" s="68" t="s">
        <v>287</v>
      </c>
      <c r="D131" s="69">
        <v>0</v>
      </c>
      <c r="E131" s="21" t="s">
        <v>409</v>
      </c>
      <c r="F131" s="68" t="s">
        <v>410</v>
      </c>
      <c r="G131" s="69">
        <v>0</v>
      </c>
    </row>
    <row r="132" spans="2:7" ht="13.7" customHeight="1" x14ac:dyDescent="0.25">
      <c r="B132" s="6" t="s">
        <v>411</v>
      </c>
      <c r="C132" s="68" t="s">
        <v>291</v>
      </c>
      <c r="D132" s="69">
        <v>0</v>
      </c>
      <c r="E132" s="21" t="s">
        <v>412</v>
      </c>
      <c r="F132" s="68" t="s">
        <v>413</v>
      </c>
      <c r="G132" s="69">
        <v>4207687</v>
      </c>
    </row>
    <row r="133" spans="2:7" ht="13.7" customHeight="1" x14ac:dyDescent="0.25">
      <c r="B133" s="6" t="s">
        <v>414</v>
      </c>
      <c r="C133" s="68" t="s">
        <v>295</v>
      </c>
      <c r="D133" s="69">
        <v>0</v>
      </c>
      <c r="E133" s="21" t="s">
        <v>415</v>
      </c>
      <c r="F133" s="68" t="s">
        <v>416</v>
      </c>
      <c r="G133" s="69">
        <v>0</v>
      </c>
    </row>
    <row r="134" spans="2:7" ht="13.7" customHeight="1" x14ac:dyDescent="0.25">
      <c r="B134" s="6" t="s">
        <v>417</v>
      </c>
      <c r="C134" s="68" t="s">
        <v>418</v>
      </c>
      <c r="D134" s="69">
        <v>924796</v>
      </c>
      <c r="E134" s="21" t="s">
        <v>419</v>
      </c>
      <c r="F134" s="68" t="s">
        <v>420</v>
      </c>
      <c r="G134" s="69">
        <v>265814</v>
      </c>
    </row>
    <row r="135" spans="2:7" ht="13.7" customHeight="1" x14ac:dyDescent="0.25">
      <c r="B135" s="6" t="s">
        <v>421</v>
      </c>
      <c r="C135" s="68" t="s">
        <v>422</v>
      </c>
      <c r="D135" s="69">
        <v>527072</v>
      </c>
      <c r="E135" s="21" t="s">
        <v>423</v>
      </c>
      <c r="F135" s="68" t="s">
        <v>424</v>
      </c>
      <c r="G135" s="69">
        <v>0</v>
      </c>
    </row>
    <row r="136" spans="2:7" ht="13.7" customHeight="1" x14ac:dyDescent="0.25">
      <c r="B136" s="6" t="s">
        <v>425</v>
      </c>
      <c r="C136" s="68" t="s">
        <v>318</v>
      </c>
      <c r="D136" s="69">
        <v>8211730</v>
      </c>
      <c r="E136" s="21" t="s">
        <v>426</v>
      </c>
      <c r="F136" s="68" t="s">
        <v>427</v>
      </c>
      <c r="G136" s="69">
        <v>180000</v>
      </c>
    </row>
    <row r="137" spans="2:7" ht="13.7" customHeight="1" x14ac:dyDescent="0.25">
      <c r="B137" s="6" t="s">
        <v>428</v>
      </c>
      <c r="C137" s="19" t="s">
        <v>320</v>
      </c>
      <c r="D137" s="71">
        <v>945587</v>
      </c>
      <c r="E137" s="21" t="s">
        <v>429</v>
      </c>
      <c r="F137" s="68" t="s">
        <v>430</v>
      </c>
      <c r="G137" s="69">
        <v>5204767</v>
      </c>
    </row>
    <row r="138" spans="2:7" ht="13.7" customHeight="1" thickBot="1" x14ac:dyDescent="0.3">
      <c r="B138" s="6"/>
      <c r="C138" s="28" t="s">
        <v>321</v>
      </c>
      <c r="D138" s="37">
        <f>SUM(D127:D137)</f>
        <v>19076047</v>
      </c>
      <c r="E138" s="21" t="s">
        <v>431</v>
      </c>
      <c r="F138" s="19" t="s">
        <v>432</v>
      </c>
      <c r="G138" s="20">
        <v>234237</v>
      </c>
    </row>
    <row r="139" spans="2:7" ht="13.7" customHeight="1" thickBot="1" x14ac:dyDescent="0.3">
      <c r="B139" s="6" t="s">
        <v>433</v>
      </c>
      <c r="C139" s="66" t="s">
        <v>327</v>
      </c>
      <c r="D139" s="67">
        <v>0</v>
      </c>
      <c r="E139" s="7"/>
      <c r="F139" s="28" t="s">
        <v>434</v>
      </c>
      <c r="G139" s="37">
        <f>SUM(G124:G138)</f>
        <v>10624419</v>
      </c>
    </row>
    <row r="140" spans="2:7" ht="13.7" customHeight="1" thickBot="1" x14ac:dyDescent="0.3">
      <c r="B140" s="6" t="s">
        <v>435</v>
      </c>
      <c r="C140" s="68" t="s">
        <v>329</v>
      </c>
      <c r="D140" s="69">
        <v>0</v>
      </c>
      <c r="E140" s="7"/>
      <c r="F140" s="48" t="s">
        <v>436</v>
      </c>
      <c r="G140" s="72">
        <f>G123-G139</f>
        <v>9516686</v>
      </c>
    </row>
    <row r="141" spans="2:7" ht="13.7" customHeight="1" x14ac:dyDescent="0.25">
      <c r="B141" s="6" t="s">
        <v>437</v>
      </c>
      <c r="C141" s="19" t="s">
        <v>331</v>
      </c>
      <c r="D141" s="71">
        <v>0</v>
      </c>
      <c r="E141" s="73"/>
    </row>
    <row r="142" spans="2:7" ht="13.7" customHeight="1" thickBot="1" x14ac:dyDescent="0.3">
      <c r="B142" s="6"/>
      <c r="C142" s="28" t="s">
        <v>332</v>
      </c>
      <c r="D142" s="37">
        <f>SUM(D139:D141)</f>
        <v>0</v>
      </c>
      <c r="E142" s="73"/>
    </row>
    <row r="143" spans="2:7" ht="13.7" customHeight="1" thickBot="1" x14ac:dyDescent="0.3">
      <c r="B143" s="6"/>
      <c r="C143" s="59" t="s">
        <v>438</v>
      </c>
      <c r="D143" s="74">
        <f>[21]Amortizaciones!D33</f>
        <v>4688300</v>
      </c>
      <c r="E143" s="21"/>
      <c r="F143" s="48" t="s">
        <v>439</v>
      </c>
      <c r="G143" s="17">
        <f>+[21]E.S.P.!D6</f>
        <v>2020</v>
      </c>
    </row>
    <row r="144" spans="2:7" ht="13.7" customHeight="1" x14ac:dyDescent="0.25">
      <c r="B144" s="6" t="s">
        <v>440</v>
      </c>
      <c r="C144" s="66" t="s">
        <v>441</v>
      </c>
      <c r="D144" s="67">
        <v>567905</v>
      </c>
      <c r="E144" s="21" t="s">
        <v>442</v>
      </c>
      <c r="F144" s="66" t="s">
        <v>443</v>
      </c>
      <c r="G144" s="67">
        <v>0</v>
      </c>
    </row>
    <row r="145" spans="2:7" ht="13.7" customHeight="1" x14ac:dyDescent="0.25">
      <c r="B145" s="6" t="s">
        <v>444</v>
      </c>
      <c r="C145" s="68" t="s">
        <v>445</v>
      </c>
      <c r="D145" s="69">
        <v>314360</v>
      </c>
      <c r="E145" s="21" t="s">
        <v>446</v>
      </c>
      <c r="F145" s="68" t="s">
        <v>447</v>
      </c>
      <c r="G145" s="69">
        <v>3224601</v>
      </c>
    </row>
    <row r="146" spans="2:7" ht="13.7" customHeight="1" x14ac:dyDescent="0.25">
      <c r="B146" s="6" t="s">
        <v>448</v>
      </c>
      <c r="C146" s="75" t="s">
        <v>449</v>
      </c>
      <c r="D146" s="69">
        <v>0</v>
      </c>
      <c r="E146" s="21" t="s">
        <v>450</v>
      </c>
      <c r="F146" s="68" t="s">
        <v>451</v>
      </c>
      <c r="G146" s="69">
        <v>1481745</v>
      </c>
    </row>
    <row r="147" spans="2:7" ht="13.7" customHeight="1" x14ac:dyDescent="0.25">
      <c r="B147" s="6" t="s">
        <v>452</v>
      </c>
      <c r="C147" s="19" t="s">
        <v>453</v>
      </c>
      <c r="D147" s="71">
        <v>23536</v>
      </c>
      <c r="E147" s="21" t="s">
        <v>454</v>
      </c>
      <c r="F147" s="68" t="s">
        <v>455</v>
      </c>
      <c r="G147" s="69">
        <v>0</v>
      </c>
    </row>
    <row r="148" spans="2:7" ht="13.7" customHeight="1" thickBot="1" x14ac:dyDescent="0.3">
      <c r="B148" s="6"/>
      <c r="C148" s="28" t="s">
        <v>456</v>
      </c>
      <c r="D148" s="37">
        <f>SUM(D144:D147)</f>
        <v>905801</v>
      </c>
      <c r="E148" s="21" t="s">
        <v>457</v>
      </c>
      <c r="F148" s="68" t="s">
        <v>458</v>
      </c>
      <c r="G148" s="69">
        <v>0</v>
      </c>
    </row>
    <row r="149" spans="2:7" ht="13.7" customHeight="1" x14ac:dyDescent="0.25">
      <c r="B149" s="6" t="s">
        <v>459</v>
      </c>
      <c r="C149" s="66" t="s">
        <v>460</v>
      </c>
      <c r="D149" s="67">
        <v>0</v>
      </c>
      <c r="E149" s="21" t="s">
        <v>461</v>
      </c>
      <c r="F149" s="68" t="s">
        <v>462</v>
      </c>
      <c r="G149" s="69">
        <v>0</v>
      </c>
    </row>
    <row r="150" spans="2:7" ht="13.7" customHeight="1" x14ac:dyDescent="0.25">
      <c r="B150" s="6" t="s">
        <v>463</v>
      </c>
      <c r="C150" s="68" t="s">
        <v>464</v>
      </c>
      <c r="D150" s="69">
        <v>271329</v>
      </c>
      <c r="E150" s="21" t="s">
        <v>465</v>
      </c>
      <c r="F150" s="68" t="s">
        <v>466</v>
      </c>
      <c r="G150" s="69">
        <v>0</v>
      </c>
    </row>
    <row r="151" spans="2:7" ht="13.7" customHeight="1" x14ac:dyDescent="0.25">
      <c r="B151" s="6" t="s">
        <v>467</v>
      </c>
      <c r="C151" s="19" t="s">
        <v>468</v>
      </c>
      <c r="D151" s="71">
        <v>10109</v>
      </c>
      <c r="E151" s="21" t="s">
        <v>469</v>
      </c>
      <c r="F151" s="68" t="s">
        <v>470</v>
      </c>
      <c r="G151" s="69">
        <v>6565801</v>
      </c>
    </row>
    <row r="152" spans="2:7" ht="13.7" customHeight="1" thickBot="1" x14ac:dyDescent="0.3">
      <c r="B152" s="6"/>
      <c r="C152" s="28" t="s">
        <v>471</v>
      </c>
      <c r="D152" s="37">
        <f>SUM(D149:D151)</f>
        <v>281438</v>
      </c>
      <c r="E152" s="21" t="s">
        <v>472</v>
      </c>
      <c r="F152" s="68" t="s">
        <v>473</v>
      </c>
      <c r="G152" s="69">
        <v>0</v>
      </c>
    </row>
    <row r="153" spans="2:7" ht="13.7" customHeight="1" thickBot="1" x14ac:dyDescent="0.3">
      <c r="B153" s="6"/>
      <c r="C153" s="48" t="s">
        <v>474</v>
      </c>
      <c r="D153" s="76">
        <f>D122+D126+D138+D142+D143+D148+D152</f>
        <v>71678842</v>
      </c>
      <c r="E153" s="21" t="s">
        <v>475</v>
      </c>
      <c r="F153" s="19" t="s">
        <v>476</v>
      </c>
      <c r="G153" s="20">
        <v>57744</v>
      </c>
    </row>
    <row r="154" spans="2:7" ht="13.7" customHeight="1" thickBot="1" x14ac:dyDescent="0.3">
      <c r="B154" s="6"/>
      <c r="E154" s="21"/>
      <c r="F154" s="28" t="s">
        <v>477</v>
      </c>
      <c r="G154" s="37">
        <f>SUM(G144:G153)</f>
        <v>11329891</v>
      </c>
    </row>
    <row r="155" spans="2:7" ht="13.7" customHeight="1" thickBot="1" x14ac:dyDescent="0.3">
      <c r="B155" s="6"/>
      <c r="C155" s="77" t="s">
        <v>478</v>
      </c>
      <c r="D155" s="65">
        <f>G109-D153</f>
        <v>5270753</v>
      </c>
      <c r="E155" s="21" t="s">
        <v>479</v>
      </c>
      <c r="F155" s="66" t="s">
        <v>480</v>
      </c>
      <c r="G155" s="67">
        <v>9052835</v>
      </c>
    </row>
    <row r="156" spans="2:7" ht="13.7" customHeight="1" x14ac:dyDescent="0.25">
      <c r="E156" s="21" t="s">
        <v>481</v>
      </c>
      <c r="F156" s="68" t="s">
        <v>482</v>
      </c>
      <c r="G156" s="69">
        <v>11117404</v>
      </c>
    </row>
    <row r="157" spans="2:7" ht="13.7" customHeight="1" x14ac:dyDescent="0.25">
      <c r="E157" s="21" t="s">
        <v>483</v>
      </c>
      <c r="F157" s="68" t="s">
        <v>484</v>
      </c>
      <c r="G157" s="69">
        <v>46884</v>
      </c>
    </row>
    <row r="158" spans="2:7" ht="13.7" customHeight="1" x14ac:dyDescent="0.25">
      <c r="E158" s="21" t="s">
        <v>485</v>
      </c>
      <c r="F158" s="68" t="s">
        <v>486</v>
      </c>
      <c r="G158" s="69">
        <v>0</v>
      </c>
    </row>
    <row r="159" spans="2:7" ht="13.7" customHeight="1" x14ac:dyDescent="0.25">
      <c r="E159" s="21" t="s">
        <v>487</v>
      </c>
      <c r="F159" s="68" t="s">
        <v>488</v>
      </c>
      <c r="G159" s="69">
        <v>0</v>
      </c>
    </row>
    <row r="160" spans="2:7" ht="13.7" customHeight="1" x14ac:dyDescent="0.25">
      <c r="E160" s="21" t="s">
        <v>489</v>
      </c>
      <c r="F160" s="68" t="s">
        <v>490</v>
      </c>
      <c r="G160" s="69">
        <v>184465</v>
      </c>
    </row>
    <row r="161" spans="5:7" ht="13.7" customHeight="1" x14ac:dyDescent="0.25">
      <c r="E161" s="21" t="s">
        <v>491</v>
      </c>
      <c r="F161" s="68" t="s">
        <v>492</v>
      </c>
      <c r="G161" s="69">
        <v>0</v>
      </c>
    </row>
    <row r="162" spans="5:7" ht="13.7" customHeight="1" x14ac:dyDescent="0.25">
      <c r="E162" s="21" t="s">
        <v>493</v>
      </c>
      <c r="F162" s="68" t="s">
        <v>494</v>
      </c>
      <c r="G162" s="69">
        <v>0</v>
      </c>
    </row>
    <row r="163" spans="5:7" ht="13.7" customHeight="1" x14ac:dyDescent="0.25">
      <c r="E163" s="21" t="s">
        <v>495</v>
      </c>
      <c r="F163" s="68" t="s">
        <v>496</v>
      </c>
      <c r="G163" s="69">
        <v>0</v>
      </c>
    </row>
    <row r="164" spans="5:7" ht="13.7" customHeight="1" x14ac:dyDescent="0.25">
      <c r="E164" s="21" t="s">
        <v>497</v>
      </c>
      <c r="F164" s="68" t="s">
        <v>498</v>
      </c>
      <c r="G164" s="69">
        <v>0</v>
      </c>
    </row>
    <row r="165" spans="5:7" ht="13.7" customHeight="1" x14ac:dyDescent="0.25">
      <c r="E165" s="21" t="s">
        <v>499</v>
      </c>
      <c r="F165" s="68" t="s">
        <v>500</v>
      </c>
      <c r="G165" s="69"/>
    </row>
    <row r="166" spans="5:7" ht="13.7" customHeight="1" x14ac:dyDescent="0.25">
      <c r="E166" s="21" t="s">
        <v>501</v>
      </c>
      <c r="F166" s="68" t="s">
        <v>502</v>
      </c>
      <c r="G166" s="69">
        <v>548315</v>
      </c>
    </row>
    <row r="167" spans="5:7" ht="13.7" customHeight="1" x14ac:dyDescent="0.25">
      <c r="E167" s="21" t="s">
        <v>503</v>
      </c>
      <c r="F167" s="19" t="s">
        <v>504</v>
      </c>
      <c r="G167" s="20">
        <v>807190</v>
      </c>
    </row>
    <row r="168" spans="5:7" ht="13.7" customHeight="1" thickBot="1" x14ac:dyDescent="0.3">
      <c r="E168" s="21"/>
      <c r="F168" s="28" t="s">
        <v>505</v>
      </c>
      <c r="G168" s="37">
        <f>SUM(G155:G167)</f>
        <v>21757093</v>
      </c>
    </row>
    <row r="169" spans="5:7" ht="13.7" customHeight="1" thickBot="1" x14ac:dyDescent="0.3">
      <c r="E169" s="21"/>
      <c r="F169" s="48" t="s">
        <v>506</v>
      </c>
      <c r="G169" s="72">
        <f>G154-G168</f>
        <v>-10427202</v>
      </c>
    </row>
    <row r="170" spans="5:7" ht="13.7" customHeight="1" thickBot="1" x14ac:dyDescent="0.3">
      <c r="E170" s="21"/>
      <c r="F170" s="78"/>
      <c r="G170" s="78"/>
    </row>
    <row r="171" spans="5:7" ht="13.7" customHeight="1" thickBot="1" x14ac:dyDescent="0.3">
      <c r="E171" s="21"/>
      <c r="F171" s="77" t="s">
        <v>507</v>
      </c>
      <c r="G171" s="79"/>
    </row>
    <row r="172" spans="5:7" ht="13.7" customHeight="1" thickBot="1" x14ac:dyDescent="0.3">
      <c r="E172" s="21"/>
      <c r="F172" s="80"/>
      <c r="G172" s="81">
        <f>+D155+G140+G169</f>
        <v>4360237</v>
      </c>
    </row>
    <row r="173" spans="5:7" ht="13.7" customHeight="1" thickBot="1" x14ac:dyDescent="0.3">
      <c r="E173" s="21"/>
      <c r="F173" s="5"/>
      <c r="G173" s="5"/>
    </row>
    <row r="174" spans="5:7" ht="13.7" customHeight="1" thickBot="1" x14ac:dyDescent="0.3">
      <c r="E174" s="21"/>
      <c r="F174" s="48" t="s">
        <v>508</v>
      </c>
      <c r="G174" s="17">
        <f>+G143</f>
        <v>2020</v>
      </c>
    </row>
    <row r="175" spans="5:7" ht="13.7" customHeight="1" x14ac:dyDescent="0.25">
      <c r="E175" s="21"/>
      <c r="F175" s="66" t="s">
        <v>509</v>
      </c>
      <c r="G175" s="67">
        <v>0</v>
      </c>
    </row>
    <row r="176" spans="5:7" ht="13.7" customHeight="1" x14ac:dyDescent="0.25">
      <c r="E176" s="21"/>
      <c r="F176" s="68" t="s">
        <v>510</v>
      </c>
      <c r="G176" s="69">
        <v>0</v>
      </c>
    </row>
    <row r="177" spans="1:8" ht="13.7" customHeight="1" thickBot="1" x14ac:dyDescent="0.3">
      <c r="F177" s="68" t="s">
        <v>511</v>
      </c>
      <c r="G177" s="69">
        <v>0</v>
      </c>
    </row>
    <row r="178" spans="1:8" ht="13.7" customHeight="1" thickBot="1" x14ac:dyDescent="0.3">
      <c r="F178" s="48" t="s">
        <v>512</v>
      </c>
      <c r="G178" s="72">
        <f>SUM(G175:G177)</f>
        <v>0</v>
      </c>
    </row>
    <row r="179" spans="1:8" ht="13.7" customHeight="1" thickBot="1" x14ac:dyDescent="0.3"/>
    <row r="180" spans="1:8" ht="13.7" customHeight="1" thickBot="1" x14ac:dyDescent="0.3">
      <c r="F180" s="77" t="s">
        <v>513</v>
      </c>
      <c r="G180" s="79"/>
    </row>
    <row r="181" spans="1:8" ht="13.7" customHeight="1" thickBot="1" x14ac:dyDescent="0.3">
      <c r="F181" s="83"/>
      <c r="G181" s="81">
        <f>+G172+G178</f>
        <v>4360237</v>
      </c>
    </row>
    <row r="182" spans="1:8" ht="13.7" customHeight="1" x14ac:dyDescent="0.25"/>
    <row r="183" spans="1:8" ht="13.5" customHeight="1" x14ac:dyDescent="0.25"/>
    <row r="184" spans="1:8" ht="13.7" customHeight="1" x14ac:dyDescent="0.25">
      <c r="E184" s="84"/>
      <c r="F184" s="84"/>
      <c r="G184" s="84"/>
      <c r="H184" s="84"/>
    </row>
    <row r="185" spans="1:8" s="84" customFormat="1" ht="13.7" customHeight="1" x14ac:dyDescent="0.25">
      <c r="A185" s="85"/>
      <c r="E185" s="82"/>
      <c r="F185" s="86"/>
      <c r="G185" s="86"/>
    </row>
    <row r="186" spans="1:8" s="84" customFormat="1" ht="12.75" x14ac:dyDescent="0.25">
      <c r="A186" s="85"/>
      <c r="E186" s="82"/>
      <c r="F186" s="86"/>
      <c r="G186" s="86"/>
    </row>
    <row r="187" spans="1:8" s="84" customFormat="1" ht="12.75" hidden="1" x14ac:dyDescent="0.25">
      <c r="A187" s="85"/>
      <c r="E187" s="82"/>
      <c r="F187" s="86"/>
      <c r="G187" s="86"/>
    </row>
    <row r="188" spans="1:8" s="84" customFormat="1" ht="12.75" hidden="1" x14ac:dyDescent="0.25">
      <c r="A188" s="85"/>
      <c r="E188" s="82"/>
      <c r="F188" s="86"/>
      <c r="G188" s="86"/>
    </row>
    <row r="189" spans="1:8" s="84" customFormat="1" ht="12.75" hidden="1" x14ac:dyDescent="0.25">
      <c r="A189" s="85"/>
      <c r="E189" s="82"/>
      <c r="F189" s="86"/>
      <c r="G189" s="86"/>
    </row>
    <row r="190" spans="1:8" s="84" customFormat="1" ht="12.75" hidden="1" x14ac:dyDescent="0.25">
      <c r="A190" s="85"/>
      <c r="E190" s="82"/>
      <c r="F190" s="86"/>
      <c r="G190" s="86"/>
    </row>
    <row r="191" spans="1:8" s="84" customFormat="1" ht="12.75" hidden="1" x14ac:dyDescent="0.25">
      <c r="A191" s="85"/>
      <c r="E191" s="82"/>
      <c r="F191" s="86"/>
      <c r="G191" s="86"/>
    </row>
    <row r="192" spans="1:8" s="84" customFormat="1" ht="12.75" hidden="1" x14ac:dyDescent="0.25">
      <c r="A192" s="85"/>
      <c r="E192" s="82"/>
      <c r="F192" s="86"/>
      <c r="G192" s="86"/>
    </row>
    <row r="193" spans="5:7" s="84" customFormat="1" ht="12.75" hidden="1" x14ac:dyDescent="0.25">
      <c r="E193" s="82"/>
      <c r="F193" s="86"/>
      <c r="G193" s="86"/>
    </row>
    <row r="194" spans="5:7" s="84" customFormat="1" ht="12.75" hidden="1" x14ac:dyDescent="0.25">
      <c r="E194" s="82"/>
      <c r="F194" s="86"/>
      <c r="G194" s="86"/>
    </row>
    <row r="195" spans="5:7" s="84" customFormat="1" ht="12.75" hidden="1" x14ac:dyDescent="0.25">
      <c r="E195" s="82"/>
      <c r="F195" s="86"/>
      <c r="G195" s="86"/>
    </row>
    <row r="196" spans="5:7" s="84" customFormat="1" ht="12.75" hidden="1" x14ac:dyDescent="0.25">
      <c r="E196" s="82"/>
      <c r="F196" s="86"/>
      <c r="G196" s="86"/>
    </row>
    <row r="197" spans="5:7" s="84" customFormat="1" ht="12.75" hidden="1" x14ac:dyDescent="0.25">
      <c r="E197" s="82"/>
      <c r="F197" s="86"/>
      <c r="G197" s="86"/>
    </row>
    <row r="198" spans="5:7" s="84" customFormat="1" ht="12.75" hidden="1" x14ac:dyDescent="0.25">
      <c r="E198" s="82"/>
      <c r="F198" s="86"/>
      <c r="G198" s="86"/>
    </row>
    <row r="199" spans="5:7" s="84" customFormat="1" ht="12.75" hidden="1" x14ac:dyDescent="0.25">
      <c r="E199" s="82"/>
      <c r="F199" s="86"/>
      <c r="G199" s="86"/>
    </row>
    <row r="200" spans="5:7" s="84" customFormat="1" ht="12.75" hidden="1" x14ac:dyDescent="0.25">
      <c r="E200" s="82"/>
      <c r="F200" s="86"/>
      <c r="G200" s="86"/>
    </row>
    <row r="201" spans="5:7" s="84" customFormat="1" ht="12.75" hidden="1" x14ac:dyDescent="0.25">
      <c r="E201" s="82"/>
      <c r="F201" s="86"/>
      <c r="G201" s="86"/>
    </row>
    <row r="202" spans="5:7" s="84" customFormat="1" ht="12.75" hidden="1" x14ac:dyDescent="0.25">
      <c r="E202" s="82"/>
      <c r="F202" s="86"/>
      <c r="G202" s="86"/>
    </row>
    <row r="203" spans="5:7" s="84" customFormat="1" ht="12.75" hidden="1" x14ac:dyDescent="0.25">
      <c r="E203" s="82"/>
      <c r="F203" s="86"/>
      <c r="G203" s="86"/>
    </row>
    <row r="204" spans="5:7" s="84" customFormat="1" ht="12.75" hidden="1" x14ac:dyDescent="0.25">
      <c r="E204" s="82"/>
      <c r="F204" s="86"/>
      <c r="G204" s="86"/>
    </row>
    <row r="205" spans="5:7" s="84" customFormat="1" ht="12.75" hidden="1" x14ac:dyDescent="0.25">
      <c r="E205" s="82"/>
      <c r="F205" s="86"/>
      <c r="G205" s="86"/>
    </row>
    <row r="206" spans="5:7" s="84" customFormat="1" ht="12.75" hidden="1" x14ac:dyDescent="0.25">
      <c r="E206" s="82"/>
      <c r="F206" s="86"/>
      <c r="G206" s="86"/>
    </row>
    <row r="207" spans="5:7" s="84" customFormat="1" ht="12.75" hidden="1" x14ac:dyDescent="0.25">
      <c r="E207" s="82"/>
      <c r="F207" s="86"/>
      <c r="G207" s="86"/>
    </row>
    <row r="208" spans="5:7" s="84" customFormat="1" ht="12.75" hidden="1" x14ac:dyDescent="0.25">
      <c r="E208" s="82"/>
      <c r="F208" s="86"/>
      <c r="G208" s="86"/>
    </row>
    <row r="209" spans="3:8" s="84" customFormat="1" ht="12.75" hidden="1" x14ac:dyDescent="0.25">
      <c r="E209" s="82"/>
      <c r="F209" s="86"/>
      <c r="G209" s="86"/>
    </row>
    <row r="210" spans="3:8" s="84" customFormat="1" ht="12.75" hidden="1" x14ac:dyDescent="0.25">
      <c r="E210" s="82"/>
      <c r="F210" s="86"/>
      <c r="G210" s="86"/>
    </row>
    <row r="211" spans="3:8" s="84" customFormat="1" ht="12.75" hidden="1" x14ac:dyDescent="0.25">
      <c r="E211" s="82"/>
      <c r="F211" s="86"/>
      <c r="G211" s="86"/>
    </row>
    <row r="212" spans="3:8" s="84" customFormat="1" ht="12.75" hidden="1" x14ac:dyDescent="0.25">
      <c r="E212" s="82"/>
      <c r="F212" s="86"/>
      <c r="G212" s="86"/>
    </row>
    <row r="213" spans="3:8" s="84" customFormat="1" ht="12.75" hidden="1" x14ac:dyDescent="0.25">
      <c r="E213" s="82"/>
      <c r="F213" s="86"/>
      <c r="G213" s="86"/>
    </row>
    <row r="214" spans="3:8" s="84" customFormat="1" hidden="1" x14ac:dyDescent="0.25">
      <c r="E214" s="82"/>
      <c r="F214" s="87"/>
      <c r="G214" s="58"/>
      <c r="H214" s="5"/>
    </row>
    <row r="215" spans="3:8" hidden="1" x14ac:dyDescent="0.25">
      <c r="C215" s="86"/>
      <c r="D215" s="86"/>
      <c r="F215" s="87"/>
    </row>
    <row r="216" spans="3:8" hidden="1" x14ac:dyDescent="0.25"/>
    <row r="217" spans="3:8" hidden="1" x14ac:dyDescent="0.25"/>
    <row r="218" spans="3:8" hidden="1" x14ac:dyDescent="0.25"/>
    <row r="219" spans="3:8" hidden="1" x14ac:dyDescent="0.25"/>
    <row r="220" spans="3:8" hidden="1" x14ac:dyDescent="0.25"/>
    <row r="221" spans="3:8" hidden="1" x14ac:dyDescent="0.25"/>
    <row r="222" spans="3:8" hidden="1" x14ac:dyDescent="0.25"/>
    <row r="223" spans="3:8" hidden="1" x14ac:dyDescent="0.25"/>
    <row r="224" spans="3:8"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sheetData>
  <mergeCells count="6">
    <mergeCell ref="C1:D1"/>
    <mergeCell ref="E1:F1"/>
    <mergeCell ref="C2:D2"/>
    <mergeCell ref="E2:F2"/>
    <mergeCell ref="C3:D3"/>
    <mergeCell ref="E3:F3"/>
  </mergeCells>
  <conditionalFormatting sqref="D7:D12">
    <cfRule type="cellIs" dxfId="157" priority="2" stopIfTrue="1" operator="greaterThan">
      <formula>50</formula>
    </cfRule>
    <cfRule type="cellIs" dxfId="156" priority="11" stopIfTrue="1" operator="equal">
      <formula>0</formula>
    </cfRule>
  </conditionalFormatting>
  <conditionalFormatting sqref="D7:D61">
    <cfRule type="cellIs" dxfId="155" priority="9" stopIfTrue="1" operator="between">
      <formula>-0.1</formula>
      <formula>-50</formula>
    </cfRule>
    <cfRule type="cellIs" dxfId="154" priority="10" stopIfTrue="1" operator="between">
      <formula>0.1</formula>
      <formula>50</formula>
    </cfRule>
  </conditionalFormatting>
  <conditionalFormatting sqref="G152:G181 G7:G150">
    <cfRule type="cellIs" dxfId="153" priority="7" stopIfTrue="1" operator="between">
      <formula>-0.1</formula>
      <formula>-50</formula>
    </cfRule>
    <cfRule type="cellIs" dxfId="152" priority="8" stopIfTrue="1" operator="between">
      <formula>0.1</formula>
      <formula>50</formula>
    </cfRule>
  </conditionalFormatting>
  <conditionalFormatting sqref="D111:D155">
    <cfRule type="cellIs" dxfId="151" priority="5" stopIfTrue="1" operator="between">
      <formula>-0.1</formula>
      <formula>-50</formula>
    </cfRule>
    <cfRule type="cellIs" dxfId="150" priority="6" stopIfTrue="1" operator="between">
      <formula>0.1</formula>
      <formula>50</formula>
    </cfRule>
  </conditionalFormatting>
  <conditionalFormatting sqref="G165">
    <cfRule type="expression" dxfId="149" priority="4" stopIfTrue="1">
      <formula>AND($G$165&gt;0,$G$151&gt;0)</formula>
    </cfRule>
  </conditionalFormatting>
  <conditionalFormatting sqref="G151">
    <cfRule type="expression" dxfId="148" priority="1" stopIfTrue="1">
      <formula>AND($G$151&gt;0,$G$165&gt;0)</formula>
    </cfRule>
  </conditionalFormatting>
  <dataValidations count="11">
    <dataValidation type="custom" operator="greaterThan" showInputMessage="1" showErrorMessage="1" errorTitle="RDM" error="No se admite ingresar RDM como ingresos y egresos a la vez. Tampoco se admiten valores menores a $50._x000a_" sqref="G151">
      <formula1>AND(OR(G151=0, G151&gt;50),G165=0)</formula1>
    </dataValidation>
    <dataValidation type="whole" operator="greaterThan" allowBlank="1" showInputMessage="1" showErrorMessage="1" sqref="D8:D12">
      <formula1>50</formula1>
    </dataValidation>
    <dataValidation type="whole" operator="greaterThan" showInputMessage="1" showErrorMessage="1" errorTitle="eee" error="Valores mayores a $50" sqref="D7">
      <formula1>50</formula1>
    </dataValidation>
    <dataValidation type="custom" operator="greaterThan" showInputMessage="1" showErrorMessage="1" errorTitle="eee" sqref="D56">
      <formula1>OR(D56=0, D56&lt;50)</formula1>
    </dataValidation>
    <dataValidation type="custom" operator="greaterThan" showInputMessage="1" showErrorMessage="1" errorTitle="eee" sqref="D57:D61">
      <formula1>OR(D57=0, D57&lt;0)</formula1>
    </dataValidation>
    <dataValidation type="custom" operator="greaterThan" showInputMessage="1" showErrorMessage="1" errorTitle="eee" sqref="G7:G140 D62:D155 G152:G164 G166:G181 G144:G150 D13:D55">
      <formula1>OR(D7=0, D7&gt;50)</formula1>
    </dataValidation>
    <dataValidation type="whole" allowBlank="1" showErrorMessage="1" errorTitle="Error de datos" error="Debe ingresar un valor entre 1 y 12" sqref="G1:G3">
      <formula1>1</formula1>
      <formula2>12</formula2>
    </dataValidation>
    <dataValidation allowBlank="1" errorTitle="Error de datos" error="Debe introducir una fecha válida" sqref="E3"/>
    <dataValidation allowBlank="1" sqref="G204"/>
    <dataValidation operator="greaterThanOrEqual" allowBlank="1" errorTitle="Error de datos" error="Debe ingresar un valor entero positivo" sqref="F6:F107 F203 C13:C47 C106:C153 F171 F174:F178 F180 F111:F119 C7:C10 F121:F140 F143:F169 C49:C62 C155 F109"/>
    <dataValidation type="custom" operator="greaterThan" showInputMessage="1" showErrorMessage="1" errorTitle="rdm2" error="No se admite ingresar a la vez RDM como ingresos y como egresos. Tampoco se admiten valores negattivos o positivos menores de 50" sqref="G165">
      <formula1>AND(OR(G165=0, G165&gt;50),G151=0)</formula1>
    </dataValidation>
  </dataValidations>
  <pageMargins left="0.7" right="0.7" top="0.75" bottom="0.75" header="0.3" footer="0.3"/>
  <ignoredErrors>
    <ignoredError sqref="E7:E181" numberStoredAsText="1"/>
    <ignoredError sqref="G10" unlockedFormula="1"/>
  </ignoredErrors>
  <legacy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26"/>
  <sheetViews>
    <sheetView showGridLines="0" workbookViewId="0">
      <selection activeCell="F4" sqref="F4"/>
    </sheetView>
  </sheetViews>
  <sheetFormatPr baseColWidth="10" defaultColWidth="0" defaultRowHeight="15" zeroHeight="1" x14ac:dyDescent="0.25"/>
  <cols>
    <col min="1" max="1" width="3.7109375" style="1" customWidth="1"/>
    <col min="2" max="2" width="14.28515625" style="7" hidden="1" customWidth="1"/>
    <col min="3" max="3" width="58.42578125" style="58" customWidth="1"/>
    <col min="4" max="4" width="25.140625" style="58" customWidth="1"/>
    <col min="5" max="5" width="5.85546875" style="82" customWidth="1"/>
    <col min="6" max="6" width="57.28515625" style="58" customWidth="1"/>
    <col min="7" max="7" width="24.7109375" style="58" customWidth="1"/>
    <col min="8" max="8" width="5.42578125" style="5" customWidth="1"/>
    <col min="9" max="16384" width="0" style="5" hidden="1"/>
  </cols>
  <sheetData>
    <row r="1" spans="1:9" ht="15.75" x14ac:dyDescent="0.25">
      <c r="B1" s="2"/>
      <c r="C1" s="313" t="s">
        <v>0</v>
      </c>
      <c r="D1" s="314"/>
      <c r="E1" s="315" t="str">
        <f>[22]Presentacion!C2</f>
        <v>AMECOM</v>
      </c>
      <c r="F1" s="315"/>
      <c r="G1" s="3"/>
      <c r="H1" s="4"/>
    </row>
    <row r="2" spans="1:9" ht="15.75" x14ac:dyDescent="0.25">
      <c r="B2" s="6"/>
      <c r="C2" s="313" t="s">
        <v>1</v>
      </c>
      <c r="D2" s="314"/>
      <c r="E2" s="315" t="str">
        <f>[22]Presentacion!C3</f>
        <v>Maldonado</v>
      </c>
      <c r="F2" s="315"/>
      <c r="G2" s="3"/>
      <c r="H2" s="4"/>
    </row>
    <row r="3" spans="1:9" ht="15.75" x14ac:dyDescent="0.25">
      <c r="B3" s="6"/>
      <c r="C3" s="313" t="s">
        <v>2</v>
      </c>
      <c r="D3" s="316"/>
      <c r="E3" s="317" t="s">
        <v>3</v>
      </c>
      <c r="F3" s="317"/>
      <c r="G3" s="3"/>
      <c r="H3" s="4"/>
    </row>
    <row r="4" spans="1:9" ht="15.75" thickBot="1" x14ac:dyDescent="0.3">
      <c r="C4" s="287"/>
      <c r="D4" s="8"/>
      <c r="E4" s="9"/>
      <c r="F4" s="10"/>
      <c r="G4" s="11"/>
    </row>
    <row r="5" spans="1:9" ht="16.5" thickBot="1" x14ac:dyDescent="0.3">
      <c r="B5" s="12"/>
      <c r="C5" s="13" t="s">
        <v>4</v>
      </c>
      <c r="D5" s="284" t="s">
        <v>5</v>
      </c>
      <c r="E5" s="14"/>
      <c r="F5" s="13" t="s">
        <v>6</v>
      </c>
      <c r="G5" s="284" t="s">
        <v>5</v>
      </c>
      <c r="I5" s="15"/>
    </row>
    <row r="6" spans="1:9" ht="16.5" thickBot="1" x14ac:dyDescent="0.3">
      <c r="B6" s="12"/>
      <c r="C6" s="16" t="s">
        <v>7</v>
      </c>
      <c r="D6" s="290">
        <f>+[22]E.S.P.!D6</f>
        <v>2020</v>
      </c>
      <c r="E6" s="18"/>
      <c r="F6" s="16" t="s">
        <v>8</v>
      </c>
      <c r="G6" s="290">
        <f>+D6</f>
        <v>2020</v>
      </c>
      <c r="H6" s="15"/>
    </row>
    <row r="7" spans="1:9" x14ac:dyDescent="0.25">
      <c r="B7" s="6" t="s">
        <v>9</v>
      </c>
      <c r="C7" s="19" t="s">
        <v>10</v>
      </c>
      <c r="D7" s="20">
        <v>82529339</v>
      </c>
      <c r="E7" s="21" t="s">
        <v>11</v>
      </c>
      <c r="F7" s="22" t="s">
        <v>12</v>
      </c>
      <c r="G7" s="23">
        <v>2599607.5099999998</v>
      </c>
    </row>
    <row r="8" spans="1:9" x14ac:dyDescent="0.25">
      <c r="B8" s="6" t="s">
        <v>13</v>
      </c>
      <c r="C8" s="19" t="s">
        <v>14</v>
      </c>
      <c r="D8" s="20">
        <v>122296897</v>
      </c>
      <c r="E8" s="21" t="s">
        <v>15</v>
      </c>
      <c r="F8" s="19" t="s">
        <v>16</v>
      </c>
      <c r="G8" s="24">
        <v>232327943</v>
      </c>
    </row>
    <row r="9" spans="1:9" x14ac:dyDescent="0.25">
      <c r="B9" s="6" t="s">
        <v>17</v>
      </c>
      <c r="C9" s="19" t="s">
        <v>18</v>
      </c>
      <c r="D9" s="20">
        <v>2215064924</v>
      </c>
      <c r="E9" s="21" t="s">
        <v>19</v>
      </c>
      <c r="F9" s="19" t="s">
        <v>20</v>
      </c>
      <c r="G9" s="20">
        <v>57221627</v>
      </c>
    </row>
    <row r="10" spans="1:9" x14ac:dyDescent="0.25">
      <c r="B10" s="6" t="s">
        <v>21</v>
      </c>
      <c r="C10" s="19" t="s">
        <v>22</v>
      </c>
      <c r="D10" s="20">
        <v>236918135</v>
      </c>
      <c r="E10" s="21" t="s">
        <v>23</v>
      </c>
      <c r="F10" s="19" t="s">
        <v>24</v>
      </c>
      <c r="G10" s="20">
        <f>525821276+28525163</f>
        <v>554346439</v>
      </c>
    </row>
    <row r="11" spans="1:9" x14ac:dyDescent="0.25">
      <c r="B11" s="6" t="s">
        <v>25</v>
      </c>
      <c r="C11" s="19" t="s">
        <v>26</v>
      </c>
      <c r="D11" s="20">
        <v>44446911</v>
      </c>
      <c r="E11" s="21" t="s">
        <v>27</v>
      </c>
      <c r="F11" s="19" t="s">
        <v>28</v>
      </c>
      <c r="G11" s="20">
        <v>65654832</v>
      </c>
    </row>
    <row r="12" spans="1:9" x14ac:dyDescent="0.25">
      <c r="B12" s="6" t="s">
        <v>29</v>
      </c>
      <c r="C12" s="19" t="s">
        <v>30</v>
      </c>
      <c r="D12" s="20">
        <v>75553485</v>
      </c>
      <c r="E12" s="21" t="s">
        <v>31</v>
      </c>
      <c r="F12" s="19" t="s">
        <v>32</v>
      </c>
      <c r="G12" s="20">
        <v>135663404</v>
      </c>
    </row>
    <row r="13" spans="1:9" x14ac:dyDescent="0.25">
      <c r="B13" s="6" t="s">
        <v>33</v>
      </c>
      <c r="C13" s="19" t="s">
        <v>34</v>
      </c>
      <c r="D13" s="20">
        <v>4024348</v>
      </c>
      <c r="E13" s="21" t="s">
        <v>35</v>
      </c>
      <c r="F13" s="19" t="s">
        <v>36</v>
      </c>
      <c r="G13" s="20">
        <v>61042327</v>
      </c>
    </row>
    <row r="14" spans="1:9" x14ac:dyDescent="0.25">
      <c r="A14" s="25"/>
      <c r="B14" s="6" t="s">
        <v>37</v>
      </c>
      <c r="C14" s="19" t="s">
        <v>38</v>
      </c>
      <c r="D14" s="20">
        <f>9300403+54204170+2309257+12478972+20387489</f>
        <v>98680291</v>
      </c>
      <c r="E14" s="21" t="s">
        <v>39</v>
      </c>
      <c r="F14" s="19" t="s">
        <v>40</v>
      </c>
      <c r="G14" s="20">
        <f>496176395+24500323</f>
        <v>520676718</v>
      </c>
    </row>
    <row r="15" spans="1:9" x14ac:dyDescent="0.25">
      <c r="B15" s="6" t="s">
        <v>41</v>
      </c>
      <c r="C15" s="26" t="s">
        <v>42</v>
      </c>
      <c r="D15" s="20">
        <v>1478182</v>
      </c>
      <c r="E15" s="21" t="s">
        <v>43</v>
      </c>
      <c r="F15" s="19" t="s">
        <v>44</v>
      </c>
      <c r="G15" s="20">
        <f>217908104+20892288</f>
        <v>238800392</v>
      </c>
    </row>
    <row r="16" spans="1:9" x14ac:dyDescent="0.25">
      <c r="B16" s="6" t="s">
        <v>45</v>
      </c>
      <c r="C16" s="19" t="s">
        <v>46</v>
      </c>
      <c r="D16" s="20"/>
      <c r="E16" s="21" t="s">
        <v>47</v>
      </c>
      <c r="F16" s="19" t="s">
        <v>48</v>
      </c>
      <c r="G16" s="20">
        <f>38379290+40278820</f>
        <v>78658110</v>
      </c>
    </row>
    <row r="17" spans="1:7" x14ac:dyDescent="0.25">
      <c r="B17" s="6" t="s">
        <v>49</v>
      </c>
      <c r="C17" s="19" t="s">
        <v>50</v>
      </c>
      <c r="D17" s="20">
        <v>408</v>
      </c>
      <c r="E17" s="21" t="s">
        <v>51</v>
      </c>
      <c r="F17" s="19" t="s">
        <v>52</v>
      </c>
      <c r="G17" s="20"/>
    </row>
    <row r="18" spans="1:7" x14ac:dyDescent="0.25">
      <c r="A18" s="25"/>
      <c r="B18" s="6" t="s">
        <v>53</v>
      </c>
      <c r="C18" s="19" t="s">
        <v>54</v>
      </c>
      <c r="D18" s="20">
        <v>124676432</v>
      </c>
      <c r="E18" s="21" t="s">
        <v>55</v>
      </c>
      <c r="F18" s="19" t="s">
        <v>56</v>
      </c>
      <c r="G18" s="27">
        <v>82762958</v>
      </c>
    </row>
    <row r="19" spans="1:7" ht="15.75" thickBot="1" x14ac:dyDescent="0.3">
      <c r="A19" s="25"/>
      <c r="B19" s="6" t="s">
        <v>57</v>
      </c>
      <c r="C19" s="19" t="s">
        <v>58</v>
      </c>
      <c r="D19" s="20">
        <f>122888207+5063328</f>
        <v>127951535</v>
      </c>
      <c r="E19" s="21"/>
      <c r="F19" s="28" t="s">
        <v>59</v>
      </c>
      <c r="G19" s="29">
        <f>SUM(G7:G18)</f>
        <v>2029754357.51</v>
      </c>
    </row>
    <row r="20" spans="1:7" ht="15.75" thickBot="1" x14ac:dyDescent="0.3">
      <c r="B20" s="6"/>
      <c r="C20" s="28" t="s">
        <v>60</v>
      </c>
      <c r="D20" s="29">
        <f>SUM(D7:D19)</f>
        <v>3133620887</v>
      </c>
      <c r="E20" s="21" t="s">
        <v>61</v>
      </c>
      <c r="F20" s="22" t="s">
        <v>62</v>
      </c>
      <c r="G20" s="23">
        <v>175326</v>
      </c>
    </row>
    <row r="21" spans="1:7" x14ac:dyDescent="0.25">
      <c r="B21" s="6"/>
      <c r="C21" s="30" t="s">
        <v>63</v>
      </c>
      <c r="D21" s="31">
        <f>SUM(D22:D28)</f>
        <v>39762933</v>
      </c>
      <c r="E21" s="21" t="s">
        <v>64</v>
      </c>
      <c r="F21" s="19" t="s">
        <v>65</v>
      </c>
      <c r="G21" s="20">
        <f>56217701+5259215</f>
        <v>61476916</v>
      </c>
    </row>
    <row r="22" spans="1:7" x14ac:dyDescent="0.25">
      <c r="B22" s="6" t="s">
        <v>66</v>
      </c>
      <c r="C22" s="19" t="s">
        <v>67</v>
      </c>
      <c r="D22" s="20">
        <v>16160592</v>
      </c>
      <c r="E22" s="21" t="s">
        <v>68</v>
      </c>
      <c r="F22" s="19" t="s">
        <v>69</v>
      </c>
      <c r="G22" s="20">
        <v>8103532</v>
      </c>
    </row>
    <row r="23" spans="1:7" x14ac:dyDescent="0.25">
      <c r="B23" s="6" t="s">
        <v>70</v>
      </c>
      <c r="C23" s="19" t="s">
        <v>71</v>
      </c>
      <c r="D23" s="20">
        <v>4171472</v>
      </c>
      <c r="E23" s="21" t="s">
        <v>72</v>
      </c>
      <c r="F23" s="19" t="s">
        <v>73</v>
      </c>
      <c r="G23" s="20">
        <v>30778663</v>
      </c>
    </row>
    <row r="24" spans="1:7" x14ac:dyDescent="0.25">
      <c r="B24" s="6" t="s">
        <v>74</v>
      </c>
      <c r="C24" s="19" t="s">
        <v>75</v>
      </c>
      <c r="D24" s="20">
        <v>13080381</v>
      </c>
      <c r="E24" s="21" t="s">
        <v>76</v>
      </c>
      <c r="F24" s="19" t="s">
        <v>77</v>
      </c>
      <c r="G24" s="20"/>
    </row>
    <row r="25" spans="1:7" x14ac:dyDescent="0.25">
      <c r="B25" s="6" t="s">
        <v>78</v>
      </c>
      <c r="C25" s="19" t="s">
        <v>79</v>
      </c>
      <c r="D25" s="20">
        <v>3905774</v>
      </c>
      <c r="E25" s="21" t="s">
        <v>80</v>
      </c>
      <c r="F25" s="19" t="s">
        <v>81</v>
      </c>
      <c r="G25" s="20">
        <v>10556569</v>
      </c>
    </row>
    <row r="26" spans="1:7" x14ac:dyDescent="0.25">
      <c r="B26" s="6" t="s">
        <v>82</v>
      </c>
      <c r="C26" s="19" t="s">
        <v>83</v>
      </c>
      <c r="D26" s="20">
        <v>724805</v>
      </c>
      <c r="E26" s="21" t="s">
        <v>84</v>
      </c>
      <c r="F26" s="19" t="s">
        <v>85</v>
      </c>
      <c r="G26" s="27">
        <v>4838408</v>
      </c>
    </row>
    <row r="27" spans="1:7" ht="15.75" thickBot="1" x14ac:dyDescent="0.3">
      <c r="B27" s="6" t="s">
        <v>86</v>
      </c>
      <c r="C27" s="19" t="s">
        <v>87</v>
      </c>
      <c r="D27" s="20"/>
      <c r="E27" s="21"/>
      <c r="F27" s="28" t="s">
        <v>88</v>
      </c>
      <c r="G27" s="29">
        <f>SUM(G20:G26)</f>
        <v>115929414</v>
      </c>
    </row>
    <row r="28" spans="1:7" x14ac:dyDescent="0.25">
      <c r="B28" s="6" t="s">
        <v>89</v>
      </c>
      <c r="C28" s="19" t="s">
        <v>90</v>
      </c>
      <c r="D28" s="20">
        <v>1719909</v>
      </c>
      <c r="E28" s="21" t="s">
        <v>91</v>
      </c>
      <c r="F28" s="22" t="s">
        <v>92</v>
      </c>
      <c r="G28" s="23"/>
    </row>
    <row r="29" spans="1:7" x14ac:dyDescent="0.25">
      <c r="B29" s="6"/>
      <c r="C29" s="32" t="s">
        <v>93</v>
      </c>
      <c r="D29" s="31">
        <f>SUM(D30:D34)</f>
        <v>198961923</v>
      </c>
      <c r="E29" s="21" t="s">
        <v>94</v>
      </c>
      <c r="F29" s="19" t="s">
        <v>95</v>
      </c>
      <c r="G29" s="20"/>
    </row>
    <row r="30" spans="1:7" x14ac:dyDescent="0.25">
      <c r="B30" s="6" t="s">
        <v>96</v>
      </c>
      <c r="C30" s="19" t="s">
        <v>97</v>
      </c>
      <c r="D30" s="20">
        <v>159026666</v>
      </c>
      <c r="E30" s="21" t="s">
        <v>98</v>
      </c>
      <c r="F30" s="19" t="s">
        <v>99</v>
      </c>
      <c r="G30" s="20">
        <v>292229056</v>
      </c>
    </row>
    <row r="31" spans="1:7" x14ac:dyDescent="0.25">
      <c r="B31" s="6" t="s">
        <v>100</v>
      </c>
      <c r="C31" s="19" t="s">
        <v>101</v>
      </c>
      <c r="D31" s="20">
        <v>10145661</v>
      </c>
      <c r="E31" s="21" t="s">
        <v>102</v>
      </c>
      <c r="F31" s="19" t="s">
        <v>103</v>
      </c>
      <c r="G31" s="27">
        <v>12097580</v>
      </c>
    </row>
    <row r="32" spans="1:7" ht="15.75" thickBot="1" x14ac:dyDescent="0.3">
      <c r="B32" s="6" t="s">
        <v>104</v>
      </c>
      <c r="C32" s="19" t="s">
        <v>105</v>
      </c>
      <c r="D32" s="20">
        <v>14517366</v>
      </c>
      <c r="E32" s="21"/>
      <c r="F32" s="28" t="s">
        <v>106</v>
      </c>
      <c r="G32" s="29">
        <f>SUM(G28:G31)</f>
        <v>304326636</v>
      </c>
    </row>
    <row r="33" spans="2:7" x14ac:dyDescent="0.25">
      <c r="B33" s="6" t="s">
        <v>107</v>
      </c>
      <c r="C33" s="19" t="s">
        <v>108</v>
      </c>
      <c r="D33" s="20">
        <v>7225122</v>
      </c>
      <c r="E33" s="21"/>
      <c r="F33" s="32" t="s">
        <v>109</v>
      </c>
      <c r="G33" s="31">
        <f>SUM(G34:G39)</f>
        <v>231144238</v>
      </c>
    </row>
    <row r="34" spans="2:7" x14ac:dyDescent="0.25">
      <c r="B34" s="6" t="s">
        <v>110</v>
      </c>
      <c r="C34" s="19" t="s">
        <v>111</v>
      </c>
      <c r="D34" s="20">
        <v>8047108</v>
      </c>
      <c r="E34" s="21" t="s">
        <v>112</v>
      </c>
      <c r="F34" s="19" t="s">
        <v>113</v>
      </c>
      <c r="G34" s="20">
        <v>1907759</v>
      </c>
    </row>
    <row r="35" spans="2:7" ht="15.75" thickBot="1" x14ac:dyDescent="0.3">
      <c r="B35" s="6"/>
      <c r="C35" s="28" t="s">
        <v>114</v>
      </c>
      <c r="D35" s="29">
        <f>+D21+D29</f>
        <v>238724856</v>
      </c>
      <c r="E35" s="21" t="s">
        <v>115</v>
      </c>
      <c r="F35" s="19" t="s">
        <v>116</v>
      </c>
      <c r="G35" s="20">
        <v>13133808</v>
      </c>
    </row>
    <row r="36" spans="2:7" x14ac:dyDescent="0.25">
      <c r="B36" s="6" t="s">
        <v>117</v>
      </c>
      <c r="C36" s="19" t="s">
        <v>118</v>
      </c>
      <c r="D36" s="20">
        <v>45167035</v>
      </c>
      <c r="E36" s="21" t="s">
        <v>119</v>
      </c>
      <c r="F36" s="19" t="s">
        <v>120</v>
      </c>
      <c r="G36" s="20">
        <v>5854375</v>
      </c>
    </row>
    <row r="37" spans="2:7" x14ac:dyDescent="0.25">
      <c r="B37" s="6" t="s">
        <v>121</v>
      </c>
      <c r="C37" s="19" t="s">
        <v>122</v>
      </c>
      <c r="D37" s="20">
        <v>23936381</v>
      </c>
      <c r="E37" s="21" t="s">
        <v>123</v>
      </c>
      <c r="F37" s="19" t="s">
        <v>124</v>
      </c>
      <c r="G37" s="20">
        <v>14433517</v>
      </c>
    </row>
    <row r="38" spans="2:7" x14ac:dyDescent="0.25">
      <c r="B38" s="6" t="s">
        <v>125</v>
      </c>
      <c r="C38" s="19" t="s">
        <v>126</v>
      </c>
      <c r="D38" s="20">
        <v>21138009</v>
      </c>
      <c r="E38" s="21" t="s">
        <v>127</v>
      </c>
      <c r="F38" s="19" t="s">
        <v>128</v>
      </c>
      <c r="G38" s="20">
        <v>27683438</v>
      </c>
    </row>
    <row r="39" spans="2:7" x14ac:dyDescent="0.25">
      <c r="B39" s="6" t="s">
        <v>129</v>
      </c>
      <c r="C39" s="19" t="s">
        <v>130</v>
      </c>
      <c r="D39" s="20">
        <v>27990370</v>
      </c>
      <c r="E39" s="21" t="s">
        <v>131</v>
      </c>
      <c r="F39" s="19" t="s">
        <v>132</v>
      </c>
      <c r="G39" s="20">
        <f>15873430+14350494+137907417</f>
        <v>168131341</v>
      </c>
    </row>
    <row r="40" spans="2:7" x14ac:dyDescent="0.25">
      <c r="B40" s="6" t="s">
        <v>133</v>
      </c>
      <c r="C40" s="19" t="s">
        <v>134</v>
      </c>
      <c r="D40" s="20">
        <v>4906109</v>
      </c>
      <c r="E40" s="21"/>
      <c r="F40" s="33" t="s">
        <v>135</v>
      </c>
      <c r="G40" s="34">
        <f>SUM(G41:G46)</f>
        <v>21730193</v>
      </c>
    </row>
    <row r="41" spans="2:7" x14ac:dyDescent="0.25">
      <c r="B41" s="6" t="s">
        <v>136</v>
      </c>
      <c r="C41" s="19" t="s">
        <v>137</v>
      </c>
      <c r="D41" s="20">
        <f>35304607+918366</f>
        <v>36222973</v>
      </c>
      <c r="E41" s="21" t="s">
        <v>138</v>
      </c>
      <c r="F41" s="19" t="s">
        <v>139</v>
      </c>
      <c r="G41" s="20">
        <v>272678</v>
      </c>
    </row>
    <row r="42" spans="2:7" x14ac:dyDescent="0.25">
      <c r="B42" s="6" t="s">
        <v>140</v>
      </c>
      <c r="C42" s="19" t="s">
        <v>141</v>
      </c>
      <c r="D42" s="20">
        <f>2252835+3433491+768567+132573396+1855939</f>
        <v>140884228</v>
      </c>
      <c r="E42" s="21" t="s">
        <v>142</v>
      </c>
      <c r="F42" s="19" t="s">
        <v>143</v>
      </c>
      <c r="G42" s="20">
        <v>183540</v>
      </c>
    </row>
    <row r="43" spans="2:7" x14ac:dyDescent="0.25">
      <c r="B43" s="6" t="s">
        <v>144</v>
      </c>
      <c r="C43" s="19" t="s">
        <v>145</v>
      </c>
      <c r="D43" s="20"/>
      <c r="E43" s="21" t="s">
        <v>146</v>
      </c>
      <c r="F43" s="19" t="s">
        <v>147</v>
      </c>
      <c r="G43" s="20">
        <v>4302177</v>
      </c>
    </row>
    <row r="44" spans="2:7" x14ac:dyDescent="0.25">
      <c r="B44" s="6" t="s">
        <v>148</v>
      </c>
      <c r="C44" s="19" t="s">
        <v>149</v>
      </c>
      <c r="D44" s="20"/>
      <c r="E44" s="21" t="s">
        <v>150</v>
      </c>
      <c r="F44" s="19" t="s">
        <v>151</v>
      </c>
      <c r="G44" s="20">
        <v>2498289</v>
      </c>
    </row>
    <row r="45" spans="2:7" x14ac:dyDescent="0.25">
      <c r="B45" s="6" t="s">
        <v>152</v>
      </c>
      <c r="C45" s="19" t="s">
        <v>153</v>
      </c>
      <c r="D45" s="20">
        <f>943105+1886+172693+5712502+41108139+2701671+55937.26+1797441</f>
        <v>52493374.259999998</v>
      </c>
      <c r="E45" s="21" t="s">
        <v>154</v>
      </c>
      <c r="F45" s="19" t="s">
        <v>155</v>
      </c>
      <c r="G45" s="20">
        <v>992992</v>
      </c>
    </row>
    <row r="46" spans="2:7" x14ac:dyDescent="0.25">
      <c r="B46" s="6" t="s">
        <v>156</v>
      </c>
      <c r="C46" s="19" t="s">
        <v>157</v>
      </c>
      <c r="D46" s="20">
        <f>13735174+90680</f>
        <v>13825854</v>
      </c>
      <c r="E46" s="21" t="s">
        <v>158</v>
      </c>
      <c r="F46" s="19" t="s">
        <v>159</v>
      </c>
      <c r="G46" s="20">
        <v>13480517</v>
      </c>
    </row>
    <row r="47" spans="2:7" ht="15.75" thickBot="1" x14ac:dyDescent="0.3">
      <c r="B47" s="6"/>
      <c r="C47" s="28" t="s">
        <v>160</v>
      </c>
      <c r="D47" s="29">
        <f>SUM(D36:D46)</f>
        <v>366564333.25999999</v>
      </c>
      <c r="E47" s="21" t="s">
        <v>161</v>
      </c>
      <c r="F47" s="19" t="s">
        <v>162</v>
      </c>
      <c r="G47" s="27">
        <f>9307953+878278</f>
        <v>10186231</v>
      </c>
    </row>
    <row r="48" spans="2:7" ht="15.75" thickBot="1" x14ac:dyDescent="0.3">
      <c r="B48" s="6"/>
      <c r="C48" s="35" t="s">
        <v>163</v>
      </c>
      <c r="D48" s="36"/>
      <c r="E48" s="21"/>
      <c r="F48" s="28" t="s">
        <v>164</v>
      </c>
      <c r="G48" s="37">
        <f>+G33+G40+G47</f>
        <v>263060662</v>
      </c>
    </row>
    <row r="49" spans="2:7" x14ac:dyDescent="0.25">
      <c r="B49" s="6" t="s">
        <v>165</v>
      </c>
      <c r="C49" s="38" t="s">
        <v>166</v>
      </c>
      <c r="D49" s="39"/>
      <c r="E49" s="21" t="s">
        <v>167</v>
      </c>
      <c r="F49" s="22" t="s">
        <v>168</v>
      </c>
      <c r="G49" s="23"/>
    </row>
    <row r="50" spans="2:7" x14ac:dyDescent="0.25">
      <c r="B50" s="6" t="s">
        <v>169</v>
      </c>
      <c r="C50" s="19" t="s">
        <v>163</v>
      </c>
      <c r="D50" s="20"/>
      <c r="E50" s="21" t="s">
        <v>170</v>
      </c>
      <c r="F50" s="19" t="s">
        <v>171</v>
      </c>
      <c r="G50" s="20">
        <f>114828532+38404294+10155411</f>
        <v>163388237</v>
      </c>
    </row>
    <row r="51" spans="2:7" x14ac:dyDescent="0.25">
      <c r="B51" s="6" t="s">
        <v>172</v>
      </c>
      <c r="C51" s="19" t="s">
        <v>173</v>
      </c>
      <c r="D51" s="27"/>
      <c r="E51" s="21" t="s">
        <v>174</v>
      </c>
      <c r="F51" s="19" t="s">
        <v>175</v>
      </c>
      <c r="G51" s="20"/>
    </row>
    <row r="52" spans="2:7" ht="15.75" thickBot="1" x14ac:dyDescent="0.3">
      <c r="B52" s="12"/>
      <c r="C52" s="28" t="s">
        <v>176</v>
      </c>
      <c r="D52" s="29">
        <f>SUM(D49:D51)</f>
        <v>0</v>
      </c>
      <c r="E52" s="21" t="s">
        <v>177</v>
      </c>
      <c r="F52" s="19" t="s">
        <v>178</v>
      </c>
      <c r="G52" s="20"/>
    </row>
    <row r="53" spans="2:7" ht="15.75" thickBot="1" x14ac:dyDescent="0.3">
      <c r="B53" s="6"/>
      <c r="C53" s="40" t="s">
        <v>179</v>
      </c>
      <c r="D53" s="41">
        <f>D20+D35+D47+D52</f>
        <v>3738910076.2600002</v>
      </c>
      <c r="E53" s="21" t="s">
        <v>180</v>
      </c>
      <c r="F53" s="19" t="s">
        <v>181</v>
      </c>
      <c r="G53" s="20">
        <f>41267677+1870695</f>
        <v>43138372</v>
      </c>
    </row>
    <row r="54" spans="2:7" x14ac:dyDescent="0.25">
      <c r="C54" s="42"/>
      <c r="D54" s="43"/>
      <c r="E54" s="21" t="s">
        <v>182</v>
      </c>
      <c r="F54" s="19" t="s">
        <v>183</v>
      </c>
      <c r="G54" s="20">
        <f>4528807+947500+82509</f>
        <v>5558816</v>
      </c>
    </row>
    <row r="55" spans="2:7" x14ac:dyDescent="0.25">
      <c r="C55" s="44" t="s">
        <v>184</v>
      </c>
      <c r="D55" s="45"/>
      <c r="E55" s="21" t="s">
        <v>185</v>
      </c>
      <c r="F55" s="19" t="s">
        <v>186</v>
      </c>
      <c r="G55" s="20">
        <f>1023831+14246632-5334867+-5229355</f>
        <v>4706241</v>
      </c>
    </row>
    <row r="56" spans="2:7" x14ac:dyDescent="0.25">
      <c r="B56" s="6" t="s">
        <v>187</v>
      </c>
      <c r="C56" s="46" t="s">
        <v>188</v>
      </c>
      <c r="D56" s="20">
        <v>-22337481</v>
      </c>
      <c r="E56" s="21" t="s">
        <v>189</v>
      </c>
      <c r="F56" s="19" t="s">
        <v>190</v>
      </c>
      <c r="G56" s="27">
        <f>8566951-197791.43</f>
        <v>8369159.5700000003</v>
      </c>
    </row>
    <row r="57" spans="2:7" ht="15.75" thickBot="1" x14ac:dyDescent="0.3">
      <c r="B57" s="6" t="s">
        <v>191</v>
      </c>
      <c r="C57" s="46" t="s">
        <v>192</v>
      </c>
      <c r="D57" s="20"/>
      <c r="E57" s="21"/>
      <c r="F57" s="28" t="s">
        <v>193</v>
      </c>
      <c r="G57" s="29">
        <f>SUM(G49:G56)</f>
        <v>225160825.56999999</v>
      </c>
    </row>
    <row r="58" spans="2:7" x14ac:dyDescent="0.25">
      <c r="B58" s="6" t="s">
        <v>194</v>
      </c>
      <c r="C58" s="46" t="s">
        <v>195</v>
      </c>
      <c r="D58" s="20"/>
      <c r="E58" s="21" t="s">
        <v>196</v>
      </c>
      <c r="F58" s="22" t="s">
        <v>197</v>
      </c>
      <c r="G58" s="23"/>
    </row>
    <row r="59" spans="2:7" x14ac:dyDescent="0.25">
      <c r="B59" s="6" t="s">
        <v>198</v>
      </c>
      <c r="C59" s="19" t="s">
        <v>199</v>
      </c>
      <c r="D59" s="27">
        <v>-912839</v>
      </c>
      <c r="E59" s="21" t="s">
        <v>200</v>
      </c>
      <c r="F59" s="19" t="s">
        <v>201</v>
      </c>
      <c r="G59" s="20">
        <v>12575695</v>
      </c>
    </row>
    <row r="60" spans="2:7" ht="15.75" thickBot="1" x14ac:dyDescent="0.3">
      <c r="B60" s="6"/>
      <c r="C60" s="28" t="s">
        <v>202</v>
      </c>
      <c r="D60" s="29">
        <f>SUM(D56:D59)</f>
        <v>-23250320</v>
      </c>
      <c r="E60" s="21" t="s">
        <v>203</v>
      </c>
      <c r="F60" s="19" t="s">
        <v>204</v>
      </c>
      <c r="G60" s="20">
        <v>19722</v>
      </c>
    </row>
    <row r="61" spans="2:7" ht="16.5" thickBot="1" x14ac:dyDescent="0.3">
      <c r="B61" s="47"/>
      <c r="C61" s="48" t="s">
        <v>205</v>
      </c>
      <c r="D61" s="49">
        <f>D53+D60</f>
        <v>3715659756.2600002</v>
      </c>
      <c r="E61" s="21" t="s">
        <v>206</v>
      </c>
      <c r="F61" s="19" t="s">
        <v>207</v>
      </c>
      <c r="G61" s="20"/>
    </row>
    <row r="62" spans="2:7" x14ac:dyDescent="0.25">
      <c r="B62" s="50"/>
      <c r="C62" s="51"/>
      <c r="D62" s="51"/>
      <c r="E62" s="21" t="s">
        <v>208</v>
      </c>
      <c r="F62" s="19" t="s">
        <v>209</v>
      </c>
      <c r="G62" s="20"/>
    </row>
    <row r="63" spans="2:7" x14ac:dyDescent="0.25">
      <c r="B63" s="52"/>
      <c r="C63" s="53" t="s">
        <v>8</v>
      </c>
      <c r="D63" s="53"/>
      <c r="E63" s="21" t="s">
        <v>210</v>
      </c>
      <c r="F63" s="19" t="s">
        <v>211</v>
      </c>
      <c r="G63" s="20">
        <f>542915+55734272+4</f>
        <v>56277191</v>
      </c>
    </row>
    <row r="64" spans="2:7" x14ac:dyDescent="0.25">
      <c r="B64" s="54" t="s">
        <v>212</v>
      </c>
      <c r="C64" s="55" t="s">
        <v>213</v>
      </c>
      <c r="D64" s="55">
        <f>[22]Amortizaciones!D6</f>
        <v>53992379</v>
      </c>
      <c r="E64" s="21" t="s">
        <v>214</v>
      </c>
      <c r="F64" s="19" t="s">
        <v>215</v>
      </c>
      <c r="G64" s="20"/>
    </row>
    <row r="65" spans="2:7" x14ac:dyDescent="0.25">
      <c r="B65" s="54" t="s">
        <v>216</v>
      </c>
      <c r="C65" s="55" t="s">
        <v>217</v>
      </c>
      <c r="D65" s="55">
        <f>[22]Amortizaciones!D7</f>
        <v>0</v>
      </c>
      <c r="E65" s="21" t="s">
        <v>218</v>
      </c>
      <c r="F65" s="19" t="s">
        <v>219</v>
      </c>
      <c r="G65" s="20"/>
    </row>
    <row r="66" spans="2:7" x14ac:dyDescent="0.25">
      <c r="B66" s="54" t="s">
        <v>220</v>
      </c>
      <c r="C66" s="55" t="s">
        <v>221</v>
      </c>
      <c r="D66" s="55">
        <f>[22]Amortizaciones!D8</f>
        <v>26424559</v>
      </c>
      <c r="E66" s="21" t="s">
        <v>222</v>
      </c>
      <c r="F66" s="19" t="s">
        <v>223</v>
      </c>
      <c r="G66" s="20">
        <v>506131</v>
      </c>
    </row>
    <row r="67" spans="2:7" x14ac:dyDescent="0.25">
      <c r="B67" s="54" t="s">
        <v>224</v>
      </c>
      <c r="C67" s="55" t="s">
        <v>225</v>
      </c>
      <c r="D67" s="55">
        <f>[22]Amortizaciones!D9</f>
        <v>0</v>
      </c>
      <c r="E67" s="21" t="s">
        <v>226</v>
      </c>
      <c r="F67" s="19" t="s">
        <v>227</v>
      </c>
      <c r="G67" s="20">
        <v>621205</v>
      </c>
    </row>
    <row r="68" spans="2:7" x14ac:dyDescent="0.25">
      <c r="B68" s="54" t="s">
        <v>228</v>
      </c>
      <c r="C68" s="55" t="s">
        <v>229</v>
      </c>
      <c r="D68" s="55">
        <f>[22]Amortizaciones!D10</f>
        <v>895923</v>
      </c>
      <c r="E68" s="21" t="s">
        <v>230</v>
      </c>
      <c r="F68" s="19" t="s">
        <v>231</v>
      </c>
      <c r="G68" s="20"/>
    </row>
    <row r="69" spans="2:7" x14ac:dyDescent="0.25">
      <c r="B69" s="54" t="s">
        <v>232</v>
      </c>
      <c r="C69" s="55" t="s">
        <v>233</v>
      </c>
      <c r="D69" s="55">
        <f>[22]Amortizaciones!D11</f>
        <v>1974497</v>
      </c>
      <c r="E69" s="21" t="s">
        <v>234</v>
      </c>
      <c r="F69" s="19" t="s">
        <v>235</v>
      </c>
      <c r="G69" s="20"/>
    </row>
    <row r="70" spans="2:7" x14ac:dyDescent="0.25">
      <c r="B70" s="54" t="s">
        <v>236</v>
      </c>
      <c r="C70" s="55" t="s">
        <v>237</v>
      </c>
      <c r="D70" s="55">
        <f>[22]Amortizaciones!D12</f>
        <v>1650774</v>
      </c>
      <c r="E70" s="21" t="s">
        <v>238</v>
      </c>
      <c r="F70" s="19" t="s">
        <v>239</v>
      </c>
      <c r="G70" s="20"/>
    </row>
    <row r="71" spans="2:7" x14ac:dyDescent="0.25">
      <c r="B71" s="54" t="s">
        <v>240</v>
      </c>
      <c r="C71" s="55" t="s">
        <v>241</v>
      </c>
      <c r="D71" s="55">
        <f>[22]Amortizaciones!D13</f>
        <v>3378285</v>
      </c>
      <c r="E71" s="21" t="s">
        <v>242</v>
      </c>
      <c r="F71" s="19" t="s">
        <v>243</v>
      </c>
      <c r="G71" s="20">
        <v>4430411</v>
      </c>
    </row>
    <row r="72" spans="2:7" x14ac:dyDescent="0.25">
      <c r="B72" s="54" t="s">
        <v>244</v>
      </c>
      <c r="C72" s="55" t="s">
        <v>245</v>
      </c>
      <c r="D72" s="55">
        <f>[22]Amortizaciones!D14</f>
        <v>1634333</v>
      </c>
      <c r="E72" s="21" t="s">
        <v>246</v>
      </c>
      <c r="F72" s="19" t="s">
        <v>247</v>
      </c>
      <c r="G72" s="20"/>
    </row>
    <row r="73" spans="2:7" x14ac:dyDescent="0.25">
      <c r="B73" s="54" t="s">
        <v>248</v>
      </c>
      <c r="C73" s="55" t="s">
        <v>249</v>
      </c>
      <c r="D73" s="55">
        <f>[22]Amortizaciones!D15</f>
        <v>638085</v>
      </c>
      <c r="E73" s="21" t="s">
        <v>250</v>
      </c>
      <c r="F73" s="19" t="s">
        <v>251</v>
      </c>
      <c r="G73" s="20"/>
    </row>
    <row r="74" spans="2:7" x14ac:dyDescent="0.25">
      <c r="B74" s="54" t="s">
        <v>252</v>
      </c>
      <c r="C74" s="55" t="s">
        <v>253</v>
      </c>
      <c r="D74" s="55">
        <f>[22]Amortizaciones!D16</f>
        <v>1162973</v>
      </c>
      <c r="E74" s="21" t="s">
        <v>254</v>
      </c>
      <c r="F74" s="19" t="s">
        <v>255</v>
      </c>
      <c r="G74" s="20">
        <v>4329356</v>
      </c>
    </row>
    <row r="75" spans="2:7" x14ac:dyDescent="0.25">
      <c r="B75" s="54" t="s">
        <v>256</v>
      </c>
      <c r="C75" s="55" t="s">
        <v>257</v>
      </c>
      <c r="D75" s="55">
        <f>[22]Amortizaciones!D17</f>
        <v>0</v>
      </c>
      <c r="E75" s="21" t="s">
        <v>258</v>
      </c>
      <c r="F75" s="19" t="s">
        <v>259</v>
      </c>
      <c r="G75" s="20">
        <v>7293426</v>
      </c>
    </row>
    <row r="76" spans="2:7" x14ac:dyDescent="0.25">
      <c r="B76" s="54" t="s">
        <v>260</v>
      </c>
      <c r="C76" s="55" t="s">
        <v>261</v>
      </c>
      <c r="D76" s="55">
        <f>[22]Amortizaciones!D18</f>
        <v>0</v>
      </c>
      <c r="E76" s="21" t="s">
        <v>262</v>
      </c>
      <c r="F76" s="19" t="s">
        <v>263</v>
      </c>
      <c r="G76" s="20">
        <f>1029729+131050</f>
        <v>1160779</v>
      </c>
    </row>
    <row r="77" spans="2:7" x14ac:dyDescent="0.25">
      <c r="B77" s="54" t="s">
        <v>264</v>
      </c>
      <c r="C77" s="55" t="s">
        <v>265</v>
      </c>
      <c r="D77" s="55">
        <f>SUM(D64:D76)</f>
        <v>91751808</v>
      </c>
      <c r="E77" s="21" t="s">
        <v>266</v>
      </c>
      <c r="F77" s="19" t="s">
        <v>267</v>
      </c>
      <c r="G77" s="20">
        <v>37129287</v>
      </c>
    </row>
    <row r="78" spans="2:7" x14ac:dyDescent="0.25">
      <c r="B78" s="54"/>
      <c r="C78" s="55"/>
      <c r="D78" s="55"/>
      <c r="E78" s="21" t="s">
        <v>268</v>
      </c>
      <c r="F78" s="19" t="s">
        <v>269</v>
      </c>
      <c r="G78" s="27">
        <v>5574949</v>
      </c>
    </row>
    <row r="79" spans="2:7" ht="15.75" thickBot="1" x14ac:dyDescent="0.3">
      <c r="B79" s="54"/>
      <c r="C79" s="53" t="s">
        <v>270</v>
      </c>
      <c r="D79" s="56"/>
      <c r="E79" s="21"/>
      <c r="F79" s="28" t="s">
        <v>271</v>
      </c>
      <c r="G79" s="29">
        <f>SUM(G58:G78)</f>
        <v>129918152</v>
      </c>
    </row>
    <row r="80" spans="2:7" x14ac:dyDescent="0.25">
      <c r="B80" s="54" t="s">
        <v>272</v>
      </c>
      <c r="C80" s="55" t="s">
        <v>237</v>
      </c>
      <c r="D80" s="55">
        <f>[22]Amortizaciones!D22</f>
        <v>412694</v>
      </c>
      <c r="E80" s="21" t="s">
        <v>273</v>
      </c>
      <c r="F80" s="22" t="s">
        <v>274</v>
      </c>
      <c r="G80" s="23">
        <v>3232497</v>
      </c>
    </row>
    <row r="81" spans="2:7" x14ac:dyDescent="0.25">
      <c r="B81" s="54" t="s">
        <v>275</v>
      </c>
      <c r="C81" s="55" t="s">
        <v>241</v>
      </c>
      <c r="D81" s="55">
        <f>[22]Amortizaciones!D23</f>
        <v>0</v>
      </c>
      <c r="E81" s="21" t="s">
        <v>276</v>
      </c>
      <c r="F81" s="19" t="s">
        <v>277</v>
      </c>
      <c r="G81" s="20">
        <v>0</v>
      </c>
    </row>
    <row r="82" spans="2:7" x14ac:dyDescent="0.25">
      <c r="B82" s="54" t="s">
        <v>278</v>
      </c>
      <c r="C82" s="55" t="s">
        <v>245</v>
      </c>
      <c r="D82" s="55">
        <f>[22]Amortizaciones!D24</f>
        <v>408582</v>
      </c>
      <c r="E82" s="21" t="s">
        <v>279</v>
      </c>
      <c r="F82" s="19" t="s">
        <v>280</v>
      </c>
      <c r="G82" s="20">
        <f>2036634+4958663</f>
        <v>6995297</v>
      </c>
    </row>
    <row r="83" spans="2:7" x14ac:dyDescent="0.25">
      <c r="B83" s="54" t="s">
        <v>281</v>
      </c>
      <c r="C83" s="55" t="s">
        <v>249</v>
      </c>
      <c r="D83" s="55">
        <f>[22]Amortizaciones!D25</f>
        <v>0</v>
      </c>
      <c r="E83" s="21" t="s">
        <v>282</v>
      </c>
      <c r="F83" s="19" t="s">
        <v>283</v>
      </c>
      <c r="G83" s="20">
        <v>7742556</v>
      </c>
    </row>
    <row r="84" spans="2:7" x14ac:dyDescent="0.25">
      <c r="B84" s="54" t="s">
        <v>284</v>
      </c>
      <c r="C84" s="55" t="s">
        <v>285</v>
      </c>
      <c r="D84" s="55">
        <v>0</v>
      </c>
      <c r="E84" s="21" t="s">
        <v>286</v>
      </c>
      <c r="F84" s="19" t="s">
        <v>287</v>
      </c>
      <c r="G84" s="20">
        <v>18582207</v>
      </c>
    </row>
    <row r="85" spans="2:7" x14ac:dyDescent="0.25">
      <c r="B85" s="54" t="s">
        <v>288</v>
      </c>
      <c r="C85" s="55" t="s">
        <v>289</v>
      </c>
      <c r="D85" s="55">
        <f>[22]Amortizaciones!D27</f>
        <v>0</v>
      </c>
      <c r="E85" s="21" t="s">
        <v>290</v>
      </c>
      <c r="F85" s="19" t="s">
        <v>291</v>
      </c>
      <c r="G85" s="20">
        <v>6445171</v>
      </c>
    </row>
    <row r="86" spans="2:7" x14ac:dyDescent="0.25">
      <c r="B86" s="54" t="s">
        <v>292</v>
      </c>
      <c r="C86" s="55" t="s">
        <v>293</v>
      </c>
      <c r="D86" s="55">
        <f>[22]Amortizaciones!D28</f>
        <v>0</v>
      </c>
      <c r="E86" s="21" t="s">
        <v>294</v>
      </c>
      <c r="F86" s="19" t="s">
        <v>295</v>
      </c>
      <c r="G86" s="20">
        <v>729493</v>
      </c>
    </row>
    <row r="87" spans="2:7" x14ac:dyDescent="0.25">
      <c r="B87" s="54" t="s">
        <v>296</v>
      </c>
      <c r="C87" s="55" t="s">
        <v>297</v>
      </c>
      <c r="D87" s="55">
        <f>[22]Amortizaciones!D29</f>
        <v>0</v>
      </c>
      <c r="E87" s="21" t="s">
        <v>298</v>
      </c>
      <c r="F87" s="19" t="s">
        <v>299</v>
      </c>
      <c r="G87" s="20">
        <f>5896285+616251</f>
        <v>6512536</v>
      </c>
    </row>
    <row r="88" spans="2:7" x14ac:dyDescent="0.25">
      <c r="B88" s="54" t="s">
        <v>300</v>
      </c>
      <c r="C88" s="55" t="s">
        <v>301</v>
      </c>
      <c r="D88" s="55">
        <f>[22]Amortizaciones!D30</f>
        <v>290742</v>
      </c>
      <c r="E88" s="21" t="s">
        <v>302</v>
      </c>
      <c r="F88" s="19" t="s">
        <v>303</v>
      </c>
      <c r="G88" s="20">
        <v>8650721</v>
      </c>
    </row>
    <row r="89" spans="2:7" x14ac:dyDescent="0.25">
      <c r="B89" s="54" t="s">
        <v>304</v>
      </c>
      <c r="C89" s="55" t="s">
        <v>213</v>
      </c>
      <c r="D89" s="55">
        <f>[22]Amortizaciones!D31</f>
        <v>1350209</v>
      </c>
      <c r="E89" s="21" t="s">
        <v>305</v>
      </c>
      <c r="F89" s="19" t="s">
        <v>306</v>
      </c>
      <c r="G89" s="20">
        <f>97724747+31608017+8147103+33082</f>
        <v>137512949</v>
      </c>
    </row>
    <row r="90" spans="2:7" x14ac:dyDescent="0.25">
      <c r="B90" s="54" t="s">
        <v>307</v>
      </c>
      <c r="C90" s="55" t="s">
        <v>229</v>
      </c>
      <c r="D90" s="55">
        <f>[22]Amortizaciones!D32</f>
        <v>0</v>
      </c>
      <c r="E90" s="21" t="s">
        <v>308</v>
      </c>
      <c r="F90" s="19" t="s">
        <v>309</v>
      </c>
      <c r="G90" s="20">
        <f>884616+1150666</f>
        <v>2035282</v>
      </c>
    </row>
    <row r="91" spans="2:7" x14ac:dyDescent="0.25">
      <c r="B91" s="54" t="s">
        <v>310</v>
      </c>
      <c r="C91" s="55" t="s">
        <v>311</v>
      </c>
      <c r="D91" s="55">
        <f>SUM(D80:D90)</f>
        <v>2462227</v>
      </c>
      <c r="E91" s="52" t="s">
        <v>312</v>
      </c>
      <c r="F91" s="19" t="s">
        <v>313</v>
      </c>
      <c r="G91" s="20">
        <f>530293+10909</f>
        <v>541202</v>
      </c>
    </row>
    <row r="92" spans="2:7" x14ac:dyDescent="0.25">
      <c r="B92" s="54"/>
      <c r="C92" s="57" t="s">
        <v>314</v>
      </c>
      <c r="D92" s="55">
        <f>D77+D91</f>
        <v>94214035</v>
      </c>
      <c r="E92" s="52" t="s">
        <v>315</v>
      </c>
      <c r="F92" s="19" t="s">
        <v>316</v>
      </c>
      <c r="G92" s="20"/>
    </row>
    <row r="93" spans="2:7" x14ac:dyDescent="0.25">
      <c r="E93" s="52" t="s">
        <v>317</v>
      </c>
      <c r="F93" s="19" t="s">
        <v>318</v>
      </c>
      <c r="G93" s="20">
        <v>3929560</v>
      </c>
    </row>
    <row r="94" spans="2:7" x14ac:dyDescent="0.25">
      <c r="E94" s="52" t="s">
        <v>319</v>
      </c>
      <c r="F94" s="19" t="s">
        <v>320</v>
      </c>
      <c r="G94" s="27">
        <f>8149879+273202</f>
        <v>8423081</v>
      </c>
    </row>
    <row r="95" spans="2:7" ht="13.5" customHeight="1" thickBot="1" x14ac:dyDescent="0.3">
      <c r="E95" s="21"/>
      <c r="F95" s="28" t="s">
        <v>321</v>
      </c>
      <c r="G95" s="29">
        <f>SUM(G80:G94)</f>
        <v>211332552</v>
      </c>
    </row>
    <row r="96" spans="2:7" x14ac:dyDescent="0.25">
      <c r="E96" s="52" t="s">
        <v>322</v>
      </c>
      <c r="F96" s="22" t="s">
        <v>323</v>
      </c>
      <c r="G96" s="23">
        <f>38779+9425996+2</f>
        <v>9464777</v>
      </c>
    </row>
    <row r="97" spans="2:7" x14ac:dyDescent="0.25">
      <c r="E97" s="52" t="s">
        <v>324</v>
      </c>
      <c r="F97" s="19" t="s">
        <v>325</v>
      </c>
      <c r="G97" s="20">
        <f>59580+9437920</f>
        <v>9497500</v>
      </c>
    </row>
    <row r="98" spans="2:7" x14ac:dyDescent="0.25">
      <c r="E98" s="52" t="s">
        <v>326</v>
      </c>
      <c r="F98" s="19" t="s">
        <v>327</v>
      </c>
      <c r="G98" s="20">
        <v>4838673</v>
      </c>
    </row>
    <row r="99" spans="2:7" x14ac:dyDescent="0.25">
      <c r="E99" s="52" t="s">
        <v>328</v>
      </c>
      <c r="F99" s="19" t="s">
        <v>329</v>
      </c>
      <c r="G99" s="20">
        <f>1500+267071+467656+440241+3219469</f>
        <v>4395937</v>
      </c>
    </row>
    <row r="100" spans="2:7" x14ac:dyDescent="0.25">
      <c r="E100" s="52" t="s">
        <v>330</v>
      </c>
      <c r="F100" s="19" t="s">
        <v>331</v>
      </c>
      <c r="G100" s="27">
        <v>1077564</v>
      </c>
    </row>
    <row r="101" spans="2:7" ht="15.75" thickBot="1" x14ac:dyDescent="0.3">
      <c r="E101" s="21"/>
      <c r="F101" s="28" t="s">
        <v>332</v>
      </c>
      <c r="G101" s="29">
        <f>SUM(G96:G100)</f>
        <v>29274451</v>
      </c>
    </row>
    <row r="102" spans="2:7" ht="15.75" thickBot="1" x14ac:dyDescent="0.3">
      <c r="E102" s="52"/>
      <c r="F102" s="59" t="s">
        <v>333</v>
      </c>
      <c r="G102" s="60">
        <f>[22]Amortizaciones!D19</f>
        <v>91751808</v>
      </c>
    </row>
    <row r="103" spans="2:7" x14ac:dyDescent="0.25">
      <c r="E103" s="52" t="s">
        <v>334</v>
      </c>
      <c r="F103" s="19" t="s">
        <v>335</v>
      </c>
      <c r="G103" s="23"/>
    </row>
    <row r="104" spans="2:7" x14ac:dyDescent="0.25">
      <c r="E104" s="52" t="s">
        <v>336</v>
      </c>
      <c r="F104" s="61" t="s">
        <v>337</v>
      </c>
      <c r="G104" s="20"/>
    </row>
    <row r="105" spans="2:7" ht="15.75" thickBot="1" x14ac:dyDescent="0.3">
      <c r="E105" s="21"/>
      <c r="F105" s="28" t="s">
        <v>338</v>
      </c>
      <c r="G105" s="29">
        <f>SUM(G103:G104)</f>
        <v>0</v>
      </c>
    </row>
    <row r="106" spans="2:7" ht="13.7" customHeight="1" thickBot="1" x14ac:dyDescent="0.3">
      <c r="B106" s="6"/>
      <c r="C106" s="62"/>
      <c r="D106" s="62"/>
      <c r="E106" s="52"/>
      <c r="F106" s="48" t="s">
        <v>339</v>
      </c>
      <c r="G106" s="49">
        <f>G19+G27+G32+G48+G57+G79+G95+G101+G102+G105</f>
        <v>3400508858.0800004</v>
      </c>
    </row>
    <row r="107" spans="2:7" ht="13.7" customHeight="1" x14ac:dyDescent="0.25">
      <c r="B107" s="6"/>
      <c r="C107" s="62"/>
      <c r="D107" s="62"/>
      <c r="E107" s="21"/>
      <c r="F107" s="63"/>
      <c r="G107" s="64"/>
    </row>
    <row r="108" spans="2:7" ht="13.7" customHeight="1" thickBot="1" x14ac:dyDescent="0.3">
      <c r="B108" s="6"/>
      <c r="C108" s="62"/>
      <c r="D108" s="62"/>
      <c r="E108" s="21"/>
    </row>
    <row r="109" spans="2:7" ht="13.7" customHeight="1" thickBot="1" x14ac:dyDescent="0.3">
      <c r="B109" s="6"/>
      <c r="C109" s="62"/>
      <c r="D109" s="62"/>
      <c r="E109" s="21"/>
      <c r="F109" s="13" t="s">
        <v>340</v>
      </c>
      <c r="G109" s="65">
        <f>D61-G106</f>
        <v>315150898.17999983</v>
      </c>
    </row>
    <row r="110" spans="2:7" ht="13.7" customHeight="1" thickBot="1" x14ac:dyDescent="0.3">
      <c r="B110" s="6"/>
      <c r="C110" s="62"/>
      <c r="D110" s="62"/>
      <c r="E110" s="21"/>
    </row>
    <row r="111" spans="2:7" ht="13.7" customHeight="1" thickBot="1" x14ac:dyDescent="0.3">
      <c r="C111" s="48" t="s">
        <v>270</v>
      </c>
      <c r="D111" s="17">
        <f>+[22]E.S.P.!D6</f>
        <v>2020</v>
      </c>
      <c r="E111" s="52"/>
      <c r="F111" s="48" t="s">
        <v>341</v>
      </c>
      <c r="G111" s="17">
        <f>+[22]E.S.P.!D6</f>
        <v>2020</v>
      </c>
    </row>
    <row r="112" spans="2:7" ht="13.7" customHeight="1" x14ac:dyDescent="0.25">
      <c r="B112" s="6" t="s">
        <v>342</v>
      </c>
      <c r="C112" s="66" t="s">
        <v>343</v>
      </c>
      <c r="D112" s="67">
        <v>15042350</v>
      </c>
      <c r="E112" s="21" t="s">
        <v>344</v>
      </c>
      <c r="F112" s="66" t="s">
        <v>309</v>
      </c>
      <c r="G112" s="67"/>
    </row>
    <row r="113" spans="2:7" ht="13.7" customHeight="1" x14ac:dyDescent="0.25">
      <c r="B113" s="6" t="s">
        <v>345</v>
      </c>
      <c r="C113" s="68" t="s">
        <v>346</v>
      </c>
      <c r="D113" s="69">
        <v>89738788</v>
      </c>
      <c r="E113" s="21" t="s">
        <v>347</v>
      </c>
      <c r="F113" s="68" t="s">
        <v>348</v>
      </c>
      <c r="G113" s="69"/>
    </row>
    <row r="114" spans="2:7" ht="13.7" customHeight="1" x14ac:dyDescent="0.25">
      <c r="B114" s="6" t="s">
        <v>349</v>
      </c>
      <c r="C114" s="68" t="s">
        <v>48</v>
      </c>
      <c r="D114" s="69"/>
      <c r="E114" s="21" t="s">
        <v>350</v>
      </c>
      <c r="F114" s="68" t="s">
        <v>351</v>
      </c>
      <c r="G114" s="69"/>
    </row>
    <row r="115" spans="2:7" ht="13.7" customHeight="1" x14ac:dyDescent="0.25">
      <c r="B115" s="6" t="s">
        <v>352</v>
      </c>
      <c r="C115" s="68" t="s">
        <v>353</v>
      </c>
      <c r="D115" s="69"/>
      <c r="E115" s="21" t="s">
        <v>354</v>
      </c>
      <c r="F115" s="68" t="s">
        <v>355</v>
      </c>
      <c r="G115" s="69">
        <v>484052</v>
      </c>
    </row>
    <row r="116" spans="2:7" ht="13.7" customHeight="1" x14ac:dyDescent="0.25">
      <c r="B116" s="6" t="s">
        <v>356</v>
      </c>
      <c r="C116" s="68" t="s">
        <v>357</v>
      </c>
      <c r="D116" s="69">
        <v>4048911</v>
      </c>
      <c r="E116" s="21" t="s">
        <v>358</v>
      </c>
      <c r="F116" s="68" t="s">
        <v>359</v>
      </c>
      <c r="G116" s="69">
        <v>2404341</v>
      </c>
    </row>
    <row r="117" spans="2:7" ht="13.7" customHeight="1" x14ac:dyDescent="0.25">
      <c r="B117" s="6" t="s">
        <v>360</v>
      </c>
      <c r="C117" s="68" t="s">
        <v>361</v>
      </c>
      <c r="D117" s="69"/>
      <c r="E117" s="21" t="s">
        <v>362</v>
      </c>
      <c r="F117" s="68" t="s">
        <v>363</v>
      </c>
      <c r="G117" s="69">
        <v>1288525</v>
      </c>
    </row>
    <row r="118" spans="2:7" ht="13.7" customHeight="1" x14ac:dyDescent="0.25">
      <c r="B118" s="6" t="s">
        <v>364</v>
      </c>
      <c r="C118" s="68" t="s">
        <v>365</v>
      </c>
      <c r="D118" s="69"/>
      <c r="E118" s="21" t="s">
        <v>366</v>
      </c>
      <c r="F118" s="68" t="s">
        <v>367</v>
      </c>
      <c r="G118" s="69">
        <v>6705532</v>
      </c>
    </row>
    <row r="119" spans="2:7" ht="13.7" customHeight="1" x14ac:dyDescent="0.25">
      <c r="B119" s="6" t="s">
        <v>368</v>
      </c>
      <c r="C119" s="68" t="s">
        <v>369</v>
      </c>
      <c r="D119" s="69"/>
      <c r="E119" s="21" t="s">
        <v>370</v>
      </c>
      <c r="F119" s="68" t="s">
        <v>371</v>
      </c>
      <c r="G119" s="69"/>
    </row>
    <row r="120" spans="2:7" ht="13.7" customHeight="1" x14ac:dyDescent="0.25">
      <c r="B120" s="6" t="s">
        <v>372</v>
      </c>
      <c r="C120" s="68" t="s">
        <v>373</v>
      </c>
      <c r="D120" s="69"/>
      <c r="E120" s="21" t="s">
        <v>374</v>
      </c>
      <c r="F120" s="68" t="s">
        <v>375</v>
      </c>
      <c r="G120" s="69"/>
    </row>
    <row r="121" spans="2:7" ht="13.7" customHeight="1" x14ac:dyDescent="0.25">
      <c r="B121" s="6" t="s">
        <v>376</v>
      </c>
      <c r="C121" s="19" t="s">
        <v>377</v>
      </c>
      <c r="D121" s="69">
        <v>5048706</v>
      </c>
      <c r="E121" s="21" t="s">
        <v>378</v>
      </c>
      <c r="F121" s="68" t="s">
        <v>379</v>
      </c>
      <c r="G121" s="69">
        <v>79815</v>
      </c>
    </row>
    <row r="122" spans="2:7" ht="13.7" customHeight="1" thickBot="1" x14ac:dyDescent="0.3">
      <c r="B122" s="6"/>
      <c r="C122" s="28" t="s">
        <v>380</v>
      </c>
      <c r="D122" s="37">
        <f>SUM(D112:D121)</f>
        <v>113878755</v>
      </c>
      <c r="E122" s="21" t="s">
        <v>381</v>
      </c>
      <c r="F122" s="19" t="s">
        <v>382</v>
      </c>
      <c r="G122" s="20">
        <f>22621+35149+260401</f>
        <v>318171</v>
      </c>
    </row>
    <row r="123" spans="2:7" ht="13.7" customHeight="1" thickBot="1" x14ac:dyDescent="0.3">
      <c r="B123" s="6" t="s">
        <v>383</v>
      </c>
      <c r="C123" s="70" t="s">
        <v>309</v>
      </c>
      <c r="D123" s="67">
        <v>403140</v>
      </c>
      <c r="E123" s="52"/>
      <c r="F123" s="28" t="s">
        <v>384</v>
      </c>
      <c r="G123" s="37">
        <f>SUM(G112:G122)</f>
        <v>11280436</v>
      </c>
    </row>
    <row r="124" spans="2:7" ht="13.7" customHeight="1" x14ac:dyDescent="0.25">
      <c r="B124" s="6" t="s">
        <v>385</v>
      </c>
      <c r="C124" s="68" t="s">
        <v>313</v>
      </c>
      <c r="D124" s="69"/>
      <c r="E124" s="21" t="s">
        <v>386</v>
      </c>
      <c r="F124" s="68" t="s">
        <v>387</v>
      </c>
      <c r="G124" s="69"/>
    </row>
    <row r="125" spans="2:7" ht="13.7" customHeight="1" x14ac:dyDescent="0.25">
      <c r="B125" s="6" t="s">
        <v>388</v>
      </c>
      <c r="C125" s="19" t="s">
        <v>389</v>
      </c>
      <c r="D125" s="69">
        <v>17091</v>
      </c>
      <c r="E125" s="21" t="s">
        <v>390</v>
      </c>
      <c r="F125" s="68" t="s">
        <v>391</v>
      </c>
      <c r="G125" s="69">
        <v>1367592</v>
      </c>
    </row>
    <row r="126" spans="2:7" ht="13.7" customHeight="1" thickBot="1" x14ac:dyDescent="0.3">
      <c r="B126" s="6"/>
      <c r="C126" s="28" t="s">
        <v>392</v>
      </c>
      <c r="D126" s="37">
        <f>SUM(D123:D125)</f>
        <v>420231</v>
      </c>
      <c r="E126" s="21" t="s">
        <v>393</v>
      </c>
      <c r="F126" s="68" t="s">
        <v>394</v>
      </c>
      <c r="G126" s="69"/>
    </row>
    <row r="127" spans="2:7" ht="13.7" customHeight="1" x14ac:dyDescent="0.25">
      <c r="B127" s="6" t="s">
        <v>395</v>
      </c>
      <c r="C127" s="66" t="s">
        <v>274</v>
      </c>
      <c r="D127" s="67">
        <v>4758716</v>
      </c>
      <c r="E127" s="21" t="s">
        <v>396</v>
      </c>
      <c r="F127" s="68" t="s">
        <v>397</v>
      </c>
      <c r="G127" s="69"/>
    </row>
    <row r="128" spans="2:7" ht="13.7" customHeight="1" x14ac:dyDescent="0.25">
      <c r="B128" s="6" t="s">
        <v>398</v>
      </c>
      <c r="C128" s="68" t="s">
        <v>399</v>
      </c>
      <c r="D128" s="69">
        <v>7378492</v>
      </c>
      <c r="E128" s="21" t="s">
        <v>400</v>
      </c>
      <c r="F128" s="68" t="s">
        <v>401</v>
      </c>
      <c r="G128" s="69">
        <v>1069961</v>
      </c>
    </row>
    <row r="129" spans="2:7" ht="13.7" customHeight="1" x14ac:dyDescent="0.25">
      <c r="B129" s="6" t="s">
        <v>402</v>
      </c>
      <c r="C129" s="68" t="s">
        <v>277</v>
      </c>
      <c r="D129" s="69">
        <v>241110</v>
      </c>
      <c r="E129" s="21" t="s">
        <v>403</v>
      </c>
      <c r="F129" s="68" t="s">
        <v>404</v>
      </c>
      <c r="G129" s="69">
        <v>5591364</v>
      </c>
    </row>
    <row r="130" spans="2:7" ht="13.7" customHeight="1" x14ac:dyDescent="0.25">
      <c r="B130" s="6" t="s">
        <v>405</v>
      </c>
      <c r="C130" s="68" t="s">
        <v>283</v>
      </c>
      <c r="D130" s="69">
        <v>46328</v>
      </c>
      <c r="E130" s="21" t="s">
        <v>406</v>
      </c>
      <c r="F130" s="68" t="s">
        <v>407</v>
      </c>
      <c r="G130" s="69"/>
    </row>
    <row r="131" spans="2:7" ht="13.7" customHeight="1" x14ac:dyDescent="0.25">
      <c r="B131" s="6" t="s">
        <v>408</v>
      </c>
      <c r="C131" s="68" t="s">
        <v>287</v>
      </c>
      <c r="D131" s="69">
        <v>116019</v>
      </c>
      <c r="E131" s="21" t="s">
        <v>409</v>
      </c>
      <c r="F131" s="68" t="s">
        <v>410</v>
      </c>
      <c r="G131" s="69"/>
    </row>
    <row r="132" spans="2:7" ht="13.7" customHeight="1" x14ac:dyDescent="0.25">
      <c r="B132" s="6" t="s">
        <v>411</v>
      </c>
      <c r="C132" s="68" t="s">
        <v>291</v>
      </c>
      <c r="D132" s="69">
        <v>356835</v>
      </c>
      <c r="E132" s="21" t="s">
        <v>412</v>
      </c>
      <c r="F132" s="68" t="s">
        <v>413</v>
      </c>
      <c r="G132" s="69">
        <v>4155345</v>
      </c>
    </row>
    <row r="133" spans="2:7" ht="13.7" customHeight="1" x14ac:dyDescent="0.25">
      <c r="B133" s="6" t="s">
        <v>414</v>
      </c>
      <c r="C133" s="68" t="s">
        <v>295</v>
      </c>
      <c r="D133" s="69">
        <v>87090</v>
      </c>
      <c r="E133" s="21" t="s">
        <v>415</v>
      </c>
      <c r="F133" s="68" t="s">
        <v>416</v>
      </c>
      <c r="G133" s="69">
        <v>23286508</v>
      </c>
    </row>
    <row r="134" spans="2:7" ht="13.7" customHeight="1" x14ac:dyDescent="0.25">
      <c r="B134" s="6" t="s">
        <v>417</v>
      </c>
      <c r="C134" s="68" t="s">
        <v>418</v>
      </c>
      <c r="D134" s="69">
        <v>5016713</v>
      </c>
      <c r="E134" s="21" t="s">
        <v>419</v>
      </c>
      <c r="F134" s="68" t="s">
        <v>420</v>
      </c>
      <c r="G134" s="69">
        <v>17982336</v>
      </c>
    </row>
    <row r="135" spans="2:7" ht="13.7" customHeight="1" x14ac:dyDescent="0.25">
      <c r="B135" s="6" t="s">
        <v>421</v>
      </c>
      <c r="C135" s="68" t="s">
        <v>422</v>
      </c>
      <c r="D135" s="69">
        <v>10681038</v>
      </c>
      <c r="E135" s="21" t="s">
        <v>423</v>
      </c>
      <c r="F135" s="68" t="s">
        <v>424</v>
      </c>
      <c r="G135" s="69"/>
    </row>
    <row r="136" spans="2:7" ht="13.7" customHeight="1" x14ac:dyDescent="0.25">
      <c r="B136" s="6" t="s">
        <v>425</v>
      </c>
      <c r="C136" s="68" t="s">
        <v>318</v>
      </c>
      <c r="D136" s="69">
        <f>4432985+1286173+493762+196607+1574707+40904</f>
        <v>8025138</v>
      </c>
      <c r="E136" s="21" t="s">
        <v>426</v>
      </c>
      <c r="F136" s="68" t="s">
        <v>427</v>
      </c>
      <c r="G136" s="69">
        <v>73876</v>
      </c>
    </row>
    <row r="137" spans="2:7" ht="13.7" customHeight="1" x14ac:dyDescent="0.25">
      <c r="B137" s="6" t="s">
        <v>428</v>
      </c>
      <c r="C137" s="19" t="s">
        <v>320</v>
      </c>
      <c r="D137" s="71">
        <v>1718415</v>
      </c>
      <c r="E137" s="21" t="s">
        <v>429</v>
      </c>
      <c r="F137" s="68" t="s">
        <v>430</v>
      </c>
      <c r="G137" s="69">
        <f>1592015+895-787267</f>
        <v>805643</v>
      </c>
    </row>
    <row r="138" spans="2:7" ht="13.7" customHeight="1" thickBot="1" x14ac:dyDescent="0.3">
      <c r="B138" s="6"/>
      <c r="C138" s="28" t="s">
        <v>321</v>
      </c>
      <c r="D138" s="37">
        <f>SUM(D127:D137)</f>
        <v>38425894</v>
      </c>
      <c r="E138" s="21" t="s">
        <v>431</v>
      </c>
      <c r="F138" s="19" t="s">
        <v>432</v>
      </c>
      <c r="G138" s="20">
        <f>347933+1060934</f>
        <v>1408867</v>
      </c>
    </row>
    <row r="139" spans="2:7" ht="13.7" customHeight="1" thickBot="1" x14ac:dyDescent="0.3">
      <c r="B139" s="6" t="s">
        <v>433</v>
      </c>
      <c r="C139" s="66" t="s">
        <v>327</v>
      </c>
      <c r="D139" s="67"/>
      <c r="E139" s="7"/>
      <c r="F139" s="28" t="s">
        <v>434</v>
      </c>
      <c r="G139" s="37">
        <f>SUM(G124:G138)</f>
        <v>55741492</v>
      </c>
    </row>
    <row r="140" spans="2:7" ht="13.7" customHeight="1" thickBot="1" x14ac:dyDescent="0.3">
      <c r="B140" s="6" t="s">
        <v>435</v>
      </c>
      <c r="C140" s="68" t="s">
        <v>329</v>
      </c>
      <c r="D140" s="69"/>
      <c r="E140" s="7"/>
      <c r="F140" s="48" t="s">
        <v>436</v>
      </c>
      <c r="G140" s="72">
        <f>G123-G139</f>
        <v>-44461056</v>
      </c>
    </row>
    <row r="141" spans="2:7" ht="13.7" customHeight="1" x14ac:dyDescent="0.25">
      <c r="B141" s="6" t="s">
        <v>437</v>
      </c>
      <c r="C141" s="19" t="s">
        <v>331</v>
      </c>
      <c r="D141" s="71"/>
      <c r="E141" s="73"/>
    </row>
    <row r="142" spans="2:7" ht="13.7" customHeight="1" thickBot="1" x14ac:dyDescent="0.3">
      <c r="B142" s="6"/>
      <c r="C142" s="28" t="s">
        <v>332</v>
      </c>
      <c r="D142" s="37">
        <f>SUM(D139:D141)</f>
        <v>0</v>
      </c>
      <c r="E142" s="73"/>
    </row>
    <row r="143" spans="2:7" ht="13.7" customHeight="1" thickBot="1" x14ac:dyDescent="0.3">
      <c r="B143" s="6"/>
      <c r="C143" s="59" t="s">
        <v>438</v>
      </c>
      <c r="D143" s="74">
        <f>[22]Amortizaciones!D33</f>
        <v>2462227</v>
      </c>
      <c r="E143" s="21"/>
      <c r="F143" s="48" t="s">
        <v>439</v>
      </c>
      <c r="G143" s="17">
        <f>+[22]E.S.P.!D6</f>
        <v>2020</v>
      </c>
    </row>
    <row r="144" spans="2:7" ht="13.7" customHeight="1" x14ac:dyDescent="0.25">
      <c r="B144" s="6" t="s">
        <v>440</v>
      </c>
      <c r="C144" s="66" t="s">
        <v>441</v>
      </c>
      <c r="D144" s="67">
        <v>3339949</v>
      </c>
      <c r="E144" s="21" t="s">
        <v>442</v>
      </c>
      <c r="F144" s="66" t="s">
        <v>443</v>
      </c>
      <c r="G144" s="67">
        <v>187109</v>
      </c>
    </row>
    <row r="145" spans="2:7" ht="13.7" customHeight="1" x14ac:dyDescent="0.25">
      <c r="B145" s="6" t="s">
        <v>444</v>
      </c>
      <c r="C145" s="68" t="s">
        <v>445</v>
      </c>
      <c r="D145" s="69">
        <v>605223</v>
      </c>
      <c r="E145" s="21" t="s">
        <v>446</v>
      </c>
      <c r="F145" s="68" t="s">
        <v>447</v>
      </c>
      <c r="G145" s="69"/>
    </row>
    <row r="146" spans="2:7" ht="13.7" customHeight="1" x14ac:dyDescent="0.25">
      <c r="B146" s="6" t="s">
        <v>448</v>
      </c>
      <c r="C146" s="75" t="s">
        <v>449</v>
      </c>
      <c r="D146" s="69"/>
      <c r="E146" s="21" t="s">
        <v>450</v>
      </c>
      <c r="F146" s="68" t="s">
        <v>451</v>
      </c>
      <c r="G146" s="69">
        <v>1231088</v>
      </c>
    </row>
    <row r="147" spans="2:7" ht="13.7" customHeight="1" x14ac:dyDescent="0.25">
      <c r="B147" s="6" t="s">
        <v>452</v>
      </c>
      <c r="C147" s="19" t="s">
        <v>453</v>
      </c>
      <c r="D147" s="71">
        <v>248764</v>
      </c>
      <c r="E147" s="21" t="s">
        <v>454</v>
      </c>
      <c r="F147" s="68" t="s">
        <v>455</v>
      </c>
      <c r="G147" s="69"/>
    </row>
    <row r="148" spans="2:7" ht="13.7" customHeight="1" thickBot="1" x14ac:dyDescent="0.3">
      <c r="B148" s="6"/>
      <c r="C148" s="28" t="s">
        <v>456</v>
      </c>
      <c r="D148" s="37">
        <f>SUM(D144:D147)</f>
        <v>4193936</v>
      </c>
      <c r="E148" s="21" t="s">
        <v>457</v>
      </c>
      <c r="F148" s="68" t="s">
        <v>458</v>
      </c>
      <c r="G148" s="69"/>
    </row>
    <row r="149" spans="2:7" ht="13.7" customHeight="1" x14ac:dyDescent="0.25">
      <c r="B149" s="6" t="s">
        <v>459</v>
      </c>
      <c r="C149" s="66" t="s">
        <v>460</v>
      </c>
      <c r="D149" s="67"/>
      <c r="E149" s="21" t="s">
        <v>461</v>
      </c>
      <c r="F149" s="68" t="s">
        <v>462</v>
      </c>
      <c r="G149" s="69"/>
    </row>
    <row r="150" spans="2:7" ht="13.7" customHeight="1" x14ac:dyDescent="0.25">
      <c r="B150" s="6" t="s">
        <v>463</v>
      </c>
      <c r="C150" s="68" t="s">
        <v>464</v>
      </c>
      <c r="D150" s="69"/>
      <c r="E150" s="21" t="s">
        <v>465</v>
      </c>
      <c r="F150" s="68" t="s">
        <v>466</v>
      </c>
      <c r="G150" s="69"/>
    </row>
    <row r="151" spans="2:7" ht="13.7" customHeight="1" x14ac:dyDescent="0.25">
      <c r="B151" s="6" t="s">
        <v>467</v>
      </c>
      <c r="C151" s="19" t="s">
        <v>468</v>
      </c>
      <c r="D151" s="71"/>
      <c r="E151" s="21" t="s">
        <v>469</v>
      </c>
      <c r="F151" s="68" t="s">
        <v>470</v>
      </c>
      <c r="G151" s="69">
        <v>36347865</v>
      </c>
    </row>
    <row r="152" spans="2:7" ht="13.7" customHeight="1" thickBot="1" x14ac:dyDescent="0.3">
      <c r="B152" s="6"/>
      <c r="C152" s="28" t="s">
        <v>471</v>
      </c>
      <c r="D152" s="37">
        <f>SUM(D149:D151)</f>
        <v>0</v>
      </c>
      <c r="E152" s="21" t="s">
        <v>472</v>
      </c>
      <c r="F152" s="68" t="s">
        <v>473</v>
      </c>
      <c r="G152" s="69"/>
    </row>
    <row r="153" spans="2:7" ht="13.7" customHeight="1" thickBot="1" x14ac:dyDescent="0.3">
      <c r="B153" s="6"/>
      <c r="C153" s="48" t="s">
        <v>474</v>
      </c>
      <c r="D153" s="76">
        <f>D122+D126+D138+D142+D143+D148+D152</f>
        <v>159381043</v>
      </c>
      <c r="E153" s="21" t="s">
        <v>475</v>
      </c>
      <c r="F153" s="19" t="s">
        <v>476</v>
      </c>
      <c r="G153" s="20">
        <v>53920</v>
      </c>
    </row>
    <row r="154" spans="2:7" ht="13.7" customHeight="1" thickBot="1" x14ac:dyDescent="0.3">
      <c r="B154" s="6"/>
      <c r="E154" s="21"/>
      <c r="F154" s="28" t="s">
        <v>477</v>
      </c>
      <c r="G154" s="37">
        <f>SUM(G144:G153)</f>
        <v>37819982</v>
      </c>
    </row>
    <row r="155" spans="2:7" ht="13.7" customHeight="1" thickBot="1" x14ac:dyDescent="0.3">
      <c r="B155" s="6"/>
      <c r="C155" s="77" t="s">
        <v>478</v>
      </c>
      <c r="D155" s="65">
        <f>G109-D153</f>
        <v>155769855.17999983</v>
      </c>
      <c r="E155" s="21" t="s">
        <v>479</v>
      </c>
      <c r="F155" s="66" t="s">
        <v>480</v>
      </c>
      <c r="G155" s="67">
        <v>38112462</v>
      </c>
    </row>
    <row r="156" spans="2:7" ht="13.7" customHeight="1" x14ac:dyDescent="0.25">
      <c r="E156" s="21" t="s">
        <v>481</v>
      </c>
      <c r="F156" s="68" t="s">
        <v>482</v>
      </c>
      <c r="G156" s="69">
        <v>30112950</v>
      </c>
    </row>
    <row r="157" spans="2:7" ht="13.7" customHeight="1" x14ac:dyDescent="0.25">
      <c r="E157" s="21" t="s">
        <v>483</v>
      </c>
      <c r="F157" s="68" t="s">
        <v>484</v>
      </c>
      <c r="G157" s="69"/>
    </row>
    <row r="158" spans="2:7" ht="13.7" customHeight="1" x14ac:dyDescent="0.25">
      <c r="E158" s="21" t="s">
        <v>485</v>
      </c>
      <c r="F158" s="68" t="s">
        <v>486</v>
      </c>
      <c r="G158" s="69">
        <v>11526338</v>
      </c>
    </row>
    <row r="159" spans="2:7" ht="13.7" customHeight="1" x14ac:dyDescent="0.25">
      <c r="E159" s="21" t="s">
        <v>487</v>
      </c>
      <c r="F159" s="68" t="s">
        <v>488</v>
      </c>
      <c r="G159" s="69"/>
    </row>
    <row r="160" spans="2:7" ht="13.7" customHeight="1" x14ac:dyDescent="0.25">
      <c r="E160" s="21" t="s">
        <v>489</v>
      </c>
      <c r="F160" s="68" t="s">
        <v>490</v>
      </c>
      <c r="G160" s="69">
        <v>35673</v>
      </c>
    </row>
    <row r="161" spans="5:7" ht="13.7" customHeight="1" x14ac:dyDescent="0.25">
      <c r="E161" s="21" t="s">
        <v>491</v>
      </c>
      <c r="F161" s="68" t="s">
        <v>492</v>
      </c>
      <c r="G161" s="69">
        <v>69054</v>
      </c>
    </row>
    <row r="162" spans="5:7" ht="13.7" customHeight="1" x14ac:dyDescent="0.25">
      <c r="E162" s="21" t="s">
        <v>493</v>
      </c>
      <c r="F162" s="68" t="s">
        <v>494</v>
      </c>
      <c r="G162" s="69"/>
    </row>
    <row r="163" spans="5:7" ht="13.7" customHeight="1" x14ac:dyDescent="0.25">
      <c r="E163" s="21" t="s">
        <v>495</v>
      </c>
      <c r="F163" s="68" t="s">
        <v>496</v>
      </c>
      <c r="G163" s="69"/>
    </row>
    <row r="164" spans="5:7" ht="13.7" customHeight="1" x14ac:dyDescent="0.25">
      <c r="E164" s="21" t="s">
        <v>497</v>
      </c>
      <c r="F164" s="68" t="s">
        <v>498</v>
      </c>
      <c r="G164" s="69"/>
    </row>
    <row r="165" spans="5:7" ht="13.7" customHeight="1" x14ac:dyDescent="0.25">
      <c r="E165" s="21" t="s">
        <v>499</v>
      </c>
      <c r="F165" s="68" t="s">
        <v>500</v>
      </c>
      <c r="G165" s="69"/>
    </row>
    <row r="166" spans="5:7" ht="13.7" customHeight="1" x14ac:dyDescent="0.25">
      <c r="E166" s="21" t="s">
        <v>501</v>
      </c>
      <c r="F166" s="68" t="s">
        <v>502</v>
      </c>
      <c r="G166" s="69">
        <f>5473974+3167480+198675</f>
        <v>8840129</v>
      </c>
    </row>
    <row r="167" spans="5:7" ht="13.7" customHeight="1" x14ac:dyDescent="0.25">
      <c r="E167" s="21" t="s">
        <v>503</v>
      </c>
      <c r="F167" s="19" t="s">
        <v>504</v>
      </c>
      <c r="G167" s="20">
        <f>2203632+7</f>
        <v>2203639</v>
      </c>
    </row>
    <row r="168" spans="5:7" ht="13.7" customHeight="1" thickBot="1" x14ac:dyDescent="0.3">
      <c r="E168" s="21"/>
      <c r="F168" s="28" t="s">
        <v>505</v>
      </c>
      <c r="G168" s="37">
        <f>SUM(G155:G167)</f>
        <v>90900245</v>
      </c>
    </row>
    <row r="169" spans="5:7" ht="13.7" customHeight="1" thickBot="1" x14ac:dyDescent="0.3">
      <c r="E169" s="21"/>
      <c r="F169" s="48" t="s">
        <v>506</v>
      </c>
      <c r="G169" s="72">
        <f>G154-G168</f>
        <v>-53080263</v>
      </c>
    </row>
    <row r="170" spans="5:7" ht="13.7" customHeight="1" thickBot="1" x14ac:dyDescent="0.3">
      <c r="E170" s="21"/>
      <c r="F170" s="78"/>
      <c r="G170" s="78"/>
    </row>
    <row r="171" spans="5:7" ht="13.7" customHeight="1" thickBot="1" x14ac:dyDescent="0.3">
      <c r="E171" s="21"/>
      <c r="F171" s="77" t="s">
        <v>507</v>
      </c>
      <c r="G171" s="79"/>
    </row>
    <row r="172" spans="5:7" ht="13.7" customHeight="1" thickBot="1" x14ac:dyDescent="0.3">
      <c r="E172" s="21"/>
      <c r="F172" s="80"/>
      <c r="G172" s="81">
        <f>+D155+G140+G169</f>
        <v>58228536.179999828</v>
      </c>
    </row>
    <row r="173" spans="5:7" ht="13.7" customHeight="1" thickBot="1" x14ac:dyDescent="0.3">
      <c r="E173" s="21"/>
      <c r="F173" s="5"/>
      <c r="G173" s="5"/>
    </row>
    <row r="174" spans="5:7" ht="13.7" customHeight="1" thickBot="1" x14ac:dyDescent="0.3">
      <c r="E174" s="21"/>
      <c r="F174" s="48" t="s">
        <v>508</v>
      </c>
      <c r="G174" s="17">
        <f>+G143</f>
        <v>2020</v>
      </c>
    </row>
    <row r="175" spans="5:7" ht="13.7" customHeight="1" x14ac:dyDescent="0.25">
      <c r="E175" s="21"/>
      <c r="F175" s="66" t="s">
        <v>509</v>
      </c>
      <c r="G175" s="67">
        <v>27539416</v>
      </c>
    </row>
    <row r="176" spans="5:7" ht="13.7" customHeight="1" x14ac:dyDescent="0.25">
      <c r="E176" s="21"/>
      <c r="F176" s="68" t="s">
        <v>510</v>
      </c>
      <c r="G176" s="69"/>
    </row>
    <row r="177" spans="1:8" ht="13.7" customHeight="1" thickBot="1" x14ac:dyDescent="0.3">
      <c r="F177" s="68" t="s">
        <v>511</v>
      </c>
      <c r="G177" s="69"/>
    </row>
    <row r="178" spans="1:8" ht="13.7" customHeight="1" thickBot="1" x14ac:dyDescent="0.3">
      <c r="F178" s="48" t="s">
        <v>512</v>
      </c>
      <c r="G178" s="72">
        <f>SUM(G175:G177)</f>
        <v>27539416</v>
      </c>
    </row>
    <row r="179" spans="1:8" ht="13.7" customHeight="1" thickBot="1" x14ac:dyDescent="0.3"/>
    <row r="180" spans="1:8" ht="13.7" customHeight="1" thickBot="1" x14ac:dyDescent="0.3">
      <c r="F180" s="77" t="s">
        <v>513</v>
      </c>
      <c r="G180" s="79"/>
    </row>
    <row r="181" spans="1:8" ht="13.7" customHeight="1" thickBot="1" x14ac:dyDescent="0.3">
      <c r="F181" s="83"/>
      <c r="G181" s="81">
        <f>+G172+G178</f>
        <v>85767952.179999828</v>
      </c>
    </row>
    <row r="182" spans="1:8" ht="13.7" customHeight="1" x14ac:dyDescent="0.25"/>
    <row r="183" spans="1:8" ht="13.5" customHeight="1" x14ac:dyDescent="0.25"/>
    <row r="184" spans="1:8" ht="13.7" customHeight="1" x14ac:dyDescent="0.25">
      <c r="E184" s="84"/>
      <c r="F184" s="84"/>
      <c r="G184" s="84"/>
      <c r="H184" s="84"/>
    </row>
    <row r="185" spans="1:8" s="84" customFormat="1" ht="13.7" customHeight="1" x14ac:dyDescent="0.25">
      <c r="A185" s="85"/>
      <c r="E185" s="82"/>
      <c r="F185" s="86"/>
      <c r="G185" s="86"/>
    </row>
    <row r="186" spans="1:8" s="84" customFormat="1" ht="12.75" x14ac:dyDescent="0.25">
      <c r="A186" s="85"/>
      <c r="E186" s="82"/>
      <c r="F186" s="86"/>
      <c r="G186" s="86"/>
    </row>
    <row r="187" spans="1:8" s="84" customFormat="1" ht="12.75" hidden="1" x14ac:dyDescent="0.25">
      <c r="A187" s="85"/>
      <c r="E187" s="82"/>
      <c r="F187" s="86"/>
      <c r="G187" s="86"/>
    </row>
    <row r="188" spans="1:8" s="84" customFormat="1" ht="12.75" hidden="1" x14ac:dyDescent="0.25">
      <c r="A188" s="85"/>
      <c r="E188" s="82"/>
      <c r="F188" s="86"/>
      <c r="G188" s="86"/>
    </row>
    <row r="189" spans="1:8" s="84" customFormat="1" ht="12.75" hidden="1" x14ac:dyDescent="0.25">
      <c r="A189" s="85"/>
      <c r="E189" s="82"/>
      <c r="F189" s="86"/>
      <c r="G189" s="86"/>
    </row>
    <row r="190" spans="1:8" s="84" customFormat="1" ht="12.75" hidden="1" x14ac:dyDescent="0.25">
      <c r="A190" s="85"/>
      <c r="E190" s="82"/>
      <c r="F190" s="86"/>
      <c r="G190" s="86"/>
    </row>
    <row r="191" spans="1:8" s="84" customFormat="1" ht="12.75" hidden="1" x14ac:dyDescent="0.25">
      <c r="A191" s="85"/>
      <c r="E191" s="82"/>
      <c r="F191" s="86"/>
      <c r="G191" s="86"/>
    </row>
    <row r="192" spans="1:8" s="84" customFormat="1" ht="12.75" hidden="1" x14ac:dyDescent="0.25">
      <c r="A192" s="85"/>
      <c r="E192" s="82"/>
      <c r="F192" s="86"/>
      <c r="G192" s="86"/>
    </row>
    <row r="193" spans="5:7" s="84" customFormat="1" ht="12.75" hidden="1" x14ac:dyDescent="0.25">
      <c r="E193" s="82"/>
      <c r="F193" s="86"/>
      <c r="G193" s="86"/>
    </row>
    <row r="194" spans="5:7" s="84" customFormat="1" ht="12.75" hidden="1" x14ac:dyDescent="0.25">
      <c r="E194" s="82"/>
      <c r="F194" s="86"/>
      <c r="G194" s="86"/>
    </row>
    <row r="195" spans="5:7" s="84" customFormat="1" ht="12.75" hidden="1" x14ac:dyDescent="0.25">
      <c r="E195" s="82"/>
      <c r="F195" s="86"/>
      <c r="G195" s="86"/>
    </row>
    <row r="196" spans="5:7" s="84" customFormat="1" ht="12.75" hidden="1" x14ac:dyDescent="0.25">
      <c r="E196" s="82"/>
      <c r="F196" s="86"/>
      <c r="G196" s="86"/>
    </row>
    <row r="197" spans="5:7" s="84" customFormat="1" ht="12.75" hidden="1" x14ac:dyDescent="0.25">
      <c r="E197" s="82"/>
      <c r="F197" s="86"/>
      <c r="G197" s="86"/>
    </row>
    <row r="198" spans="5:7" s="84" customFormat="1" ht="12.75" hidden="1" x14ac:dyDescent="0.25">
      <c r="E198" s="82"/>
      <c r="F198" s="86"/>
      <c r="G198" s="86"/>
    </row>
    <row r="199" spans="5:7" s="84" customFormat="1" ht="12.75" hidden="1" x14ac:dyDescent="0.25">
      <c r="E199" s="82"/>
      <c r="F199" s="86"/>
      <c r="G199" s="86"/>
    </row>
    <row r="200" spans="5:7" s="84" customFormat="1" ht="12.75" hidden="1" x14ac:dyDescent="0.25">
      <c r="E200" s="82"/>
      <c r="F200" s="86"/>
      <c r="G200" s="86"/>
    </row>
    <row r="201" spans="5:7" s="84" customFormat="1" ht="12.75" hidden="1" x14ac:dyDescent="0.25">
      <c r="E201" s="82"/>
      <c r="F201" s="86"/>
      <c r="G201" s="86"/>
    </row>
    <row r="202" spans="5:7" s="84" customFormat="1" ht="12.75" hidden="1" x14ac:dyDescent="0.25">
      <c r="E202" s="82"/>
      <c r="F202" s="86"/>
      <c r="G202" s="86"/>
    </row>
    <row r="203" spans="5:7" s="84" customFormat="1" ht="12.75" hidden="1" x14ac:dyDescent="0.25">
      <c r="E203" s="82"/>
      <c r="F203" s="86"/>
      <c r="G203" s="86"/>
    </row>
    <row r="204" spans="5:7" s="84" customFormat="1" ht="12.75" hidden="1" x14ac:dyDescent="0.25">
      <c r="E204" s="82"/>
      <c r="F204" s="86"/>
      <c r="G204" s="86"/>
    </row>
    <row r="205" spans="5:7" s="84" customFormat="1" ht="12.75" hidden="1" x14ac:dyDescent="0.25">
      <c r="E205" s="82"/>
      <c r="F205" s="86"/>
      <c r="G205" s="86"/>
    </row>
    <row r="206" spans="5:7" s="84" customFormat="1" ht="12.75" hidden="1" x14ac:dyDescent="0.25">
      <c r="E206" s="82"/>
      <c r="F206" s="86"/>
      <c r="G206" s="86"/>
    </row>
    <row r="207" spans="5:7" s="84" customFormat="1" ht="12.75" hidden="1" x14ac:dyDescent="0.25">
      <c r="E207" s="82"/>
      <c r="F207" s="86"/>
      <c r="G207" s="86"/>
    </row>
    <row r="208" spans="5:7" s="84" customFormat="1" ht="12.75" hidden="1" x14ac:dyDescent="0.25">
      <c r="E208" s="82"/>
      <c r="F208" s="86"/>
      <c r="G208" s="86"/>
    </row>
    <row r="209" spans="3:8" s="84" customFormat="1" ht="12.75" hidden="1" x14ac:dyDescent="0.25">
      <c r="E209" s="82"/>
      <c r="F209" s="86"/>
      <c r="G209" s="86"/>
    </row>
    <row r="210" spans="3:8" s="84" customFormat="1" ht="12.75" hidden="1" x14ac:dyDescent="0.25">
      <c r="E210" s="82"/>
      <c r="F210" s="86"/>
      <c r="G210" s="86"/>
    </row>
    <row r="211" spans="3:8" s="84" customFormat="1" ht="12.75" hidden="1" x14ac:dyDescent="0.25">
      <c r="E211" s="82"/>
      <c r="F211" s="86"/>
      <c r="G211" s="86"/>
    </row>
    <row r="212" spans="3:8" s="84" customFormat="1" ht="12.75" hidden="1" x14ac:dyDescent="0.25">
      <c r="E212" s="82"/>
      <c r="F212" s="86"/>
      <c r="G212" s="86"/>
    </row>
    <row r="213" spans="3:8" s="84" customFormat="1" ht="12.75" hidden="1" x14ac:dyDescent="0.25">
      <c r="E213" s="82"/>
      <c r="F213" s="86"/>
      <c r="G213" s="86"/>
    </row>
    <row r="214" spans="3:8" s="84" customFormat="1" hidden="1" x14ac:dyDescent="0.25">
      <c r="E214" s="82"/>
      <c r="F214" s="87"/>
      <c r="G214" s="58"/>
      <c r="H214" s="5"/>
    </row>
    <row r="215" spans="3:8" hidden="1" x14ac:dyDescent="0.25">
      <c r="C215" s="86"/>
      <c r="D215" s="86"/>
      <c r="F215" s="87"/>
    </row>
    <row r="216" spans="3:8" hidden="1" x14ac:dyDescent="0.25"/>
    <row r="217" spans="3:8" hidden="1" x14ac:dyDescent="0.25"/>
    <row r="218" spans="3:8" hidden="1" x14ac:dyDescent="0.25"/>
    <row r="219" spans="3:8" hidden="1" x14ac:dyDescent="0.25"/>
    <row r="220" spans="3:8" hidden="1" x14ac:dyDescent="0.25"/>
    <row r="221" spans="3:8" hidden="1" x14ac:dyDescent="0.25"/>
    <row r="222" spans="3:8" hidden="1" x14ac:dyDescent="0.25"/>
    <row r="223" spans="3:8" hidden="1" x14ac:dyDescent="0.25"/>
    <row r="224" spans="3:8"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sheetData>
  <mergeCells count="6">
    <mergeCell ref="C1:D1"/>
    <mergeCell ref="E1:F1"/>
    <mergeCell ref="C2:D2"/>
    <mergeCell ref="E2:F2"/>
    <mergeCell ref="C3:D3"/>
    <mergeCell ref="E3:F3"/>
  </mergeCells>
  <conditionalFormatting sqref="D7:D12">
    <cfRule type="cellIs" dxfId="147" priority="2" stopIfTrue="1" operator="greaterThan">
      <formula>50</formula>
    </cfRule>
    <cfRule type="cellIs" dxfId="146" priority="11" stopIfTrue="1" operator="equal">
      <formula>0</formula>
    </cfRule>
  </conditionalFormatting>
  <conditionalFormatting sqref="D7:D61">
    <cfRule type="cellIs" dxfId="145" priority="9" stopIfTrue="1" operator="between">
      <formula>-0.1</formula>
      <formula>-50</formula>
    </cfRule>
    <cfRule type="cellIs" dxfId="144" priority="10" stopIfTrue="1" operator="between">
      <formula>0.1</formula>
      <formula>50</formula>
    </cfRule>
  </conditionalFormatting>
  <conditionalFormatting sqref="G152:G181 G7:G150">
    <cfRule type="cellIs" dxfId="143" priority="7" stopIfTrue="1" operator="between">
      <formula>-0.1</formula>
      <formula>-50</formula>
    </cfRule>
    <cfRule type="cellIs" dxfId="142" priority="8" stopIfTrue="1" operator="between">
      <formula>0.1</formula>
      <formula>50</formula>
    </cfRule>
  </conditionalFormatting>
  <conditionalFormatting sqref="D111:D155">
    <cfRule type="cellIs" dxfId="141" priority="5" stopIfTrue="1" operator="between">
      <formula>-0.1</formula>
      <formula>-50</formula>
    </cfRule>
    <cfRule type="cellIs" dxfId="140" priority="6" stopIfTrue="1" operator="between">
      <formula>0.1</formula>
      <formula>50</formula>
    </cfRule>
  </conditionalFormatting>
  <conditionalFormatting sqref="G165">
    <cfRule type="expression" dxfId="139" priority="4" stopIfTrue="1">
      <formula>AND($G$165&gt;0,$G$151&gt;0)</formula>
    </cfRule>
  </conditionalFormatting>
  <conditionalFormatting sqref="G151">
    <cfRule type="expression" dxfId="138" priority="1" stopIfTrue="1">
      <formula>AND($G$151&gt;0,$G$165&gt;0)</formula>
    </cfRule>
  </conditionalFormatting>
  <dataValidations count="11">
    <dataValidation type="custom" operator="greaterThan" showInputMessage="1" showErrorMessage="1" errorTitle="RDM" error="No se admite ingresar RDM como ingresos y egresos a la vez. Tampoco se admiten valores menores a $50._x000a_" sqref="G151">
      <formula1>AND(OR(G151=0, G151&gt;50),G165=0)</formula1>
    </dataValidation>
    <dataValidation type="whole" operator="greaterThan" allowBlank="1" showInputMessage="1" showErrorMessage="1" sqref="D8:D12">
      <formula1>50</formula1>
    </dataValidation>
    <dataValidation type="whole" operator="greaterThan" showInputMessage="1" showErrorMessage="1" errorTitle="eee" error="Valores mayores a $50" sqref="D7">
      <formula1>50</formula1>
    </dataValidation>
    <dataValidation type="custom" operator="greaterThan" showInputMessage="1" showErrorMessage="1" errorTitle="eee" sqref="D56">
      <formula1>OR(D56=0, D56&lt;50)</formula1>
    </dataValidation>
    <dataValidation type="custom" operator="greaterThan" showInputMessage="1" showErrorMessage="1" errorTitle="eee" sqref="D57:D61">
      <formula1>OR(D57=0, D57&lt;0)</formula1>
    </dataValidation>
    <dataValidation type="custom" operator="greaterThan" showInputMessage="1" showErrorMessage="1" errorTitle="eee" sqref="G7:G140 D62:D155 G152:G164 G166:G181 G144:G150 D13:D55">
      <formula1>OR(D7=0, D7&gt;50)</formula1>
    </dataValidation>
    <dataValidation type="whole" allowBlank="1" showErrorMessage="1" errorTitle="Error de datos" error="Debe ingresar un valor entre 1 y 12" sqref="G1:G3">
      <formula1>1</formula1>
      <formula2>12</formula2>
    </dataValidation>
    <dataValidation allowBlank="1" errorTitle="Error de datos" error="Debe introducir una fecha válida" sqref="E3"/>
    <dataValidation allowBlank="1" sqref="G204"/>
    <dataValidation operator="greaterThanOrEqual" allowBlank="1" errorTitle="Error de datos" error="Debe ingresar un valor entero positivo" sqref="F6:F107 F203 C13:C47 C106:C153 F171 F174:F178 F180 F111:F119 C7:C10 F121:F140 F143:F169 C49:C62 C155 F109"/>
    <dataValidation type="custom" operator="greaterThan" showInputMessage="1" showErrorMessage="1" errorTitle="rdm2" error="No se admite ingresar a la vez RDM como ingresos y como egresos. Tampoco se admiten valores negattivos o positivos menores de 50" sqref="G165">
      <formula1>AND(OR(G165=0, G165&gt;50),G151=0)</formula1>
    </dataValidation>
  </dataValidations>
  <pageMargins left="0.7" right="0.7" top="0.75" bottom="0.75" header="0.3" footer="0.3"/>
  <ignoredErrors>
    <ignoredError sqref="E7:E181" numberStoredAsText="1"/>
    <ignoredError sqref="D14:D19 D41:D46 D136 G10:G16 G21 G39 G47 G50:G56 G63:G77 G82:G94 G96:G99 G122 G137:G138 G166:G167" unlockedFormula="1"/>
  </ignoredErrors>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15"/>
  <sheetViews>
    <sheetView showGridLines="0" workbookViewId="0">
      <selection activeCell="F4" sqref="F4"/>
    </sheetView>
  </sheetViews>
  <sheetFormatPr baseColWidth="10" defaultColWidth="0" defaultRowHeight="15" zeroHeight="1" x14ac:dyDescent="0.25"/>
  <cols>
    <col min="1" max="1" width="3.7109375" style="1" customWidth="1"/>
    <col min="2" max="2" width="14.28515625" style="7" hidden="1" customWidth="1"/>
    <col min="3" max="3" width="58.5703125" style="58" customWidth="1"/>
    <col min="4" max="4" width="25.140625" style="58" customWidth="1"/>
    <col min="5" max="5" width="5.85546875" style="82" customWidth="1"/>
    <col min="6" max="6" width="57.28515625" style="58" customWidth="1"/>
    <col min="7" max="7" width="24.7109375" style="58" customWidth="1"/>
    <col min="8" max="8" width="5.42578125" style="5" customWidth="1"/>
    <col min="9" max="16384" width="0" style="5" hidden="1"/>
  </cols>
  <sheetData>
    <row r="1" spans="1:9" ht="15.75" x14ac:dyDescent="0.25">
      <c r="B1" s="2"/>
      <c r="C1" s="313" t="s">
        <v>0</v>
      </c>
      <c r="D1" s="314"/>
      <c r="E1" s="315" t="str">
        <f>[23]Presentacion!C2</f>
        <v>CRAME</v>
      </c>
      <c r="F1" s="315"/>
      <c r="G1" s="3"/>
      <c r="H1" s="4"/>
    </row>
    <row r="2" spans="1:9" ht="15.75" x14ac:dyDescent="0.25">
      <c r="B2" s="6"/>
      <c r="C2" s="313" t="s">
        <v>1</v>
      </c>
      <c r="D2" s="314"/>
      <c r="E2" s="315" t="str">
        <f>[23]Presentacion!C3</f>
        <v>Maldonado</v>
      </c>
      <c r="F2" s="315"/>
      <c r="G2" s="3"/>
      <c r="H2" s="4"/>
    </row>
    <row r="3" spans="1:9" ht="15.75" x14ac:dyDescent="0.25">
      <c r="B3" s="6"/>
      <c r="C3" s="313" t="s">
        <v>2</v>
      </c>
      <c r="D3" s="316"/>
      <c r="E3" s="317" t="s">
        <v>3</v>
      </c>
      <c r="F3" s="317"/>
      <c r="G3" s="3"/>
      <c r="H3" s="4"/>
    </row>
    <row r="4" spans="1:9" ht="15.75" thickBot="1" x14ac:dyDescent="0.3">
      <c r="C4" s="287"/>
      <c r="D4" s="8"/>
      <c r="E4" s="9"/>
      <c r="F4" s="10"/>
      <c r="G4" s="11"/>
    </row>
    <row r="5" spans="1:9" ht="16.5" thickBot="1" x14ac:dyDescent="0.3">
      <c r="B5" s="12"/>
      <c r="C5" s="13" t="s">
        <v>4</v>
      </c>
      <c r="D5" s="284" t="s">
        <v>5</v>
      </c>
      <c r="E5" s="14"/>
      <c r="F5" s="13" t="s">
        <v>6</v>
      </c>
      <c r="G5" s="284" t="s">
        <v>5</v>
      </c>
      <c r="I5" s="15"/>
    </row>
    <row r="6" spans="1:9" ht="16.5" thickBot="1" x14ac:dyDescent="0.3">
      <c r="B6" s="12"/>
      <c r="C6" s="16" t="s">
        <v>7</v>
      </c>
      <c r="D6" s="290">
        <f>+[23]E.S.P.!D6</f>
        <v>2020</v>
      </c>
      <c r="E6" s="18"/>
      <c r="F6" s="16" t="s">
        <v>8</v>
      </c>
      <c r="G6" s="290">
        <f>+D6</f>
        <v>2020</v>
      </c>
      <c r="H6" s="15"/>
    </row>
    <row r="7" spans="1:9" x14ac:dyDescent="0.25">
      <c r="B7" s="6" t="s">
        <v>9</v>
      </c>
      <c r="C7" s="19" t="s">
        <v>10</v>
      </c>
      <c r="D7" s="20">
        <v>58678334</v>
      </c>
      <c r="E7" s="21" t="s">
        <v>11</v>
      </c>
      <c r="F7" s="22" t="s">
        <v>12</v>
      </c>
      <c r="G7" s="23">
        <v>3732275</v>
      </c>
    </row>
    <row r="8" spans="1:9" x14ac:dyDescent="0.25">
      <c r="B8" s="6" t="s">
        <v>13</v>
      </c>
      <c r="C8" s="19" t="s">
        <v>14</v>
      </c>
      <c r="D8" s="20">
        <v>38442353</v>
      </c>
      <c r="E8" s="21" t="s">
        <v>15</v>
      </c>
      <c r="F8" s="19" t="s">
        <v>16</v>
      </c>
      <c r="G8" s="24">
        <v>0</v>
      </c>
    </row>
    <row r="9" spans="1:9" x14ac:dyDescent="0.25">
      <c r="B9" s="6" t="s">
        <v>17</v>
      </c>
      <c r="C9" s="19" t="s">
        <v>18</v>
      </c>
      <c r="D9" s="20">
        <v>1181301223</v>
      </c>
      <c r="E9" s="21" t="s">
        <v>19</v>
      </c>
      <c r="F9" s="19" t="s">
        <v>20</v>
      </c>
      <c r="G9" s="20">
        <v>112541228</v>
      </c>
    </row>
    <row r="10" spans="1:9" x14ac:dyDescent="0.25">
      <c r="B10" s="6" t="s">
        <v>21</v>
      </c>
      <c r="C10" s="19" t="s">
        <v>22</v>
      </c>
      <c r="D10" s="20">
        <v>103523808</v>
      </c>
      <c r="E10" s="21" t="s">
        <v>23</v>
      </c>
      <c r="F10" s="19" t="s">
        <v>24</v>
      </c>
      <c r="G10" s="20">
        <v>0</v>
      </c>
    </row>
    <row r="11" spans="1:9" x14ac:dyDescent="0.25">
      <c r="B11" s="6" t="s">
        <v>25</v>
      </c>
      <c r="C11" s="19" t="s">
        <v>26</v>
      </c>
      <c r="D11" s="20">
        <v>47722292</v>
      </c>
      <c r="E11" s="21" t="s">
        <v>27</v>
      </c>
      <c r="F11" s="19" t="s">
        <v>28</v>
      </c>
      <c r="G11" s="20">
        <v>351296848</v>
      </c>
    </row>
    <row r="12" spans="1:9" x14ac:dyDescent="0.25">
      <c r="B12" s="6" t="s">
        <v>29</v>
      </c>
      <c r="C12" s="19" t="s">
        <v>30</v>
      </c>
      <c r="D12" s="20">
        <v>35413924</v>
      </c>
      <c r="E12" s="21" t="s">
        <v>31</v>
      </c>
      <c r="F12" s="19" t="s">
        <v>32</v>
      </c>
      <c r="G12" s="20">
        <v>0</v>
      </c>
    </row>
    <row r="13" spans="1:9" x14ac:dyDescent="0.25">
      <c r="B13" s="6" t="s">
        <v>33</v>
      </c>
      <c r="C13" s="19" t="s">
        <v>34</v>
      </c>
      <c r="D13" s="20">
        <v>0</v>
      </c>
      <c r="E13" s="21" t="s">
        <v>35</v>
      </c>
      <c r="F13" s="19" t="s">
        <v>36</v>
      </c>
      <c r="G13" s="20">
        <v>94997372</v>
      </c>
    </row>
    <row r="14" spans="1:9" x14ac:dyDescent="0.25">
      <c r="A14" s="25"/>
      <c r="B14" s="6" t="s">
        <v>37</v>
      </c>
      <c r="C14" s="19" t="s">
        <v>38</v>
      </c>
      <c r="D14" s="20">
        <v>417861</v>
      </c>
      <c r="E14" s="21" t="s">
        <v>39</v>
      </c>
      <c r="F14" s="19" t="s">
        <v>40</v>
      </c>
      <c r="G14" s="20">
        <v>175219129</v>
      </c>
    </row>
    <row r="15" spans="1:9" x14ac:dyDescent="0.25">
      <c r="B15" s="6" t="s">
        <v>41</v>
      </c>
      <c r="C15" s="26" t="s">
        <v>42</v>
      </c>
      <c r="D15" s="20">
        <v>0</v>
      </c>
      <c r="E15" s="21" t="s">
        <v>43</v>
      </c>
      <c r="F15" s="19" t="s">
        <v>44</v>
      </c>
      <c r="G15" s="20">
        <v>70873030</v>
      </c>
    </row>
    <row r="16" spans="1:9" x14ac:dyDescent="0.25">
      <c r="B16" s="6" t="s">
        <v>45</v>
      </c>
      <c r="C16" s="19" t="s">
        <v>46</v>
      </c>
      <c r="D16" s="20">
        <v>0</v>
      </c>
      <c r="E16" s="21" t="s">
        <v>47</v>
      </c>
      <c r="F16" s="19" t="s">
        <v>48</v>
      </c>
      <c r="G16" s="20">
        <v>0</v>
      </c>
    </row>
    <row r="17" spans="1:7" x14ac:dyDescent="0.25">
      <c r="B17" s="6" t="s">
        <v>49</v>
      </c>
      <c r="C17" s="19" t="s">
        <v>50</v>
      </c>
      <c r="D17" s="20">
        <v>0</v>
      </c>
      <c r="E17" s="21" t="s">
        <v>51</v>
      </c>
      <c r="F17" s="19" t="s">
        <v>52</v>
      </c>
      <c r="G17" s="20">
        <v>0</v>
      </c>
    </row>
    <row r="18" spans="1:7" x14ac:dyDescent="0.25">
      <c r="A18" s="25"/>
      <c r="B18" s="6" t="s">
        <v>53</v>
      </c>
      <c r="C18" s="19" t="s">
        <v>54</v>
      </c>
      <c r="D18" s="20">
        <v>528166</v>
      </c>
      <c r="E18" s="21" t="s">
        <v>55</v>
      </c>
      <c r="F18" s="19" t="s">
        <v>56</v>
      </c>
      <c r="G18" s="27">
        <v>34797425</v>
      </c>
    </row>
    <row r="19" spans="1:7" ht="15.75" thickBot="1" x14ac:dyDescent="0.3">
      <c r="A19" s="25"/>
      <c r="B19" s="6" t="s">
        <v>57</v>
      </c>
      <c r="C19" s="19" t="s">
        <v>58</v>
      </c>
      <c r="D19" s="20">
        <v>61157856</v>
      </c>
      <c r="E19" s="21"/>
      <c r="F19" s="28" t="s">
        <v>59</v>
      </c>
      <c r="G19" s="29">
        <f>SUM(G7:G18)</f>
        <v>843457307</v>
      </c>
    </row>
    <row r="20" spans="1:7" ht="15.75" thickBot="1" x14ac:dyDescent="0.3">
      <c r="B20" s="6"/>
      <c r="C20" s="28" t="s">
        <v>60</v>
      </c>
      <c r="D20" s="29">
        <f>SUM(D7:D19)</f>
        <v>1527185817</v>
      </c>
      <c r="E20" s="21" t="s">
        <v>61</v>
      </c>
      <c r="F20" s="22" t="s">
        <v>62</v>
      </c>
      <c r="G20" s="23"/>
    </row>
    <row r="21" spans="1:7" x14ac:dyDescent="0.25">
      <c r="B21" s="6"/>
      <c r="C21" s="30" t="s">
        <v>63</v>
      </c>
      <c r="D21" s="31">
        <f>SUM(D22:D28)</f>
        <v>23173426</v>
      </c>
      <c r="E21" s="21" t="s">
        <v>64</v>
      </c>
      <c r="F21" s="19" t="s">
        <v>65</v>
      </c>
      <c r="G21" s="20">
        <v>18488109</v>
      </c>
    </row>
    <row r="22" spans="1:7" x14ac:dyDescent="0.25">
      <c r="B22" s="6" t="s">
        <v>66</v>
      </c>
      <c r="C22" s="19" t="s">
        <v>67</v>
      </c>
      <c r="D22" s="20">
        <v>13813712</v>
      </c>
      <c r="E22" s="21" t="s">
        <v>68</v>
      </c>
      <c r="F22" s="19" t="s">
        <v>69</v>
      </c>
      <c r="G22" s="20">
        <v>2485769</v>
      </c>
    </row>
    <row r="23" spans="1:7" x14ac:dyDescent="0.25">
      <c r="B23" s="6" t="s">
        <v>70</v>
      </c>
      <c r="C23" s="19" t="s">
        <v>71</v>
      </c>
      <c r="D23" s="20">
        <v>2399366</v>
      </c>
      <c r="E23" s="21" t="s">
        <v>72</v>
      </c>
      <c r="F23" s="19" t="s">
        <v>73</v>
      </c>
      <c r="G23" s="20">
        <v>13283794</v>
      </c>
    </row>
    <row r="24" spans="1:7" x14ac:dyDescent="0.25">
      <c r="B24" s="6" t="s">
        <v>74</v>
      </c>
      <c r="C24" s="19" t="s">
        <v>75</v>
      </c>
      <c r="D24" s="20">
        <v>5760445</v>
      </c>
      <c r="E24" s="21" t="s">
        <v>76</v>
      </c>
      <c r="F24" s="19" t="s">
        <v>77</v>
      </c>
      <c r="G24" s="20"/>
    </row>
    <row r="25" spans="1:7" x14ac:dyDescent="0.25">
      <c r="B25" s="6" t="s">
        <v>78</v>
      </c>
      <c r="C25" s="19" t="s">
        <v>79</v>
      </c>
      <c r="D25" s="20">
        <v>0</v>
      </c>
      <c r="E25" s="21" t="s">
        <v>80</v>
      </c>
      <c r="F25" s="19" t="s">
        <v>81</v>
      </c>
      <c r="G25" s="20">
        <v>5992371.8500000006</v>
      </c>
    </row>
    <row r="26" spans="1:7" x14ac:dyDescent="0.25">
      <c r="B26" s="6" t="s">
        <v>82</v>
      </c>
      <c r="C26" s="19" t="s">
        <v>83</v>
      </c>
      <c r="D26" s="20">
        <v>174000</v>
      </c>
      <c r="E26" s="21" t="s">
        <v>84</v>
      </c>
      <c r="F26" s="19" t="s">
        <v>85</v>
      </c>
      <c r="G26" s="27">
        <v>1836394</v>
      </c>
    </row>
    <row r="27" spans="1:7" ht="15.75" thickBot="1" x14ac:dyDescent="0.3">
      <c r="B27" s="6" t="s">
        <v>86</v>
      </c>
      <c r="C27" s="19" t="s">
        <v>87</v>
      </c>
      <c r="D27" s="20">
        <v>0</v>
      </c>
      <c r="E27" s="21"/>
      <c r="F27" s="28" t="s">
        <v>88</v>
      </c>
      <c r="G27" s="29">
        <f>SUM(G20:G26)</f>
        <v>42086437.850000001</v>
      </c>
    </row>
    <row r="28" spans="1:7" x14ac:dyDescent="0.25">
      <c r="B28" s="6" t="s">
        <v>89</v>
      </c>
      <c r="C28" s="19" t="s">
        <v>90</v>
      </c>
      <c r="D28" s="20">
        <v>1025903</v>
      </c>
      <c r="E28" s="21" t="s">
        <v>91</v>
      </c>
      <c r="F28" s="22" t="s">
        <v>92</v>
      </c>
      <c r="G28" s="23">
        <v>70732002</v>
      </c>
    </row>
    <row r="29" spans="1:7" x14ac:dyDescent="0.25">
      <c r="B29" s="6"/>
      <c r="C29" s="32" t="s">
        <v>93</v>
      </c>
      <c r="D29" s="31">
        <f>SUM(D30:D34)</f>
        <v>91278688</v>
      </c>
      <c r="E29" s="21" t="s">
        <v>94</v>
      </c>
      <c r="F29" s="19" t="s">
        <v>95</v>
      </c>
      <c r="G29" s="20">
        <v>0</v>
      </c>
    </row>
    <row r="30" spans="1:7" x14ac:dyDescent="0.25">
      <c r="B30" s="6" t="s">
        <v>96</v>
      </c>
      <c r="C30" s="19" t="s">
        <v>97</v>
      </c>
      <c r="D30" s="20">
        <v>62747887</v>
      </c>
      <c r="E30" s="21" t="s">
        <v>98</v>
      </c>
      <c r="F30" s="19" t="s">
        <v>99</v>
      </c>
      <c r="G30" s="20">
        <v>0</v>
      </c>
    </row>
    <row r="31" spans="1:7" x14ac:dyDescent="0.25">
      <c r="B31" s="6" t="s">
        <v>100</v>
      </c>
      <c r="C31" s="19" t="s">
        <v>101</v>
      </c>
      <c r="D31" s="20">
        <v>10497960</v>
      </c>
      <c r="E31" s="21" t="s">
        <v>102</v>
      </c>
      <c r="F31" s="19" t="s">
        <v>103</v>
      </c>
      <c r="G31" s="27">
        <v>3149488</v>
      </c>
    </row>
    <row r="32" spans="1:7" ht="15.75" thickBot="1" x14ac:dyDescent="0.3">
      <c r="B32" s="6" t="s">
        <v>104</v>
      </c>
      <c r="C32" s="19" t="s">
        <v>105</v>
      </c>
      <c r="D32" s="20">
        <v>14268363</v>
      </c>
      <c r="E32" s="21"/>
      <c r="F32" s="28" t="s">
        <v>106</v>
      </c>
      <c r="G32" s="29">
        <f>SUM(G28:G31)</f>
        <v>73881490</v>
      </c>
    </row>
    <row r="33" spans="2:7" x14ac:dyDescent="0.25">
      <c r="B33" s="6" t="s">
        <v>107</v>
      </c>
      <c r="C33" s="19" t="s">
        <v>108</v>
      </c>
      <c r="D33" s="20">
        <v>0</v>
      </c>
      <c r="E33" s="21"/>
      <c r="F33" s="32" t="s">
        <v>109</v>
      </c>
      <c r="G33" s="31">
        <f>SUM(G34:G39)</f>
        <v>102016577</v>
      </c>
    </row>
    <row r="34" spans="2:7" x14ac:dyDescent="0.25">
      <c r="B34" s="6" t="s">
        <v>110</v>
      </c>
      <c r="C34" s="19" t="s">
        <v>111</v>
      </c>
      <c r="D34" s="20">
        <v>3764478</v>
      </c>
      <c r="E34" s="21" t="s">
        <v>112</v>
      </c>
      <c r="F34" s="19" t="s">
        <v>113</v>
      </c>
      <c r="G34" s="20">
        <v>0</v>
      </c>
    </row>
    <row r="35" spans="2:7" ht="15.75" thickBot="1" x14ac:dyDescent="0.3">
      <c r="B35" s="6"/>
      <c r="C35" s="28" t="s">
        <v>114</v>
      </c>
      <c r="D35" s="29">
        <f>+D21+D29</f>
        <v>114452114</v>
      </c>
      <c r="E35" s="21" t="s">
        <v>115</v>
      </c>
      <c r="F35" s="19" t="s">
        <v>116</v>
      </c>
      <c r="G35" s="20">
        <v>0</v>
      </c>
    </row>
    <row r="36" spans="2:7" x14ac:dyDescent="0.25">
      <c r="B36" s="6" t="s">
        <v>117</v>
      </c>
      <c r="C36" s="19" t="s">
        <v>118</v>
      </c>
      <c r="D36" s="20">
        <v>53628283</v>
      </c>
      <c r="E36" s="21" t="s">
        <v>119</v>
      </c>
      <c r="F36" s="19" t="s">
        <v>120</v>
      </c>
      <c r="G36" s="20">
        <v>0</v>
      </c>
    </row>
    <row r="37" spans="2:7" x14ac:dyDescent="0.25">
      <c r="B37" s="6" t="s">
        <v>121</v>
      </c>
      <c r="C37" s="19" t="s">
        <v>122</v>
      </c>
      <c r="D37" s="20">
        <v>7764956</v>
      </c>
      <c r="E37" s="21" t="s">
        <v>123</v>
      </c>
      <c r="F37" s="19" t="s">
        <v>124</v>
      </c>
      <c r="G37" s="20">
        <v>0</v>
      </c>
    </row>
    <row r="38" spans="2:7" x14ac:dyDescent="0.25">
      <c r="B38" s="6" t="s">
        <v>125</v>
      </c>
      <c r="C38" s="19" t="s">
        <v>126</v>
      </c>
      <c r="D38" s="20">
        <v>10486055</v>
      </c>
      <c r="E38" s="21" t="s">
        <v>127</v>
      </c>
      <c r="F38" s="19" t="s">
        <v>128</v>
      </c>
      <c r="G38" s="20">
        <v>0</v>
      </c>
    </row>
    <row r="39" spans="2:7" x14ac:dyDescent="0.25">
      <c r="B39" s="6" t="s">
        <v>129</v>
      </c>
      <c r="C39" s="19" t="s">
        <v>130</v>
      </c>
      <c r="D39" s="20">
        <v>0</v>
      </c>
      <c r="E39" s="21" t="s">
        <v>131</v>
      </c>
      <c r="F39" s="19" t="s">
        <v>132</v>
      </c>
      <c r="G39" s="20">
        <v>102016577</v>
      </c>
    </row>
    <row r="40" spans="2:7" x14ac:dyDescent="0.25">
      <c r="B40" s="6" t="s">
        <v>133</v>
      </c>
      <c r="C40" s="19" t="s">
        <v>134</v>
      </c>
      <c r="D40" s="20">
        <v>0</v>
      </c>
      <c r="E40" s="21"/>
      <c r="F40" s="33" t="s">
        <v>135</v>
      </c>
      <c r="G40" s="34">
        <f>SUM(G41:G46)</f>
        <v>16165915</v>
      </c>
    </row>
    <row r="41" spans="2:7" x14ac:dyDescent="0.25">
      <c r="B41" s="6" t="s">
        <v>136</v>
      </c>
      <c r="C41" s="19" t="s">
        <v>137</v>
      </c>
      <c r="D41" s="20">
        <v>1478619</v>
      </c>
      <c r="E41" s="21" t="s">
        <v>138</v>
      </c>
      <c r="F41" s="19" t="s">
        <v>139</v>
      </c>
      <c r="G41" s="20">
        <v>0</v>
      </c>
    </row>
    <row r="42" spans="2:7" x14ac:dyDescent="0.25">
      <c r="B42" s="6" t="s">
        <v>140</v>
      </c>
      <c r="C42" s="19" t="s">
        <v>141</v>
      </c>
      <c r="D42" s="20">
        <v>82563259</v>
      </c>
      <c r="E42" s="21" t="s">
        <v>142</v>
      </c>
      <c r="F42" s="19" t="s">
        <v>143</v>
      </c>
      <c r="G42" s="20">
        <v>0</v>
      </c>
    </row>
    <row r="43" spans="2:7" x14ac:dyDescent="0.25">
      <c r="B43" s="6" t="s">
        <v>144</v>
      </c>
      <c r="C43" s="19" t="s">
        <v>145</v>
      </c>
      <c r="D43" s="20">
        <v>0</v>
      </c>
      <c r="E43" s="21" t="s">
        <v>146</v>
      </c>
      <c r="F43" s="19" t="s">
        <v>147</v>
      </c>
      <c r="G43" s="20">
        <v>0</v>
      </c>
    </row>
    <row r="44" spans="2:7" x14ac:dyDescent="0.25">
      <c r="B44" s="6" t="s">
        <v>148</v>
      </c>
      <c r="C44" s="19" t="s">
        <v>149</v>
      </c>
      <c r="D44" s="20">
        <v>0</v>
      </c>
      <c r="E44" s="21" t="s">
        <v>150</v>
      </c>
      <c r="F44" s="19" t="s">
        <v>151</v>
      </c>
      <c r="G44" s="20">
        <v>0</v>
      </c>
    </row>
    <row r="45" spans="2:7" x14ac:dyDescent="0.25">
      <c r="B45" s="6" t="s">
        <v>152</v>
      </c>
      <c r="C45" s="19" t="s">
        <v>153</v>
      </c>
      <c r="D45" s="20">
        <v>0</v>
      </c>
      <c r="E45" s="21" t="s">
        <v>154</v>
      </c>
      <c r="F45" s="19" t="s">
        <v>155</v>
      </c>
      <c r="G45" s="20">
        <v>0</v>
      </c>
    </row>
    <row r="46" spans="2:7" x14ac:dyDescent="0.25">
      <c r="B46" s="6" t="s">
        <v>156</v>
      </c>
      <c r="C46" s="19" t="s">
        <v>157</v>
      </c>
      <c r="D46" s="20">
        <v>7843977</v>
      </c>
      <c r="E46" s="21" t="s">
        <v>158</v>
      </c>
      <c r="F46" s="19" t="s">
        <v>159</v>
      </c>
      <c r="G46" s="20">
        <v>16165915</v>
      </c>
    </row>
    <row r="47" spans="2:7" ht="15.75" thickBot="1" x14ac:dyDescent="0.3">
      <c r="B47" s="6"/>
      <c r="C47" s="28" t="s">
        <v>160</v>
      </c>
      <c r="D47" s="29">
        <f>SUM(D36:D46)</f>
        <v>163765149</v>
      </c>
      <c r="E47" s="21" t="s">
        <v>161</v>
      </c>
      <c r="F47" s="19" t="s">
        <v>162</v>
      </c>
      <c r="G47" s="27">
        <v>4924172</v>
      </c>
    </row>
    <row r="48" spans="2:7" ht="15.75" thickBot="1" x14ac:dyDescent="0.3">
      <c r="B48" s="6"/>
      <c r="C48" s="35" t="s">
        <v>163</v>
      </c>
      <c r="D48" s="36"/>
      <c r="E48" s="21"/>
      <c r="F48" s="28" t="s">
        <v>164</v>
      </c>
      <c r="G48" s="37">
        <f>+G33+G40+G47</f>
        <v>123106664</v>
      </c>
    </row>
    <row r="49" spans="2:7" x14ac:dyDescent="0.25">
      <c r="B49" s="6" t="s">
        <v>165</v>
      </c>
      <c r="C49" s="38" t="s">
        <v>166</v>
      </c>
      <c r="D49" s="39">
        <v>0</v>
      </c>
      <c r="E49" s="21" t="s">
        <v>167</v>
      </c>
      <c r="F49" s="22" t="s">
        <v>168</v>
      </c>
      <c r="G49" s="23">
        <v>0</v>
      </c>
    </row>
    <row r="50" spans="2:7" x14ac:dyDescent="0.25">
      <c r="B50" s="6" t="s">
        <v>169</v>
      </c>
      <c r="C50" s="19" t="s">
        <v>163</v>
      </c>
      <c r="D50" s="20">
        <v>17631435</v>
      </c>
      <c r="E50" s="21" t="s">
        <v>170</v>
      </c>
      <c r="F50" s="19" t="s">
        <v>171</v>
      </c>
      <c r="G50" s="20">
        <v>60242355</v>
      </c>
    </row>
    <row r="51" spans="2:7" x14ac:dyDescent="0.25">
      <c r="B51" s="6" t="s">
        <v>172</v>
      </c>
      <c r="C51" s="19" t="s">
        <v>173</v>
      </c>
      <c r="D51" s="27">
        <v>673934</v>
      </c>
      <c r="E51" s="21" t="s">
        <v>174</v>
      </c>
      <c r="F51" s="19" t="s">
        <v>175</v>
      </c>
      <c r="G51" s="20">
        <v>0</v>
      </c>
    </row>
    <row r="52" spans="2:7" ht="15.75" thickBot="1" x14ac:dyDescent="0.3">
      <c r="B52" s="12"/>
      <c r="C52" s="28" t="s">
        <v>176</v>
      </c>
      <c r="D52" s="29">
        <f>SUM(D49:D51)</f>
        <v>18305369</v>
      </c>
      <c r="E52" s="21" t="s">
        <v>177</v>
      </c>
      <c r="F52" s="19" t="s">
        <v>178</v>
      </c>
      <c r="G52" s="20">
        <v>0</v>
      </c>
    </row>
    <row r="53" spans="2:7" ht="15.75" thickBot="1" x14ac:dyDescent="0.3">
      <c r="B53" s="6"/>
      <c r="C53" s="40" t="s">
        <v>179</v>
      </c>
      <c r="D53" s="41">
        <f>D20+D35+D47+D52</f>
        <v>1823708449</v>
      </c>
      <c r="E53" s="21" t="s">
        <v>180</v>
      </c>
      <c r="F53" s="19" t="s">
        <v>181</v>
      </c>
      <c r="G53" s="20">
        <v>0</v>
      </c>
    </row>
    <row r="54" spans="2:7" x14ac:dyDescent="0.25">
      <c r="C54" s="42"/>
      <c r="D54" s="43"/>
      <c r="E54" s="21" t="s">
        <v>182</v>
      </c>
      <c r="F54" s="19" t="s">
        <v>183</v>
      </c>
      <c r="G54" s="20">
        <v>0</v>
      </c>
    </row>
    <row r="55" spans="2:7" x14ac:dyDescent="0.25">
      <c r="C55" s="44" t="s">
        <v>184</v>
      </c>
      <c r="D55" s="45"/>
      <c r="E55" s="21" t="s">
        <v>185</v>
      </c>
      <c r="F55" s="19" t="s">
        <v>186</v>
      </c>
      <c r="G55" s="20">
        <v>0</v>
      </c>
    </row>
    <row r="56" spans="2:7" x14ac:dyDescent="0.25">
      <c r="B56" s="6" t="s">
        <v>187</v>
      </c>
      <c r="C56" s="46" t="s">
        <v>188</v>
      </c>
      <c r="D56" s="20">
        <v>0</v>
      </c>
      <c r="E56" s="21" t="s">
        <v>189</v>
      </c>
      <c r="F56" s="19" t="s">
        <v>190</v>
      </c>
      <c r="G56" s="27">
        <v>2464249</v>
      </c>
    </row>
    <row r="57" spans="2:7" ht="15.75" thickBot="1" x14ac:dyDescent="0.3">
      <c r="B57" s="6" t="s">
        <v>191</v>
      </c>
      <c r="C57" s="46" t="s">
        <v>192</v>
      </c>
      <c r="D57" s="20">
        <v>0</v>
      </c>
      <c r="E57" s="21"/>
      <c r="F57" s="28" t="s">
        <v>193</v>
      </c>
      <c r="G57" s="29">
        <f>SUM(G49:G56)</f>
        <v>62706604</v>
      </c>
    </row>
    <row r="58" spans="2:7" x14ac:dyDescent="0.25">
      <c r="B58" s="6" t="s">
        <v>194</v>
      </c>
      <c r="C58" s="46" t="s">
        <v>195</v>
      </c>
      <c r="D58" s="20">
        <v>-69349</v>
      </c>
      <c r="E58" s="21" t="s">
        <v>196</v>
      </c>
      <c r="F58" s="22" t="s">
        <v>197</v>
      </c>
      <c r="G58" s="23">
        <v>2741012.3</v>
      </c>
    </row>
    <row r="59" spans="2:7" x14ac:dyDescent="0.25">
      <c r="B59" s="6" t="s">
        <v>198</v>
      </c>
      <c r="C59" s="19" t="s">
        <v>199</v>
      </c>
      <c r="D59" s="27">
        <v>-2896</v>
      </c>
      <c r="E59" s="21" t="s">
        <v>200</v>
      </c>
      <c r="F59" s="19" t="s">
        <v>201</v>
      </c>
      <c r="G59" s="20">
        <v>11952635</v>
      </c>
    </row>
    <row r="60" spans="2:7" ht="15.75" thickBot="1" x14ac:dyDescent="0.3">
      <c r="B60" s="6"/>
      <c r="C60" s="28" t="s">
        <v>202</v>
      </c>
      <c r="D60" s="29">
        <f>SUM(D56:D59)</f>
        <v>-72245</v>
      </c>
      <c r="E60" s="21" t="s">
        <v>203</v>
      </c>
      <c r="F60" s="19" t="s">
        <v>204</v>
      </c>
      <c r="G60" s="20">
        <v>0</v>
      </c>
    </row>
    <row r="61" spans="2:7" ht="16.5" thickBot="1" x14ac:dyDescent="0.3">
      <c r="B61" s="47"/>
      <c r="C61" s="48" t="s">
        <v>205</v>
      </c>
      <c r="D61" s="49">
        <f>D53+D60</f>
        <v>1823636204</v>
      </c>
      <c r="E61" s="21" t="s">
        <v>206</v>
      </c>
      <c r="F61" s="19" t="s">
        <v>207</v>
      </c>
      <c r="G61" s="20">
        <v>0</v>
      </c>
    </row>
    <row r="62" spans="2:7" x14ac:dyDescent="0.25">
      <c r="B62" s="50"/>
      <c r="C62" s="51"/>
      <c r="D62" s="51"/>
      <c r="E62" s="21" t="s">
        <v>208</v>
      </c>
      <c r="F62" s="19" t="s">
        <v>209</v>
      </c>
      <c r="G62" s="20">
        <v>0</v>
      </c>
    </row>
    <row r="63" spans="2:7" x14ac:dyDescent="0.25">
      <c r="B63" s="52"/>
      <c r="C63" s="53" t="s">
        <v>8</v>
      </c>
      <c r="D63" s="53"/>
      <c r="E63" s="21" t="s">
        <v>210</v>
      </c>
      <c r="F63" s="19" t="s">
        <v>211</v>
      </c>
      <c r="G63" s="20">
        <v>88744196.689999998</v>
      </c>
    </row>
    <row r="64" spans="2:7" x14ac:dyDescent="0.25">
      <c r="B64" s="54" t="s">
        <v>212</v>
      </c>
      <c r="C64" s="55" t="s">
        <v>213</v>
      </c>
      <c r="D64" s="55">
        <f>[23]Amortizaciones!D6</f>
        <v>12571499.25</v>
      </c>
      <c r="E64" s="21" t="s">
        <v>214</v>
      </c>
      <c r="F64" s="19" t="s">
        <v>215</v>
      </c>
      <c r="G64" s="20">
        <v>6296687.9100000001</v>
      </c>
    </row>
    <row r="65" spans="2:7" x14ac:dyDescent="0.25">
      <c r="B65" s="54" t="s">
        <v>216</v>
      </c>
      <c r="C65" s="55" t="s">
        <v>217</v>
      </c>
      <c r="D65" s="55">
        <f>[23]Amortizaciones!D7</f>
        <v>0</v>
      </c>
      <c r="E65" s="21" t="s">
        <v>218</v>
      </c>
      <c r="F65" s="19" t="s">
        <v>219</v>
      </c>
      <c r="G65" s="20">
        <v>11261079.77</v>
      </c>
    </row>
    <row r="66" spans="2:7" x14ac:dyDescent="0.25">
      <c r="B66" s="54" t="s">
        <v>220</v>
      </c>
      <c r="C66" s="55" t="s">
        <v>221</v>
      </c>
      <c r="D66" s="55">
        <f>[23]Amortizaciones!D8</f>
        <v>16886661</v>
      </c>
      <c r="E66" s="21" t="s">
        <v>222</v>
      </c>
      <c r="F66" s="19" t="s">
        <v>223</v>
      </c>
      <c r="G66" s="20">
        <v>5844223.8300000001</v>
      </c>
    </row>
    <row r="67" spans="2:7" x14ac:dyDescent="0.25">
      <c r="B67" s="54" t="s">
        <v>224</v>
      </c>
      <c r="C67" s="55" t="s">
        <v>225</v>
      </c>
      <c r="D67" s="55">
        <f>[23]Amortizaciones!D9</f>
        <v>0</v>
      </c>
      <c r="E67" s="21" t="s">
        <v>226</v>
      </c>
      <c r="F67" s="19" t="s">
        <v>227</v>
      </c>
      <c r="G67" s="20">
        <v>6485632.1299999999</v>
      </c>
    </row>
    <row r="68" spans="2:7" x14ac:dyDescent="0.25">
      <c r="B68" s="54" t="s">
        <v>228</v>
      </c>
      <c r="C68" s="55" t="s">
        <v>229</v>
      </c>
      <c r="D68" s="55">
        <f>[23]Amortizaciones!D10</f>
        <v>0</v>
      </c>
      <c r="E68" s="21" t="s">
        <v>230</v>
      </c>
      <c r="F68" s="19" t="s">
        <v>231</v>
      </c>
      <c r="G68" s="20">
        <v>1699550.17</v>
      </c>
    </row>
    <row r="69" spans="2:7" x14ac:dyDescent="0.25">
      <c r="B69" s="54" t="s">
        <v>232</v>
      </c>
      <c r="C69" s="55" t="s">
        <v>233</v>
      </c>
      <c r="D69" s="55">
        <f>[23]Amortizaciones!D11</f>
        <v>0</v>
      </c>
      <c r="E69" s="21" t="s">
        <v>234</v>
      </c>
      <c r="F69" s="19" t="s">
        <v>235</v>
      </c>
      <c r="G69" s="20">
        <v>6176793.3700000001</v>
      </c>
    </row>
    <row r="70" spans="2:7" x14ac:dyDescent="0.25">
      <c r="B70" s="54" t="s">
        <v>236</v>
      </c>
      <c r="C70" s="55" t="s">
        <v>237</v>
      </c>
      <c r="D70" s="55">
        <f>[23]Amortizaciones!D12</f>
        <v>0</v>
      </c>
      <c r="E70" s="21" t="s">
        <v>238</v>
      </c>
      <c r="F70" s="19" t="s">
        <v>239</v>
      </c>
      <c r="G70" s="20">
        <v>2353360.2800000003</v>
      </c>
    </row>
    <row r="71" spans="2:7" x14ac:dyDescent="0.25">
      <c r="B71" s="54" t="s">
        <v>240</v>
      </c>
      <c r="C71" s="55" t="s">
        <v>241</v>
      </c>
      <c r="D71" s="55">
        <f>[23]Amortizaciones!D13</f>
        <v>0</v>
      </c>
      <c r="E71" s="21" t="s">
        <v>242</v>
      </c>
      <c r="F71" s="19" t="s">
        <v>243</v>
      </c>
      <c r="G71" s="20">
        <v>494514.54</v>
      </c>
    </row>
    <row r="72" spans="2:7" x14ac:dyDescent="0.25">
      <c r="B72" s="54" t="s">
        <v>244</v>
      </c>
      <c r="C72" s="55" t="s">
        <v>245</v>
      </c>
      <c r="D72" s="55">
        <f>[23]Amortizaciones!D14</f>
        <v>0</v>
      </c>
      <c r="E72" s="21" t="s">
        <v>246</v>
      </c>
      <c r="F72" s="19" t="s">
        <v>247</v>
      </c>
      <c r="G72" s="20">
        <v>11081705.859999999</v>
      </c>
    </row>
    <row r="73" spans="2:7" x14ac:dyDescent="0.25">
      <c r="B73" s="54" t="s">
        <v>248</v>
      </c>
      <c r="C73" s="55" t="s">
        <v>249</v>
      </c>
      <c r="D73" s="55">
        <f>[23]Amortizaciones!D15</f>
        <v>0</v>
      </c>
      <c r="E73" s="21" t="s">
        <v>250</v>
      </c>
      <c r="F73" s="19" t="s">
        <v>251</v>
      </c>
      <c r="G73" s="20">
        <v>0</v>
      </c>
    </row>
    <row r="74" spans="2:7" x14ac:dyDescent="0.25">
      <c r="B74" s="54" t="s">
        <v>252</v>
      </c>
      <c r="C74" s="55" t="s">
        <v>253</v>
      </c>
      <c r="D74" s="55">
        <f>[23]Amortizaciones!D16</f>
        <v>6914969</v>
      </c>
      <c r="E74" s="21" t="s">
        <v>254</v>
      </c>
      <c r="F74" s="19" t="s">
        <v>255</v>
      </c>
      <c r="G74" s="20">
        <v>0</v>
      </c>
    </row>
    <row r="75" spans="2:7" x14ac:dyDescent="0.25">
      <c r="B75" s="54" t="s">
        <v>256</v>
      </c>
      <c r="C75" s="55" t="s">
        <v>257</v>
      </c>
      <c r="D75" s="55">
        <f>[23]Amortizaciones!D17</f>
        <v>0</v>
      </c>
      <c r="E75" s="21" t="s">
        <v>258</v>
      </c>
      <c r="F75" s="19" t="s">
        <v>259</v>
      </c>
      <c r="G75" s="20">
        <v>5398439.4299999997</v>
      </c>
    </row>
    <row r="76" spans="2:7" x14ac:dyDescent="0.25">
      <c r="B76" s="54" t="s">
        <v>260</v>
      </c>
      <c r="C76" s="55" t="s">
        <v>261</v>
      </c>
      <c r="D76" s="55">
        <f>[23]Amortizaciones!D18</f>
        <v>0</v>
      </c>
      <c r="E76" s="21" t="s">
        <v>262</v>
      </c>
      <c r="F76" s="19" t="s">
        <v>263</v>
      </c>
      <c r="G76" s="20">
        <v>16328490.289999999</v>
      </c>
    </row>
    <row r="77" spans="2:7" x14ac:dyDescent="0.25">
      <c r="B77" s="54" t="s">
        <v>264</v>
      </c>
      <c r="C77" s="55" t="s">
        <v>265</v>
      </c>
      <c r="D77" s="55">
        <f>SUM(D64:D76)</f>
        <v>36373129.25</v>
      </c>
      <c r="E77" s="21" t="s">
        <v>266</v>
      </c>
      <c r="F77" s="19" t="s">
        <v>267</v>
      </c>
      <c r="G77" s="20">
        <v>55996822.539999917</v>
      </c>
    </row>
    <row r="78" spans="2:7" x14ac:dyDescent="0.25">
      <c r="B78" s="54"/>
      <c r="C78" s="55"/>
      <c r="D78" s="55"/>
      <c r="E78" s="21" t="s">
        <v>268</v>
      </c>
      <c r="F78" s="19" t="s">
        <v>269</v>
      </c>
      <c r="G78" s="27">
        <v>9532823</v>
      </c>
    </row>
    <row r="79" spans="2:7" ht="15.75" thickBot="1" x14ac:dyDescent="0.3">
      <c r="B79" s="54"/>
      <c r="C79" s="53" t="s">
        <v>270</v>
      </c>
      <c r="D79" s="56"/>
      <c r="E79" s="21"/>
      <c r="F79" s="28" t="s">
        <v>271</v>
      </c>
      <c r="G79" s="29">
        <f>SUM(G58:G78)</f>
        <v>242387967.1099999</v>
      </c>
    </row>
    <row r="80" spans="2:7" x14ac:dyDescent="0.25">
      <c r="B80" s="54" t="s">
        <v>272</v>
      </c>
      <c r="C80" s="55" t="s">
        <v>237</v>
      </c>
      <c r="D80" s="55">
        <f>[23]Amortizaciones!D22</f>
        <v>1838270</v>
      </c>
      <c r="E80" s="21" t="s">
        <v>273</v>
      </c>
      <c r="F80" s="22" t="s">
        <v>274</v>
      </c>
      <c r="G80" s="23">
        <v>9826812.8100000005</v>
      </c>
    </row>
    <row r="81" spans="2:7" x14ac:dyDescent="0.25">
      <c r="B81" s="54" t="s">
        <v>275</v>
      </c>
      <c r="C81" s="55" t="s">
        <v>241</v>
      </c>
      <c r="D81" s="55">
        <f>[23]Amortizaciones!D23</f>
        <v>73797</v>
      </c>
      <c r="E81" s="21" t="s">
        <v>276</v>
      </c>
      <c r="F81" s="19" t="s">
        <v>277</v>
      </c>
      <c r="G81" s="20">
        <v>7589565.5249999994</v>
      </c>
    </row>
    <row r="82" spans="2:7" x14ac:dyDescent="0.25">
      <c r="B82" s="54" t="s">
        <v>278</v>
      </c>
      <c r="C82" s="55" t="s">
        <v>245</v>
      </c>
      <c r="D82" s="55">
        <f>[23]Amortizaciones!D24</f>
        <v>2358457</v>
      </c>
      <c r="E82" s="21" t="s">
        <v>279</v>
      </c>
      <c r="F82" s="19" t="s">
        <v>280</v>
      </c>
      <c r="G82" s="20">
        <v>603598.57999999996</v>
      </c>
    </row>
    <row r="83" spans="2:7" x14ac:dyDescent="0.25">
      <c r="B83" s="54" t="s">
        <v>281</v>
      </c>
      <c r="C83" s="55" t="s">
        <v>249</v>
      </c>
      <c r="D83" s="55">
        <f>[23]Amortizaciones!D25</f>
        <v>0</v>
      </c>
      <c r="E83" s="21" t="s">
        <v>282</v>
      </c>
      <c r="F83" s="19" t="s">
        <v>283</v>
      </c>
      <c r="G83" s="20">
        <v>2477351.9324999992</v>
      </c>
    </row>
    <row r="84" spans="2:7" x14ac:dyDescent="0.25">
      <c r="B84" s="54" t="s">
        <v>284</v>
      </c>
      <c r="C84" s="55" t="s">
        <v>285</v>
      </c>
      <c r="D84" s="55">
        <v>0</v>
      </c>
      <c r="E84" s="21" t="s">
        <v>286</v>
      </c>
      <c r="F84" s="19" t="s">
        <v>287</v>
      </c>
      <c r="G84" s="20">
        <v>5559086.2575000003</v>
      </c>
    </row>
    <row r="85" spans="2:7" x14ac:dyDescent="0.25">
      <c r="B85" s="54" t="s">
        <v>288</v>
      </c>
      <c r="C85" s="55" t="s">
        <v>289</v>
      </c>
      <c r="D85" s="55">
        <f>[23]Amortizaciones!D27</f>
        <v>0</v>
      </c>
      <c r="E85" s="21" t="s">
        <v>290</v>
      </c>
      <c r="F85" s="19" t="s">
        <v>291</v>
      </c>
      <c r="G85" s="20">
        <v>2472235.7625000002</v>
      </c>
    </row>
    <row r="86" spans="2:7" x14ac:dyDescent="0.25">
      <c r="B86" s="54" t="s">
        <v>292</v>
      </c>
      <c r="C86" s="55" t="s">
        <v>293</v>
      </c>
      <c r="D86" s="55">
        <f>[23]Amortizaciones!D28</f>
        <v>0</v>
      </c>
      <c r="E86" s="21" t="s">
        <v>294</v>
      </c>
      <c r="F86" s="19" t="s">
        <v>295</v>
      </c>
      <c r="G86" s="20">
        <v>98127.352500000008</v>
      </c>
    </row>
    <row r="87" spans="2:7" x14ac:dyDescent="0.25">
      <c r="B87" s="54" t="s">
        <v>296</v>
      </c>
      <c r="C87" s="55" t="s">
        <v>297</v>
      </c>
      <c r="D87" s="55">
        <f>[23]Amortizaciones!D29</f>
        <v>0</v>
      </c>
      <c r="E87" s="21" t="s">
        <v>298</v>
      </c>
      <c r="F87" s="19" t="s">
        <v>299</v>
      </c>
      <c r="G87" s="20"/>
    </row>
    <row r="88" spans="2:7" x14ac:dyDescent="0.25">
      <c r="B88" s="54" t="s">
        <v>300</v>
      </c>
      <c r="C88" s="55" t="s">
        <v>301</v>
      </c>
      <c r="D88" s="55">
        <f>[23]Amortizaciones!D30</f>
        <v>2304990</v>
      </c>
      <c r="E88" s="21" t="s">
        <v>302</v>
      </c>
      <c r="F88" s="19" t="s">
        <v>303</v>
      </c>
      <c r="G88" s="20">
        <v>5578330.7624999993</v>
      </c>
    </row>
    <row r="89" spans="2:7" x14ac:dyDescent="0.25">
      <c r="B89" s="54" t="s">
        <v>304</v>
      </c>
      <c r="C89" s="55" t="s">
        <v>213</v>
      </c>
      <c r="D89" s="55">
        <f>[23]Amortizaciones!D31</f>
        <v>4190499.75</v>
      </c>
      <c r="E89" s="21" t="s">
        <v>305</v>
      </c>
      <c r="F89" s="19" t="s">
        <v>306</v>
      </c>
      <c r="G89" s="20"/>
    </row>
    <row r="90" spans="2:7" x14ac:dyDescent="0.25">
      <c r="B90" s="54" t="s">
        <v>307</v>
      </c>
      <c r="C90" s="55" t="s">
        <v>229</v>
      </c>
      <c r="D90" s="55">
        <f>[23]Amortizaciones!D32</f>
        <v>0</v>
      </c>
      <c r="E90" s="21" t="s">
        <v>308</v>
      </c>
      <c r="F90" s="19" t="s">
        <v>309</v>
      </c>
      <c r="G90" s="20"/>
    </row>
    <row r="91" spans="2:7" x14ac:dyDescent="0.25">
      <c r="B91" s="54" t="s">
        <v>310</v>
      </c>
      <c r="C91" s="55" t="s">
        <v>311</v>
      </c>
      <c r="D91" s="55">
        <f>SUM(D80:D90)</f>
        <v>10766013.75</v>
      </c>
      <c r="E91" s="52" t="s">
        <v>312</v>
      </c>
      <c r="F91" s="19" t="s">
        <v>313</v>
      </c>
      <c r="G91" s="20">
        <v>9612.75</v>
      </c>
    </row>
    <row r="92" spans="2:7" x14ac:dyDescent="0.25">
      <c r="B92" s="54"/>
      <c r="C92" s="57" t="s">
        <v>314</v>
      </c>
      <c r="D92" s="55">
        <f>D77+D91</f>
        <v>47139143</v>
      </c>
      <c r="E92" s="52" t="s">
        <v>315</v>
      </c>
      <c r="F92" s="19" t="s">
        <v>316</v>
      </c>
      <c r="G92" s="20"/>
    </row>
    <row r="93" spans="2:7" x14ac:dyDescent="0.25">
      <c r="E93" s="52" t="s">
        <v>317</v>
      </c>
      <c r="F93" s="19" t="s">
        <v>318</v>
      </c>
      <c r="G93" s="20">
        <v>40358077.932499997</v>
      </c>
    </row>
    <row r="94" spans="2:7" x14ac:dyDescent="0.25">
      <c r="E94" s="52" t="s">
        <v>319</v>
      </c>
      <c r="F94" s="19" t="s">
        <v>320</v>
      </c>
      <c r="G94" s="27">
        <v>2912793</v>
      </c>
    </row>
    <row r="95" spans="2:7" ht="13.5" customHeight="1" thickBot="1" x14ac:dyDescent="0.3">
      <c r="E95" s="21"/>
      <c r="F95" s="28" t="s">
        <v>321</v>
      </c>
      <c r="G95" s="29">
        <f>SUM(G80:G94)</f>
        <v>77485592.664999992</v>
      </c>
    </row>
    <row r="96" spans="2:7" x14ac:dyDescent="0.25">
      <c r="E96" s="52" t="s">
        <v>322</v>
      </c>
      <c r="F96" s="22" t="s">
        <v>323</v>
      </c>
      <c r="G96" s="23">
        <v>33375685</v>
      </c>
    </row>
    <row r="97" spans="2:7" x14ac:dyDescent="0.25">
      <c r="E97" s="52" t="s">
        <v>324</v>
      </c>
      <c r="F97" s="19" t="s">
        <v>325</v>
      </c>
      <c r="G97" s="20"/>
    </row>
    <row r="98" spans="2:7" x14ac:dyDescent="0.25">
      <c r="E98" s="52" t="s">
        <v>326</v>
      </c>
      <c r="F98" s="19" t="s">
        <v>327</v>
      </c>
      <c r="G98" s="20"/>
    </row>
    <row r="99" spans="2:7" x14ac:dyDescent="0.25">
      <c r="E99" s="52" t="s">
        <v>328</v>
      </c>
      <c r="F99" s="19" t="s">
        <v>329</v>
      </c>
      <c r="G99" s="20"/>
    </row>
    <row r="100" spans="2:7" x14ac:dyDescent="0.25">
      <c r="E100" s="52" t="s">
        <v>330</v>
      </c>
      <c r="F100" s="19" t="s">
        <v>331</v>
      </c>
      <c r="G100" s="27">
        <v>1322563</v>
      </c>
    </row>
    <row r="101" spans="2:7" ht="15.75" thickBot="1" x14ac:dyDescent="0.3">
      <c r="E101" s="21"/>
      <c r="F101" s="28" t="s">
        <v>332</v>
      </c>
      <c r="G101" s="29">
        <f>SUM(G96:G100)</f>
        <v>34698248</v>
      </c>
    </row>
    <row r="102" spans="2:7" ht="15.75" thickBot="1" x14ac:dyDescent="0.3">
      <c r="E102" s="52"/>
      <c r="F102" s="59" t="s">
        <v>333</v>
      </c>
      <c r="G102" s="60">
        <f>[23]Amortizaciones!D19</f>
        <v>36373129.25</v>
      </c>
    </row>
    <row r="103" spans="2:7" x14ac:dyDescent="0.25">
      <c r="E103" s="52" t="s">
        <v>334</v>
      </c>
      <c r="F103" s="19" t="s">
        <v>335</v>
      </c>
      <c r="G103" s="23">
        <v>0</v>
      </c>
    </row>
    <row r="104" spans="2:7" x14ac:dyDescent="0.25">
      <c r="E104" s="52" t="s">
        <v>336</v>
      </c>
      <c r="F104" s="61" t="s">
        <v>337</v>
      </c>
      <c r="G104" s="20">
        <v>0</v>
      </c>
    </row>
    <row r="105" spans="2:7" ht="15.75" thickBot="1" x14ac:dyDescent="0.3">
      <c r="E105" s="21"/>
      <c r="F105" s="28" t="s">
        <v>338</v>
      </c>
      <c r="G105" s="29">
        <f>SUM(G103:G104)</f>
        <v>0</v>
      </c>
    </row>
    <row r="106" spans="2:7" ht="13.7" customHeight="1" thickBot="1" x14ac:dyDescent="0.3">
      <c r="B106" s="6"/>
      <c r="C106" s="62"/>
      <c r="D106" s="62"/>
      <c r="E106" s="52"/>
      <c r="F106" s="48" t="s">
        <v>339</v>
      </c>
      <c r="G106" s="49">
        <f>G19+G27+G32+G48+G57+G79+G95+G101+G102+G105</f>
        <v>1536183439.8749998</v>
      </c>
    </row>
    <row r="107" spans="2:7" ht="13.7" customHeight="1" x14ac:dyDescent="0.25">
      <c r="B107" s="6"/>
      <c r="C107" s="62"/>
      <c r="D107" s="62"/>
      <c r="E107" s="21"/>
      <c r="F107" s="63"/>
      <c r="G107" s="64"/>
    </row>
    <row r="108" spans="2:7" ht="13.7" customHeight="1" thickBot="1" x14ac:dyDescent="0.3">
      <c r="B108" s="6"/>
      <c r="C108" s="62"/>
      <c r="D108" s="62"/>
      <c r="E108" s="21"/>
    </row>
    <row r="109" spans="2:7" ht="13.7" customHeight="1" thickBot="1" x14ac:dyDescent="0.3">
      <c r="B109" s="6"/>
      <c r="C109" s="62"/>
      <c r="D109" s="62"/>
      <c r="E109" s="21"/>
      <c r="F109" s="13" t="s">
        <v>340</v>
      </c>
      <c r="G109" s="65">
        <f>D61-G106</f>
        <v>287452764.12500024</v>
      </c>
    </row>
    <row r="110" spans="2:7" ht="13.7" customHeight="1" thickBot="1" x14ac:dyDescent="0.3">
      <c r="B110" s="6"/>
      <c r="C110" s="62"/>
      <c r="D110" s="62"/>
      <c r="E110" s="21"/>
    </row>
    <row r="111" spans="2:7" ht="13.7" customHeight="1" thickBot="1" x14ac:dyDescent="0.3">
      <c r="C111" s="48" t="s">
        <v>270</v>
      </c>
      <c r="D111" s="17">
        <f>+[23]E.S.P.!D6</f>
        <v>2020</v>
      </c>
      <c r="E111" s="52"/>
      <c r="F111" s="48" t="s">
        <v>341</v>
      </c>
      <c r="G111" s="17">
        <f>+[23]E.S.P.!D6</f>
        <v>2020</v>
      </c>
    </row>
    <row r="112" spans="2:7" ht="13.7" customHeight="1" x14ac:dyDescent="0.25">
      <c r="B112" s="6" t="s">
        <v>342</v>
      </c>
      <c r="C112" s="66" t="s">
        <v>343</v>
      </c>
      <c r="D112" s="67">
        <v>17155228</v>
      </c>
      <c r="E112" s="21" t="s">
        <v>344</v>
      </c>
      <c r="F112" s="66" t="s">
        <v>309</v>
      </c>
      <c r="G112" s="67">
        <v>0</v>
      </c>
    </row>
    <row r="113" spans="2:7" ht="13.7" customHeight="1" x14ac:dyDescent="0.25">
      <c r="B113" s="6" t="s">
        <v>345</v>
      </c>
      <c r="C113" s="68" t="s">
        <v>346</v>
      </c>
      <c r="D113" s="69">
        <v>66021779</v>
      </c>
      <c r="E113" s="21" t="s">
        <v>347</v>
      </c>
      <c r="F113" s="68" t="s">
        <v>348</v>
      </c>
      <c r="G113" s="69">
        <v>0</v>
      </c>
    </row>
    <row r="114" spans="2:7" ht="13.7" customHeight="1" x14ac:dyDescent="0.25">
      <c r="B114" s="6" t="s">
        <v>349</v>
      </c>
      <c r="C114" s="68" t="s">
        <v>48</v>
      </c>
      <c r="D114" s="69">
        <v>42558834</v>
      </c>
      <c r="E114" s="21" t="s">
        <v>350</v>
      </c>
      <c r="F114" s="68" t="s">
        <v>351</v>
      </c>
      <c r="G114" s="69">
        <v>0</v>
      </c>
    </row>
    <row r="115" spans="2:7" ht="13.7" customHeight="1" x14ac:dyDescent="0.25">
      <c r="B115" s="6" t="s">
        <v>352</v>
      </c>
      <c r="C115" s="68" t="s">
        <v>353</v>
      </c>
      <c r="D115" s="69">
        <v>0</v>
      </c>
      <c r="E115" s="21" t="s">
        <v>354</v>
      </c>
      <c r="F115" s="68" t="s">
        <v>355</v>
      </c>
      <c r="G115" s="69">
        <v>0</v>
      </c>
    </row>
    <row r="116" spans="2:7" ht="13.7" customHeight="1" x14ac:dyDescent="0.25">
      <c r="B116" s="6" t="s">
        <v>356</v>
      </c>
      <c r="C116" s="68" t="s">
        <v>357</v>
      </c>
      <c r="D116" s="69">
        <v>5312904</v>
      </c>
      <c r="E116" s="21" t="s">
        <v>358</v>
      </c>
      <c r="F116" s="68" t="s">
        <v>359</v>
      </c>
      <c r="G116" s="69">
        <v>0</v>
      </c>
    </row>
    <row r="117" spans="2:7" ht="13.7" customHeight="1" x14ac:dyDescent="0.25">
      <c r="B117" s="6" t="s">
        <v>360</v>
      </c>
      <c r="C117" s="68" t="s">
        <v>361</v>
      </c>
      <c r="D117" s="69">
        <v>1689735</v>
      </c>
      <c r="E117" s="21" t="s">
        <v>362</v>
      </c>
      <c r="F117" s="68" t="s">
        <v>363</v>
      </c>
      <c r="G117" s="69">
        <v>0</v>
      </c>
    </row>
    <row r="118" spans="2:7" ht="13.7" customHeight="1" x14ac:dyDescent="0.25">
      <c r="B118" s="6" t="s">
        <v>364</v>
      </c>
      <c r="C118" s="68" t="s">
        <v>365</v>
      </c>
      <c r="D118" s="69"/>
      <c r="E118" s="21" t="s">
        <v>366</v>
      </c>
      <c r="F118" s="68" t="s">
        <v>367</v>
      </c>
      <c r="G118" s="69">
        <v>0</v>
      </c>
    </row>
    <row r="119" spans="2:7" ht="13.7" customHeight="1" x14ac:dyDescent="0.25">
      <c r="B119" s="6" t="s">
        <v>368</v>
      </c>
      <c r="C119" s="68" t="s">
        <v>369</v>
      </c>
      <c r="D119" s="69">
        <v>1433752.9300000002</v>
      </c>
      <c r="E119" s="21" t="s">
        <v>370</v>
      </c>
      <c r="F119" s="68" t="s">
        <v>371</v>
      </c>
      <c r="G119" s="69">
        <v>0</v>
      </c>
    </row>
    <row r="120" spans="2:7" ht="13.7" customHeight="1" x14ac:dyDescent="0.25">
      <c r="B120" s="6" t="s">
        <v>372</v>
      </c>
      <c r="C120" s="68" t="s">
        <v>373</v>
      </c>
      <c r="D120" s="69"/>
      <c r="E120" s="21" t="s">
        <v>374</v>
      </c>
      <c r="F120" s="68" t="s">
        <v>375</v>
      </c>
      <c r="G120" s="69">
        <v>0</v>
      </c>
    </row>
    <row r="121" spans="2:7" ht="13.7" customHeight="1" x14ac:dyDescent="0.25">
      <c r="B121" s="6" t="s">
        <v>376</v>
      </c>
      <c r="C121" s="19" t="s">
        <v>377</v>
      </c>
      <c r="D121" s="69">
        <v>5727107</v>
      </c>
      <c r="E121" s="21" t="s">
        <v>378</v>
      </c>
      <c r="F121" s="68" t="s">
        <v>379</v>
      </c>
      <c r="G121" s="69">
        <f>7589494+12</f>
        <v>7589506</v>
      </c>
    </row>
    <row r="122" spans="2:7" ht="13.7" customHeight="1" thickBot="1" x14ac:dyDescent="0.3">
      <c r="B122" s="6"/>
      <c r="C122" s="28" t="s">
        <v>380</v>
      </c>
      <c r="D122" s="37">
        <f>SUM(D112:D121)</f>
        <v>139899339.93000001</v>
      </c>
      <c r="E122" s="21" t="s">
        <v>381</v>
      </c>
      <c r="F122" s="19" t="s">
        <v>382</v>
      </c>
      <c r="G122" s="20">
        <v>257975</v>
      </c>
    </row>
    <row r="123" spans="2:7" ht="13.7" customHeight="1" thickBot="1" x14ac:dyDescent="0.3">
      <c r="B123" s="6" t="s">
        <v>383</v>
      </c>
      <c r="C123" s="70" t="s">
        <v>309</v>
      </c>
      <c r="D123" s="67">
        <v>29947750</v>
      </c>
      <c r="E123" s="52"/>
      <c r="F123" s="28" t="s">
        <v>384</v>
      </c>
      <c r="G123" s="37">
        <f>SUM(G112:G122)</f>
        <v>7847481</v>
      </c>
    </row>
    <row r="124" spans="2:7" ht="13.7" customHeight="1" x14ac:dyDescent="0.25">
      <c r="B124" s="6" t="s">
        <v>385</v>
      </c>
      <c r="C124" s="68" t="s">
        <v>313</v>
      </c>
      <c r="D124" s="69">
        <v>0</v>
      </c>
      <c r="E124" s="21" t="s">
        <v>386</v>
      </c>
      <c r="F124" s="68" t="s">
        <v>387</v>
      </c>
      <c r="G124" s="69">
        <v>0</v>
      </c>
    </row>
    <row r="125" spans="2:7" ht="13.7" customHeight="1" x14ac:dyDescent="0.25">
      <c r="B125" s="6" t="s">
        <v>388</v>
      </c>
      <c r="C125" s="19" t="s">
        <v>389</v>
      </c>
      <c r="D125" s="69">
        <v>1714503</v>
      </c>
      <c r="E125" s="21" t="s">
        <v>390</v>
      </c>
      <c r="F125" s="68" t="s">
        <v>391</v>
      </c>
      <c r="G125" s="69">
        <v>0</v>
      </c>
    </row>
    <row r="126" spans="2:7" ht="13.7" customHeight="1" thickBot="1" x14ac:dyDescent="0.3">
      <c r="B126" s="6"/>
      <c r="C126" s="28" t="s">
        <v>392</v>
      </c>
      <c r="D126" s="37">
        <f>SUM(D123:D125)</f>
        <v>31662253</v>
      </c>
      <c r="E126" s="21" t="s">
        <v>393</v>
      </c>
      <c r="F126" s="68" t="s">
        <v>394</v>
      </c>
      <c r="G126" s="69">
        <v>0</v>
      </c>
    </row>
    <row r="127" spans="2:7" ht="13.7" customHeight="1" x14ac:dyDescent="0.25">
      <c r="B127" s="6" t="s">
        <v>395</v>
      </c>
      <c r="C127" s="66" t="s">
        <v>274</v>
      </c>
      <c r="D127" s="67">
        <v>3275604.27</v>
      </c>
      <c r="E127" s="21" t="s">
        <v>396</v>
      </c>
      <c r="F127" s="68" t="s">
        <v>397</v>
      </c>
      <c r="G127" s="69">
        <v>0</v>
      </c>
    </row>
    <row r="128" spans="2:7" ht="13.7" customHeight="1" x14ac:dyDescent="0.25">
      <c r="B128" s="6" t="s">
        <v>398</v>
      </c>
      <c r="C128" s="68" t="s">
        <v>399</v>
      </c>
      <c r="D128" s="69">
        <v>983807.75249999994</v>
      </c>
      <c r="E128" s="21" t="s">
        <v>400</v>
      </c>
      <c r="F128" s="68" t="s">
        <v>401</v>
      </c>
      <c r="G128" s="69">
        <v>0</v>
      </c>
    </row>
    <row r="129" spans="2:7" ht="13.7" customHeight="1" x14ac:dyDescent="0.25">
      <c r="B129" s="6" t="s">
        <v>402</v>
      </c>
      <c r="C129" s="68" t="s">
        <v>277</v>
      </c>
      <c r="D129" s="69">
        <v>2529855.1749999998</v>
      </c>
      <c r="E129" s="21" t="s">
        <v>403</v>
      </c>
      <c r="F129" s="68" t="s">
        <v>404</v>
      </c>
      <c r="G129" s="69">
        <v>0</v>
      </c>
    </row>
    <row r="130" spans="2:7" ht="13.7" customHeight="1" x14ac:dyDescent="0.25">
      <c r="B130" s="6" t="s">
        <v>405</v>
      </c>
      <c r="C130" s="68" t="s">
        <v>283</v>
      </c>
      <c r="D130" s="69">
        <v>825783.9774999998</v>
      </c>
      <c r="E130" s="21" t="s">
        <v>406</v>
      </c>
      <c r="F130" s="68" t="s">
        <v>407</v>
      </c>
      <c r="G130" s="69">
        <v>0</v>
      </c>
    </row>
    <row r="131" spans="2:7" ht="13.7" customHeight="1" x14ac:dyDescent="0.25">
      <c r="B131" s="6" t="s">
        <v>408</v>
      </c>
      <c r="C131" s="68" t="s">
        <v>287</v>
      </c>
      <c r="D131" s="69">
        <v>1853028.7524999999</v>
      </c>
      <c r="E131" s="21" t="s">
        <v>409</v>
      </c>
      <c r="F131" s="68" t="s">
        <v>410</v>
      </c>
      <c r="G131" s="69">
        <v>0</v>
      </c>
    </row>
    <row r="132" spans="2:7" ht="13.7" customHeight="1" x14ac:dyDescent="0.25">
      <c r="B132" s="6" t="s">
        <v>411</v>
      </c>
      <c r="C132" s="68" t="s">
        <v>291</v>
      </c>
      <c r="D132" s="69">
        <v>824078.58750000014</v>
      </c>
      <c r="E132" s="21" t="s">
        <v>412</v>
      </c>
      <c r="F132" s="68" t="s">
        <v>413</v>
      </c>
      <c r="G132" s="69">
        <v>0</v>
      </c>
    </row>
    <row r="133" spans="2:7" ht="13.7" customHeight="1" x14ac:dyDescent="0.25">
      <c r="B133" s="6" t="s">
        <v>414</v>
      </c>
      <c r="C133" s="68" t="s">
        <v>295</v>
      </c>
      <c r="D133" s="69">
        <v>32709.1175</v>
      </c>
      <c r="E133" s="21" t="s">
        <v>415</v>
      </c>
      <c r="F133" s="68" t="s">
        <v>416</v>
      </c>
      <c r="G133" s="69">
        <v>0</v>
      </c>
    </row>
    <row r="134" spans="2:7" ht="13.7" customHeight="1" x14ac:dyDescent="0.25">
      <c r="B134" s="6" t="s">
        <v>417</v>
      </c>
      <c r="C134" s="68" t="s">
        <v>418</v>
      </c>
      <c r="D134" s="69">
        <v>5704638.0599999996</v>
      </c>
      <c r="E134" s="21" t="s">
        <v>419</v>
      </c>
      <c r="F134" s="68" t="s">
        <v>420</v>
      </c>
      <c r="G134" s="69">
        <v>0</v>
      </c>
    </row>
    <row r="135" spans="2:7" ht="13.7" customHeight="1" x14ac:dyDescent="0.25">
      <c r="B135" s="6" t="s">
        <v>421</v>
      </c>
      <c r="C135" s="68" t="s">
        <v>422</v>
      </c>
      <c r="D135" s="69">
        <v>9248424.1600000001</v>
      </c>
      <c r="E135" s="21" t="s">
        <v>423</v>
      </c>
      <c r="F135" s="68" t="s">
        <v>424</v>
      </c>
      <c r="G135" s="69">
        <v>0</v>
      </c>
    </row>
    <row r="136" spans="2:7" ht="13.7" customHeight="1" x14ac:dyDescent="0.25">
      <c r="B136" s="6" t="s">
        <v>425</v>
      </c>
      <c r="C136" s="68" t="s">
        <v>318</v>
      </c>
      <c r="D136" s="69">
        <v>34354384.152500004</v>
      </c>
      <c r="E136" s="21" t="s">
        <v>426</v>
      </c>
      <c r="F136" s="68" t="s">
        <v>427</v>
      </c>
      <c r="G136" s="69">
        <v>0</v>
      </c>
    </row>
    <row r="137" spans="2:7" ht="13.7" customHeight="1" x14ac:dyDescent="0.25">
      <c r="B137" s="6" t="s">
        <v>428</v>
      </c>
      <c r="C137" s="19" t="s">
        <v>320</v>
      </c>
      <c r="D137" s="71">
        <v>3223337.9823010117</v>
      </c>
      <c r="E137" s="21" t="s">
        <v>429</v>
      </c>
      <c r="F137" s="68" t="s">
        <v>430</v>
      </c>
      <c r="G137" s="69">
        <v>5841126</v>
      </c>
    </row>
    <row r="138" spans="2:7" ht="13.7" customHeight="1" thickBot="1" x14ac:dyDescent="0.3">
      <c r="B138" s="6"/>
      <c r="C138" s="28" t="s">
        <v>321</v>
      </c>
      <c r="D138" s="37">
        <f>SUM(D127:D137)</f>
        <v>62855651.987301014</v>
      </c>
      <c r="E138" s="21" t="s">
        <v>431</v>
      </c>
      <c r="F138" s="19" t="s">
        <v>432</v>
      </c>
      <c r="G138" s="20">
        <v>132705</v>
      </c>
    </row>
    <row r="139" spans="2:7" ht="13.7" customHeight="1" thickBot="1" x14ac:dyDescent="0.3">
      <c r="B139" s="6" t="s">
        <v>433</v>
      </c>
      <c r="C139" s="66" t="s">
        <v>327</v>
      </c>
      <c r="D139" s="67"/>
      <c r="E139" s="7"/>
      <c r="F139" s="28" t="s">
        <v>434</v>
      </c>
      <c r="G139" s="37">
        <f>SUM(G124:G138)</f>
        <v>5973831</v>
      </c>
    </row>
    <row r="140" spans="2:7" ht="13.7" customHeight="1" thickBot="1" x14ac:dyDescent="0.3">
      <c r="B140" s="6" t="s">
        <v>435</v>
      </c>
      <c r="C140" s="68" t="s">
        <v>329</v>
      </c>
      <c r="D140" s="69">
        <v>11125228</v>
      </c>
      <c r="E140" s="7"/>
      <c r="F140" s="48" t="s">
        <v>436</v>
      </c>
      <c r="G140" s="72">
        <f>G123-G139</f>
        <v>1873650</v>
      </c>
    </row>
    <row r="141" spans="2:7" ht="13.7" customHeight="1" x14ac:dyDescent="0.25">
      <c r="B141" s="6" t="s">
        <v>437</v>
      </c>
      <c r="C141" s="19" t="s">
        <v>331</v>
      </c>
      <c r="D141" s="71">
        <v>640414</v>
      </c>
      <c r="E141" s="73"/>
    </row>
    <row r="142" spans="2:7" ht="13.7" customHeight="1" thickBot="1" x14ac:dyDescent="0.3">
      <c r="B142" s="6"/>
      <c r="C142" s="28" t="s">
        <v>332</v>
      </c>
      <c r="D142" s="37">
        <f>SUM(D139:D141)</f>
        <v>11765642</v>
      </c>
      <c r="E142" s="73"/>
    </row>
    <row r="143" spans="2:7" ht="13.7" customHeight="1" thickBot="1" x14ac:dyDescent="0.3">
      <c r="B143" s="6"/>
      <c r="C143" s="59" t="s">
        <v>438</v>
      </c>
      <c r="D143" s="74">
        <f>[23]Amortizaciones!D33</f>
        <v>10766013.75</v>
      </c>
      <c r="E143" s="21"/>
      <c r="F143" s="48" t="s">
        <v>439</v>
      </c>
      <c r="G143" s="17">
        <f>+[23]E.S.P.!D6</f>
        <v>2020</v>
      </c>
    </row>
    <row r="144" spans="2:7" ht="13.7" customHeight="1" x14ac:dyDescent="0.25">
      <c r="B144" s="6" t="s">
        <v>440</v>
      </c>
      <c r="C144" s="66" t="s">
        <v>441</v>
      </c>
      <c r="D144" s="67"/>
      <c r="E144" s="21" t="s">
        <v>442</v>
      </c>
      <c r="F144" s="66" t="s">
        <v>443</v>
      </c>
      <c r="G144" s="67">
        <v>2482795</v>
      </c>
    </row>
    <row r="145" spans="2:7" ht="13.7" customHeight="1" x14ac:dyDescent="0.25">
      <c r="B145" s="6" t="s">
        <v>444</v>
      </c>
      <c r="C145" s="68" t="s">
        <v>445</v>
      </c>
      <c r="D145" s="69"/>
      <c r="E145" s="21" t="s">
        <v>446</v>
      </c>
      <c r="F145" s="68" t="s">
        <v>447</v>
      </c>
      <c r="G145" s="69">
        <v>23451347</v>
      </c>
    </row>
    <row r="146" spans="2:7" ht="13.7" customHeight="1" x14ac:dyDescent="0.25">
      <c r="B146" s="6" t="s">
        <v>448</v>
      </c>
      <c r="C146" s="75" t="s">
        <v>449</v>
      </c>
      <c r="D146" s="69"/>
      <c r="E146" s="21" t="s">
        <v>450</v>
      </c>
      <c r="F146" s="68" t="s">
        <v>451</v>
      </c>
      <c r="G146" s="69">
        <v>884305</v>
      </c>
    </row>
    <row r="147" spans="2:7" ht="13.7" customHeight="1" x14ac:dyDescent="0.25">
      <c r="B147" s="6" t="s">
        <v>452</v>
      </c>
      <c r="C147" s="19" t="s">
        <v>453</v>
      </c>
      <c r="D147" s="71"/>
      <c r="E147" s="21" t="s">
        <v>454</v>
      </c>
      <c r="F147" s="68" t="s">
        <v>455</v>
      </c>
      <c r="G147" s="69"/>
    </row>
    <row r="148" spans="2:7" ht="13.7" customHeight="1" thickBot="1" x14ac:dyDescent="0.3">
      <c r="B148" s="6"/>
      <c r="C148" s="28" t="s">
        <v>456</v>
      </c>
      <c r="D148" s="37">
        <f>SUM(D144:D147)</f>
        <v>0</v>
      </c>
      <c r="E148" s="21" t="s">
        <v>457</v>
      </c>
      <c r="F148" s="68" t="s">
        <v>458</v>
      </c>
      <c r="G148" s="69"/>
    </row>
    <row r="149" spans="2:7" ht="13.7" customHeight="1" x14ac:dyDescent="0.25">
      <c r="B149" s="6" t="s">
        <v>459</v>
      </c>
      <c r="C149" s="66" t="s">
        <v>460</v>
      </c>
      <c r="D149" s="67"/>
      <c r="E149" s="21" t="s">
        <v>461</v>
      </c>
      <c r="F149" s="68" t="s">
        <v>462</v>
      </c>
      <c r="G149" s="69"/>
    </row>
    <row r="150" spans="2:7" ht="13.7" customHeight="1" x14ac:dyDescent="0.25">
      <c r="B150" s="6" t="s">
        <v>463</v>
      </c>
      <c r="C150" s="68" t="s">
        <v>464</v>
      </c>
      <c r="D150" s="69"/>
      <c r="E150" s="21" t="s">
        <v>465</v>
      </c>
      <c r="F150" s="68" t="s">
        <v>466</v>
      </c>
      <c r="G150" s="69"/>
    </row>
    <row r="151" spans="2:7" ht="13.7" customHeight="1" x14ac:dyDescent="0.25">
      <c r="B151" s="6" t="s">
        <v>467</v>
      </c>
      <c r="C151" s="19" t="s">
        <v>468</v>
      </c>
      <c r="D151" s="71"/>
      <c r="E151" s="21" t="s">
        <v>469</v>
      </c>
      <c r="F151" s="68" t="s">
        <v>470</v>
      </c>
      <c r="G151" s="69">
        <v>5373082</v>
      </c>
    </row>
    <row r="152" spans="2:7" ht="13.7" customHeight="1" thickBot="1" x14ac:dyDescent="0.3">
      <c r="B152" s="6"/>
      <c r="C152" s="28" t="s">
        <v>471</v>
      </c>
      <c r="D152" s="37">
        <f>SUM(D149:D151)</f>
        <v>0</v>
      </c>
      <c r="E152" s="21" t="s">
        <v>472</v>
      </c>
      <c r="F152" s="68" t="s">
        <v>473</v>
      </c>
      <c r="G152" s="69"/>
    </row>
    <row r="153" spans="2:7" ht="13.7" customHeight="1" thickBot="1" x14ac:dyDescent="0.3">
      <c r="B153" s="6"/>
      <c r="C153" s="48" t="s">
        <v>474</v>
      </c>
      <c r="D153" s="76">
        <f>D122+D126+D138+D142+D143+D148+D152</f>
        <v>256948900.66730103</v>
      </c>
      <c r="E153" s="21" t="s">
        <v>475</v>
      </c>
      <c r="F153" s="19" t="s">
        <v>476</v>
      </c>
      <c r="G153" s="20">
        <v>117913</v>
      </c>
    </row>
    <row r="154" spans="2:7" ht="13.7" customHeight="1" thickBot="1" x14ac:dyDescent="0.3">
      <c r="B154" s="6"/>
      <c r="E154" s="21"/>
      <c r="F154" s="28" t="s">
        <v>477</v>
      </c>
      <c r="G154" s="37">
        <f>SUM(G144:G153)</f>
        <v>32309442</v>
      </c>
    </row>
    <row r="155" spans="2:7" ht="13.7" customHeight="1" thickBot="1" x14ac:dyDescent="0.3">
      <c r="B155" s="6"/>
      <c r="C155" s="77" t="s">
        <v>478</v>
      </c>
      <c r="D155" s="65">
        <f>G109-D153</f>
        <v>30503863.457699209</v>
      </c>
      <c r="E155" s="21" t="s">
        <v>479</v>
      </c>
      <c r="F155" s="66" t="s">
        <v>480</v>
      </c>
      <c r="G155" s="67">
        <v>6539608</v>
      </c>
    </row>
    <row r="156" spans="2:7" ht="13.7" customHeight="1" x14ac:dyDescent="0.25">
      <c r="E156" s="21" t="s">
        <v>481</v>
      </c>
      <c r="F156" s="68" t="s">
        <v>482</v>
      </c>
      <c r="G156" s="69">
        <v>20049598</v>
      </c>
    </row>
    <row r="157" spans="2:7" ht="13.7" customHeight="1" x14ac:dyDescent="0.25">
      <c r="E157" s="21" t="s">
        <v>483</v>
      </c>
      <c r="F157" s="68" t="s">
        <v>484</v>
      </c>
      <c r="G157" s="69">
        <v>0</v>
      </c>
    </row>
    <row r="158" spans="2:7" ht="13.7" customHeight="1" x14ac:dyDescent="0.25">
      <c r="E158" s="21" t="s">
        <v>485</v>
      </c>
      <c r="F158" s="68" t="s">
        <v>486</v>
      </c>
      <c r="G158" s="69">
        <v>0</v>
      </c>
    </row>
    <row r="159" spans="2:7" ht="13.7" customHeight="1" x14ac:dyDescent="0.25">
      <c r="E159" s="21" t="s">
        <v>487</v>
      </c>
      <c r="F159" s="68" t="s">
        <v>488</v>
      </c>
      <c r="G159" s="69">
        <v>0</v>
      </c>
    </row>
    <row r="160" spans="2:7" ht="13.7" customHeight="1" x14ac:dyDescent="0.25">
      <c r="E160" s="21" t="s">
        <v>489</v>
      </c>
      <c r="F160" s="68" t="s">
        <v>490</v>
      </c>
      <c r="G160" s="69">
        <v>0</v>
      </c>
    </row>
    <row r="161" spans="5:7" ht="13.7" customHeight="1" x14ac:dyDescent="0.25">
      <c r="E161" s="21" t="s">
        <v>491</v>
      </c>
      <c r="F161" s="68" t="s">
        <v>492</v>
      </c>
      <c r="G161" s="69">
        <v>0</v>
      </c>
    </row>
    <row r="162" spans="5:7" ht="13.7" customHeight="1" x14ac:dyDescent="0.25">
      <c r="E162" s="21" t="s">
        <v>493</v>
      </c>
      <c r="F162" s="68" t="s">
        <v>494</v>
      </c>
      <c r="G162" s="69">
        <v>0</v>
      </c>
    </row>
    <row r="163" spans="5:7" ht="13.7" customHeight="1" x14ac:dyDescent="0.25">
      <c r="E163" s="21" t="s">
        <v>495</v>
      </c>
      <c r="F163" s="68" t="s">
        <v>496</v>
      </c>
      <c r="G163" s="69">
        <v>0</v>
      </c>
    </row>
    <row r="164" spans="5:7" ht="13.7" customHeight="1" x14ac:dyDescent="0.25">
      <c r="E164" s="21" t="s">
        <v>497</v>
      </c>
      <c r="F164" s="68" t="s">
        <v>498</v>
      </c>
      <c r="G164" s="69">
        <v>161280</v>
      </c>
    </row>
    <row r="165" spans="5:7" ht="13.7" customHeight="1" x14ac:dyDescent="0.25">
      <c r="E165" s="21" t="s">
        <v>499</v>
      </c>
      <c r="F165" s="68" t="s">
        <v>500</v>
      </c>
      <c r="G165" s="69">
        <v>0</v>
      </c>
    </row>
    <row r="166" spans="5:7" ht="13.7" customHeight="1" x14ac:dyDescent="0.25">
      <c r="E166" s="21" t="s">
        <v>501</v>
      </c>
      <c r="F166" s="68" t="s">
        <v>502</v>
      </c>
      <c r="G166" s="69">
        <v>6740302</v>
      </c>
    </row>
    <row r="167" spans="5:7" ht="13.7" customHeight="1" x14ac:dyDescent="0.25">
      <c r="E167" s="21" t="s">
        <v>503</v>
      </c>
      <c r="F167" s="19" t="s">
        <v>504</v>
      </c>
      <c r="G167" s="20">
        <v>536216</v>
      </c>
    </row>
    <row r="168" spans="5:7" ht="13.7" customHeight="1" thickBot="1" x14ac:dyDescent="0.3">
      <c r="E168" s="21"/>
      <c r="F168" s="28" t="s">
        <v>505</v>
      </c>
      <c r="G168" s="37">
        <f>SUM(G155:G167)</f>
        <v>34027004</v>
      </c>
    </row>
    <row r="169" spans="5:7" ht="13.7" customHeight="1" thickBot="1" x14ac:dyDescent="0.3">
      <c r="E169" s="21"/>
      <c r="F169" s="48" t="s">
        <v>506</v>
      </c>
      <c r="G169" s="72">
        <f>G154-G168</f>
        <v>-1717562</v>
      </c>
    </row>
    <row r="170" spans="5:7" ht="13.7" customHeight="1" thickBot="1" x14ac:dyDescent="0.3">
      <c r="E170" s="21"/>
      <c r="F170" s="78"/>
      <c r="G170" s="78"/>
    </row>
    <row r="171" spans="5:7" ht="13.7" customHeight="1" thickBot="1" x14ac:dyDescent="0.3">
      <c r="E171" s="21"/>
      <c r="F171" s="77" t="s">
        <v>507</v>
      </c>
      <c r="G171" s="79"/>
    </row>
    <row r="172" spans="5:7" ht="13.7" customHeight="1" thickBot="1" x14ac:dyDescent="0.3">
      <c r="E172" s="21"/>
      <c r="F172" s="80"/>
      <c r="G172" s="81">
        <f>+D155+G140+G169</f>
        <v>30659951.457699209</v>
      </c>
    </row>
    <row r="173" spans="5:7" ht="13.7" customHeight="1" thickBot="1" x14ac:dyDescent="0.3">
      <c r="E173" s="21"/>
      <c r="F173" s="5"/>
      <c r="G173" s="5"/>
    </row>
    <row r="174" spans="5:7" ht="13.7" customHeight="1" thickBot="1" x14ac:dyDescent="0.3">
      <c r="E174" s="21"/>
      <c r="F174" s="48" t="s">
        <v>508</v>
      </c>
      <c r="G174" s="17">
        <f>+G143</f>
        <v>2020</v>
      </c>
    </row>
    <row r="175" spans="5:7" ht="13.7" customHeight="1" x14ac:dyDescent="0.25">
      <c r="E175" s="21"/>
      <c r="F175" s="66" t="s">
        <v>509</v>
      </c>
      <c r="G175" s="67">
        <v>0</v>
      </c>
    </row>
    <row r="176" spans="5:7" ht="13.7" customHeight="1" x14ac:dyDescent="0.25">
      <c r="E176" s="21"/>
      <c r="F176" s="68" t="s">
        <v>510</v>
      </c>
      <c r="G176" s="69">
        <v>0</v>
      </c>
    </row>
    <row r="177" spans="1:8" ht="13.7" customHeight="1" thickBot="1" x14ac:dyDescent="0.3">
      <c r="F177" s="68" t="s">
        <v>511</v>
      </c>
      <c r="G177" s="69">
        <v>0</v>
      </c>
    </row>
    <row r="178" spans="1:8" ht="13.7" customHeight="1" thickBot="1" x14ac:dyDescent="0.3">
      <c r="F178" s="48" t="s">
        <v>512</v>
      </c>
      <c r="G178" s="72">
        <f>SUM(G175:G177)</f>
        <v>0</v>
      </c>
    </row>
    <row r="179" spans="1:8" ht="13.7" customHeight="1" thickBot="1" x14ac:dyDescent="0.3"/>
    <row r="180" spans="1:8" ht="13.7" customHeight="1" thickBot="1" x14ac:dyDescent="0.3">
      <c r="F180" s="77" t="s">
        <v>513</v>
      </c>
      <c r="G180" s="79"/>
    </row>
    <row r="181" spans="1:8" ht="13.7" customHeight="1" thickBot="1" x14ac:dyDescent="0.3">
      <c r="F181" s="83"/>
      <c r="G181" s="81">
        <f>+G172+G178</f>
        <v>30659951.457699209</v>
      </c>
    </row>
    <row r="182" spans="1:8" ht="13.7" customHeight="1" x14ac:dyDescent="0.25"/>
    <row r="183" spans="1:8" ht="13.5" customHeight="1" x14ac:dyDescent="0.25"/>
    <row r="184" spans="1:8" ht="13.7" customHeight="1" x14ac:dyDescent="0.25">
      <c r="E184" s="84"/>
      <c r="F184" s="84"/>
      <c r="G184" s="84"/>
      <c r="H184" s="84"/>
    </row>
    <row r="185" spans="1:8" s="84" customFormat="1" ht="13.7" customHeight="1" x14ac:dyDescent="0.25">
      <c r="A185" s="85"/>
      <c r="E185" s="82"/>
      <c r="F185" s="86"/>
      <c r="G185" s="86"/>
    </row>
    <row r="186" spans="1:8" s="84" customFormat="1" ht="12.75" x14ac:dyDescent="0.25">
      <c r="A186" s="85"/>
      <c r="E186" s="82"/>
      <c r="F186" s="86"/>
      <c r="G186" s="86"/>
    </row>
    <row r="187" spans="1:8" s="84" customFormat="1" ht="12.75" hidden="1" x14ac:dyDescent="0.25">
      <c r="A187" s="85"/>
      <c r="E187" s="82"/>
      <c r="F187" s="86"/>
      <c r="G187" s="86"/>
    </row>
    <row r="188" spans="1:8" s="84" customFormat="1" ht="12.75" hidden="1" x14ac:dyDescent="0.25">
      <c r="A188" s="85"/>
      <c r="E188" s="82"/>
      <c r="F188" s="86"/>
      <c r="G188" s="86"/>
    </row>
    <row r="189" spans="1:8" s="84" customFormat="1" ht="12.75" hidden="1" x14ac:dyDescent="0.25">
      <c r="A189" s="85"/>
      <c r="E189" s="82"/>
      <c r="F189" s="86"/>
      <c r="G189" s="86"/>
    </row>
    <row r="190" spans="1:8" s="84" customFormat="1" ht="12.75" hidden="1" x14ac:dyDescent="0.25">
      <c r="A190" s="85"/>
      <c r="E190" s="82"/>
      <c r="F190" s="86"/>
      <c r="G190" s="86"/>
    </row>
    <row r="191" spans="1:8" s="84" customFormat="1" ht="12.75" hidden="1" x14ac:dyDescent="0.25">
      <c r="A191" s="85"/>
      <c r="E191" s="82"/>
      <c r="F191" s="86"/>
      <c r="G191" s="86"/>
    </row>
    <row r="192" spans="1:8" s="84" customFormat="1" ht="12.75" hidden="1" x14ac:dyDescent="0.25">
      <c r="A192" s="85"/>
      <c r="E192" s="82"/>
      <c r="F192" s="86"/>
      <c r="G192" s="86"/>
    </row>
    <row r="193" spans="5:7" s="84" customFormat="1" ht="12.75" hidden="1" x14ac:dyDescent="0.25">
      <c r="E193" s="82"/>
      <c r="F193" s="86"/>
      <c r="G193" s="86"/>
    </row>
    <row r="194" spans="5:7" s="84" customFormat="1" ht="12.75" hidden="1" x14ac:dyDescent="0.25">
      <c r="E194" s="82"/>
      <c r="F194" s="86"/>
      <c r="G194" s="86"/>
    </row>
    <row r="195" spans="5:7" s="84" customFormat="1" ht="12.75" hidden="1" x14ac:dyDescent="0.25">
      <c r="E195" s="82"/>
      <c r="F195" s="86"/>
      <c r="G195" s="86"/>
    </row>
    <row r="196" spans="5:7" s="84" customFormat="1" ht="12.75" hidden="1" x14ac:dyDescent="0.25">
      <c r="E196" s="82"/>
      <c r="F196" s="86"/>
      <c r="G196" s="86"/>
    </row>
    <row r="197" spans="5:7" s="84" customFormat="1" ht="12.75" hidden="1" x14ac:dyDescent="0.25">
      <c r="E197" s="82"/>
      <c r="F197" s="86"/>
      <c r="G197" s="86"/>
    </row>
    <row r="198" spans="5:7" s="84" customFormat="1" ht="12.75" hidden="1" x14ac:dyDescent="0.25">
      <c r="E198" s="82"/>
      <c r="F198" s="86"/>
      <c r="G198" s="86"/>
    </row>
    <row r="199" spans="5:7" s="84" customFormat="1" ht="12.75" hidden="1" x14ac:dyDescent="0.25">
      <c r="E199" s="82"/>
      <c r="F199" s="86"/>
      <c r="G199" s="86"/>
    </row>
    <row r="200" spans="5:7" s="84" customFormat="1" ht="12.75" hidden="1" x14ac:dyDescent="0.25">
      <c r="E200" s="82"/>
      <c r="F200" s="86"/>
      <c r="G200" s="86"/>
    </row>
    <row r="201" spans="5:7" s="84" customFormat="1" ht="12.75" hidden="1" x14ac:dyDescent="0.25">
      <c r="E201" s="82"/>
      <c r="F201" s="86"/>
      <c r="G201" s="86"/>
    </row>
    <row r="202" spans="5:7" s="84" customFormat="1" ht="12.75" hidden="1" x14ac:dyDescent="0.25">
      <c r="E202" s="82"/>
      <c r="F202" s="86"/>
      <c r="G202" s="86"/>
    </row>
    <row r="203" spans="5:7" s="84" customFormat="1" ht="12.75" hidden="1" x14ac:dyDescent="0.25">
      <c r="E203" s="82"/>
      <c r="F203" s="86"/>
      <c r="G203" s="86"/>
    </row>
    <row r="204" spans="5:7" s="84" customFormat="1" ht="12.75" hidden="1" x14ac:dyDescent="0.25">
      <c r="E204" s="82"/>
      <c r="F204" s="86"/>
      <c r="G204" s="86"/>
    </row>
    <row r="205" spans="5:7" s="84" customFormat="1" ht="12.75" hidden="1" x14ac:dyDescent="0.25">
      <c r="E205" s="82"/>
      <c r="F205" s="86"/>
      <c r="G205" s="86"/>
    </row>
    <row r="206" spans="5:7" s="84" customFormat="1" ht="12.75" hidden="1" x14ac:dyDescent="0.25">
      <c r="E206" s="82"/>
      <c r="F206" s="86"/>
      <c r="G206" s="86"/>
    </row>
    <row r="207" spans="5:7" s="84" customFormat="1" ht="12.75" hidden="1" x14ac:dyDescent="0.25">
      <c r="E207" s="82"/>
      <c r="F207" s="86"/>
      <c r="G207" s="86"/>
    </row>
    <row r="208" spans="5:7" s="84" customFormat="1" ht="12.75" hidden="1" x14ac:dyDescent="0.25">
      <c r="E208" s="82"/>
      <c r="F208" s="86"/>
      <c r="G208" s="86"/>
    </row>
    <row r="209" spans="3:8" s="84" customFormat="1" ht="12.75" hidden="1" x14ac:dyDescent="0.25">
      <c r="E209" s="82"/>
      <c r="F209" s="86"/>
      <c r="G209" s="86"/>
    </row>
    <row r="210" spans="3:8" s="84" customFormat="1" ht="12.75" hidden="1" x14ac:dyDescent="0.25">
      <c r="E210" s="82"/>
      <c r="F210" s="86"/>
      <c r="G210" s="86"/>
    </row>
    <row r="211" spans="3:8" s="84" customFormat="1" ht="12.75" hidden="1" x14ac:dyDescent="0.25">
      <c r="E211" s="82"/>
      <c r="F211" s="86"/>
      <c r="G211" s="86"/>
    </row>
    <row r="212" spans="3:8" s="84" customFormat="1" ht="12.75" hidden="1" x14ac:dyDescent="0.25">
      <c r="E212" s="82"/>
      <c r="F212" s="86"/>
      <c r="G212" s="86"/>
    </row>
    <row r="213" spans="3:8" s="84" customFormat="1" ht="12.75" hidden="1" x14ac:dyDescent="0.25">
      <c r="E213" s="82"/>
      <c r="F213" s="86"/>
      <c r="G213" s="86"/>
    </row>
    <row r="214" spans="3:8" s="84" customFormat="1" hidden="1" x14ac:dyDescent="0.25">
      <c r="E214" s="82"/>
      <c r="F214" s="87"/>
      <c r="G214" s="58"/>
      <c r="H214" s="5"/>
    </row>
    <row r="215" spans="3:8" hidden="1" x14ac:dyDescent="0.25">
      <c r="C215" s="86"/>
      <c r="D215" s="86"/>
      <c r="F215" s="87"/>
    </row>
  </sheetData>
  <mergeCells count="6">
    <mergeCell ref="C1:D1"/>
    <mergeCell ref="E1:F1"/>
    <mergeCell ref="C2:D2"/>
    <mergeCell ref="E2:F2"/>
    <mergeCell ref="C3:D3"/>
    <mergeCell ref="E3:F3"/>
  </mergeCells>
  <conditionalFormatting sqref="D7:D12">
    <cfRule type="cellIs" dxfId="137" priority="2" stopIfTrue="1" operator="greaterThan">
      <formula>50</formula>
    </cfRule>
    <cfRule type="cellIs" dxfId="136" priority="11" stopIfTrue="1" operator="equal">
      <formula>0</formula>
    </cfRule>
  </conditionalFormatting>
  <conditionalFormatting sqref="D7:D61">
    <cfRule type="cellIs" dxfId="135" priority="9" stopIfTrue="1" operator="between">
      <formula>-0.1</formula>
      <formula>-50</formula>
    </cfRule>
    <cfRule type="cellIs" dxfId="134" priority="10" stopIfTrue="1" operator="between">
      <formula>0.1</formula>
      <formula>50</formula>
    </cfRule>
  </conditionalFormatting>
  <conditionalFormatting sqref="G152:G181 G7:G150">
    <cfRule type="cellIs" dxfId="133" priority="7" stopIfTrue="1" operator="between">
      <formula>-0.1</formula>
      <formula>-50</formula>
    </cfRule>
    <cfRule type="cellIs" dxfId="132" priority="8" stopIfTrue="1" operator="between">
      <formula>0.1</formula>
      <formula>50</formula>
    </cfRule>
  </conditionalFormatting>
  <conditionalFormatting sqref="D111:D155">
    <cfRule type="cellIs" dxfId="131" priority="5" stopIfTrue="1" operator="between">
      <formula>-0.1</formula>
      <formula>-50</formula>
    </cfRule>
    <cfRule type="cellIs" dxfId="130" priority="6" stopIfTrue="1" operator="between">
      <formula>0.1</formula>
      <formula>50</formula>
    </cfRule>
  </conditionalFormatting>
  <conditionalFormatting sqref="G165">
    <cfRule type="expression" dxfId="129" priority="4" stopIfTrue="1">
      <formula>AND($G$165&gt;0,$G$151&gt;0)</formula>
    </cfRule>
  </conditionalFormatting>
  <conditionalFormatting sqref="G151">
    <cfRule type="expression" dxfId="128" priority="1" stopIfTrue="1">
      <formula>AND($G$151&gt;0,$G$165&gt;0)</formula>
    </cfRule>
  </conditionalFormatting>
  <dataValidations disablePrompts="1" count="11">
    <dataValidation type="custom" operator="greaterThan" showInputMessage="1" showErrorMessage="1" errorTitle="RDM" error="No se admite ingresar RDM como ingresos y egresos a la vez. Tampoco se admiten valores menores a $50._x000a_" sqref="G151">
      <formula1>AND(OR(G151=0, G151&gt;50),G165=0)</formula1>
    </dataValidation>
    <dataValidation type="whole" operator="greaterThan" allowBlank="1" showInputMessage="1" showErrorMessage="1" sqref="D8:D12">
      <formula1>50</formula1>
    </dataValidation>
    <dataValidation type="whole" operator="greaterThan" showInputMessage="1" showErrorMessage="1" errorTitle="eee" error="Valores mayores a $50" sqref="D7">
      <formula1>50</formula1>
    </dataValidation>
    <dataValidation type="custom" operator="greaterThan" showInputMessage="1" showErrorMessage="1" errorTitle="eee" sqref="D56">
      <formula1>OR(D56=0, D56&lt;50)</formula1>
    </dataValidation>
    <dataValidation type="custom" operator="greaterThan" showInputMessage="1" showErrorMessage="1" errorTitle="eee" sqref="D57:D61">
      <formula1>OR(D57=0, D57&lt;0)</formula1>
    </dataValidation>
    <dataValidation type="custom" operator="greaterThan" showInputMessage="1" showErrorMessage="1" errorTitle="eee" sqref="G7:G140 D62:D155 G152:G164 G166:G181 G144:G150 D13:D55">
      <formula1>OR(D7=0, D7&gt;50)</formula1>
    </dataValidation>
    <dataValidation type="whole" allowBlank="1" showErrorMessage="1" errorTitle="Error de datos" error="Debe ingresar un valor entre 1 y 12" sqref="G1:G3">
      <formula1>1</formula1>
      <formula2>12</formula2>
    </dataValidation>
    <dataValidation allowBlank="1" errorTitle="Error de datos" error="Debe introducir una fecha válida" sqref="E3"/>
    <dataValidation allowBlank="1" sqref="G204"/>
    <dataValidation operator="greaterThanOrEqual" allowBlank="1" errorTitle="Error de datos" error="Debe ingresar un valor entero positivo" sqref="F6:F107 F203 C13:C47 C106:C153 F171 F174:F178 F180 F111:F119 C7:C10 F121:F140 F143:F169 C49:C62 C155 F109"/>
    <dataValidation type="custom" operator="greaterThan" showInputMessage="1" showErrorMessage="1" errorTitle="rdm2" error="No se admite ingresar a la vez RDM como ingresos y como egresos. Tampoco se admiten valores negattivos o positivos menores de 50" sqref="G165">
      <formula1>AND(OR(G165=0, G165&gt;50),G151=0)</formula1>
    </dataValidation>
  </dataValidations>
  <pageMargins left="0.7" right="0.7" top="0.75" bottom="0.75" header="0.3" footer="0.3"/>
  <ignoredErrors>
    <ignoredError sqref="E7:E181" numberStoredAsText="1"/>
    <ignoredError sqref="G40" formulaRange="1"/>
  </ignoredErrors>
  <legacyDrawing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26"/>
  <sheetViews>
    <sheetView showGridLines="0" workbookViewId="0">
      <selection activeCell="F4" sqref="F4"/>
    </sheetView>
  </sheetViews>
  <sheetFormatPr baseColWidth="10" defaultColWidth="0" defaultRowHeight="15" zeroHeight="1" x14ac:dyDescent="0.25"/>
  <cols>
    <col min="1" max="1" width="3.7109375" style="1" customWidth="1"/>
    <col min="2" max="2" width="14.28515625" style="7" hidden="1" customWidth="1"/>
    <col min="3" max="3" width="58.42578125" style="58" customWidth="1"/>
    <col min="4" max="4" width="25.140625" style="58" customWidth="1"/>
    <col min="5" max="5" width="5.85546875" style="82" customWidth="1"/>
    <col min="6" max="6" width="57.28515625" style="58" customWidth="1"/>
    <col min="7" max="7" width="24.7109375" style="58" customWidth="1"/>
    <col min="8" max="8" width="5.42578125" style="5" customWidth="1"/>
    <col min="9" max="16384" width="0" style="5" hidden="1"/>
  </cols>
  <sheetData>
    <row r="1" spans="1:9" ht="15.75" x14ac:dyDescent="0.25">
      <c r="B1" s="2"/>
      <c r="C1" s="313" t="s">
        <v>0</v>
      </c>
      <c r="D1" s="314"/>
      <c r="E1" s="315" t="str">
        <f>[24]Presentacion!C2</f>
        <v>COMEPA</v>
      </c>
      <c r="F1" s="315"/>
      <c r="G1" s="3"/>
      <c r="H1" s="4"/>
    </row>
    <row r="2" spans="1:9" ht="15.75" x14ac:dyDescent="0.25">
      <c r="B2" s="6"/>
      <c r="C2" s="313" t="s">
        <v>1</v>
      </c>
      <c r="D2" s="314"/>
      <c r="E2" s="315" t="str">
        <f>[24]Presentacion!C3</f>
        <v>Paysandu</v>
      </c>
      <c r="F2" s="315"/>
      <c r="G2" s="3"/>
      <c r="H2" s="4"/>
    </row>
    <row r="3" spans="1:9" ht="15.75" x14ac:dyDescent="0.25">
      <c r="B3" s="6"/>
      <c r="C3" s="313" t="s">
        <v>2</v>
      </c>
      <c r="D3" s="316"/>
      <c r="E3" s="317" t="s">
        <v>3</v>
      </c>
      <c r="F3" s="317"/>
      <c r="G3" s="3"/>
      <c r="H3" s="4"/>
    </row>
    <row r="4" spans="1:9" ht="15.75" thickBot="1" x14ac:dyDescent="0.3">
      <c r="C4" s="287"/>
      <c r="D4" s="8"/>
      <c r="E4" s="9"/>
      <c r="F4" s="10"/>
      <c r="G4" s="11"/>
    </row>
    <row r="5" spans="1:9" ht="16.5" thickBot="1" x14ac:dyDescent="0.3">
      <c r="B5" s="12"/>
      <c r="C5" s="13" t="s">
        <v>4</v>
      </c>
      <c r="D5" s="284" t="s">
        <v>5</v>
      </c>
      <c r="E5" s="14"/>
      <c r="F5" s="13" t="s">
        <v>6</v>
      </c>
      <c r="G5" s="284" t="s">
        <v>5</v>
      </c>
      <c r="I5" s="15"/>
    </row>
    <row r="6" spans="1:9" ht="16.5" thickBot="1" x14ac:dyDescent="0.3">
      <c r="B6" s="12"/>
      <c r="C6" s="16" t="s">
        <v>7</v>
      </c>
      <c r="D6" s="290">
        <f>+[24]E.S.P.!D6</f>
        <v>2020</v>
      </c>
      <c r="E6" s="18"/>
      <c r="F6" s="16" t="s">
        <v>8</v>
      </c>
      <c r="G6" s="290">
        <f>+D6</f>
        <v>2020</v>
      </c>
      <c r="H6" s="15"/>
    </row>
    <row r="7" spans="1:9" x14ac:dyDescent="0.25">
      <c r="B7" s="6" t="s">
        <v>9</v>
      </c>
      <c r="C7" s="19" t="s">
        <v>10</v>
      </c>
      <c r="D7" s="20">
        <v>40325141</v>
      </c>
      <c r="E7" s="21" t="s">
        <v>11</v>
      </c>
      <c r="F7" s="22" t="s">
        <v>12</v>
      </c>
      <c r="G7" s="23">
        <v>13819692</v>
      </c>
    </row>
    <row r="8" spans="1:9" x14ac:dyDescent="0.25">
      <c r="B8" s="6" t="s">
        <v>13</v>
      </c>
      <c r="C8" s="19" t="s">
        <v>14</v>
      </c>
      <c r="D8" s="20">
        <v>48159333</v>
      </c>
      <c r="E8" s="21" t="s">
        <v>15</v>
      </c>
      <c r="F8" s="19" t="s">
        <v>16</v>
      </c>
      <c r="G8" s="24">
        <v>225245852</v>
      </c>
    </row>
    <row r="9" spans="1:9" x14ac:dyDescent="0.25">
      <c r="B9" s="6" t="s">
        <v>17</v>
      </c>
      <c r="C9" s="19" t="s">
        <v>18</v>
      </c>
      <c r="D9" s="20">
        <v>1799986156</v>
      </c>
      <c r="E9" s="21" t="s">
        <v>19</v>
      </c>
      <c r="F9" s="19" t="s">
        <v>20</v>
      </c>
      <c r="G9" s="20">
        <v>10146012</v>
      </c>
    </row>
    <row r="10" spans="1:9" x14ac:dyDescent="0.25">
      <c r="B10" s="6" t="s">
        <v>21</v>
      </c>
      <c r="C10" s="19" t="s">
        <v>22</v>
      </c>
      <c r="D10" s="20">
        <v>195805863</v>
      </c>
      <c r="E10" s="21" t="s">
        <v>23</v>
      </c>
      <c r="F10" s="19" t="s">
        <v>24</v>
      </c>
      <c r="G10" s="20">
        <v>540606719</v>
      </c>
    </row>
    <row r="11" spans="1:9" x14ac:dyDescent="0.25">
      <c r="B11" s="6" t="s">
        <v>25</v>
      </c>
      <c r="C11" s="19" t="s">
        <v>26</v>
      </c>
      <c r="D11" s="20">
        <v>41076171</v>
      </c>
      <c r="E11" s="21" t="s">
        <v>27</v>
      </c>
      <c r="F11" s="19" t="s">
        <v>28</v>
      </c>
      <c r="G11" s="20">
        <v>21371962</v>
      </c>
    </row>
    <row r="12" spans="1:9" x14ac:dyDescent="0.25">
      <c r="B12" s="6" t="s">
        <v>29</v>
      </c>
      <c r="C12" s="19" t="s">
        <v>30</v>
      </c>
      <c r="D12" s="20">
        <v>40709871</v>
      </c>
      <c r="E12" s="21" t="s">
        <v>31</v>
      </c>
      <c r="F12" s="19" t="s">
        <v>32</v>
      </c>
      <c r="G12" s="20">
        <v>111492755</v>
      </c>
    </row>
    <row r="13" spans="1:9" x14ac:dyDescent="0.25">
      <c r="B13" s="6" t="s">
        <v>33</v>
      </c>
      <c r="C13" s="19" t="s">
        <v>34</v>
      </c>
      <c r="D13" s="20">
        <v>33487311</v>
      </c>
      <c r="E13" s="21" t="s">
        <v>35</v>
      </c>
      <c r="F13" s="19" t="s">
        <v>36</v>
      </c>
      <c r="G13" s="20">
        <v>12833321</v>
      </c>
    </row>
    <row r="14" spans="1:9" x14ac:dyDescent="0.25">
      <c r="A14" s="25"/>
      <c r="B14" s="6" t="s">
        <v>37</v>
      </c>
      <c r="C14" s="19" t="s">
        <v>38</v>
      </c>
      <c r="D14" s="20"/>
      <c r="E14" s="21" t="s">
        <v>39</v>
      </c>
      <c r="F14" s="19" t="s">
        <v>40</v>
      </c>
      <c r="G14" s="20">
        <v>345843902</v>
      </c>
    </row>
    <row r="15" spans="1:9" x14ac:dyDescent="0.25">
      <c r="B15" s="6" t="s">
        <v>41</v>
      </c>
      <c r="C15" s="26" t="s">
        <v>42</v>
      </c>
      <c r="D15" s="20"/>
      <c r="E15" s="21" t="s">
        <v>43</v>
      </c>
      <c r="F15" s="19" t="s">
        <v>44</v>
      </c>
      <c r="G15" s="20">
        <v>173791916</v>
      </c>
    </row>
    <row r="16" spans="1:9" x14ac:dyDescent="0.25">
      <c r="B16" s="6" t="s">
        <v>45</v>
      </c>
      <c r="C16" s="19" t="s">
        <v>46</v>
      </c>
      <c r="D16" s="20"/>
      <c r="E16" s="21" t="s">
        <v>47</v>
      </c>
      <c r="F16" s="19" t="s">
        <v>48</v>
      </c>
      <c r="G16" s="20">
        <v>134374099</v>
      </c>
    </row>
    <row r="17" spans="1:7" x14ac:dyDescent="0.25">
      <c r="B17" s="6" t="s">
        <v>49</v>
      </c>
      <c r="C17" s="19" t="s">
        <v>50</v>
      </c>
      <c r="D17" s="20">
        <v>539</v>
      </c>
      <c r="E17" s="21" t="s">
        <v>51</v>
      </c>
      <c r="F17" s="19" t="s">
        <v>52</v>
      </c>
      <c r="G17" s="20"/>
    </row>
    <row r="18" spans="1:7" x14ac:dyDescent="0.25">
      <c r="A18" s="25"/>
      <c r="B18" s="6" t="s">
        <v>53</v>
      </c>
      <c r="C18" s="19" t="s">
        <v>54</v>
      </c>
      <c r="D18" s="20">
        <v>5239836</v>
      </c>
      <c r="E18" s="21" t="s">
        <v>55</v>
      </c>
      <c r="F18" s="19" t="s">
        <v>56</v>
      </c>
      <c r="G18" s="27">
        <v>72530119</v>
      </c>
    </row>
    <row r="19" spans="1:7" ht="15.75" thickBot="1" x14ac:dyDescent="0.3">
      <c r="A19" s="25"/>
      <c r="B19" s="6" t="s">
        <v>57</v>
      </c>
      <c r="C19" s="19" t="s">
        <v>58</v>
      </c>
      <c r="D19" s="20">
        <v>100604630</v>
      </c>
      <c r="E19" s="21"/>
      <c r="F19" s="28" t="s">
        <v>59</v>
      </c>
      <c r="G19" s="29">
        <f>SUM(G7:G18)</f>
        <v>1662056349</v>
      </c>
    </row>
    <row r="20" spans="1:7" ht="15.75" thickBot="1" x14ac:dyDescent="0.3">
      <c r="B20" s="6"/>
      <c r="C20" s="28" t="s">
        <v>60</v>
      </c>
      <c r="D20" s="29">
        <f>SUM(D7:D19)</f>
        <v>2305394851</v>
      </c>
      <c r="E20" s="21" t="s">
        <v>61</v>
      </c>
      <c r="F20" s="22" t="s">
        <v>62</v>
      </c>
      <c r="G20" s="23">
        <v>1017193</v>
      </c>
    </row>
    <row r="21" spans="1:7" x14ac:dyDescent="0.25">
      <c r="B21" s="6"/>
      <c r="C21" s="30" t="s">
        <v>63</v>
      </c>
      <c r="D21" s="31">
        <f>SUM(D22:D28)</f>
        <v>20697163</v>
      </c>
      <c r="E21" s="21" t="s">
        <v>64</v>
      </c>
      <c r="F21" s="19" t="s">
        <v>65</v>
      </c>
      <c r="G21" s="20">
        <v>53571991</v>
      </c>
    </row>
    <row r="22" spans="1:7" x14ac:dyDescent="0.25">
      <c r="B22" s="6" t="s">
        <v>66</v>
      </c>
      <c r="C22" s="19" t="s">
        <v>67</v>
      </c>
      <c r="D22" s="20">
        <v>10169760</v>
      </c>
      <c r="E22" s="21" t="s">
        <v>68</v>
      </c>
      <c r="F22" s="19" t="s">
        <v>69</v>
      </c>
      <c r="G22" s="20">
        <v>5752315</v>
      </c>
    </row>
    <row r="23" spans="1:7" x14ac:dyDescent="0.25">
      <c r="B23" s="6" t="s">
        <v>70</v>
      </c>
      <c r="C23" s="19" t="s">
        <v>71</v>
      </c>
      <c r="D23" s="20">
        <v>2865017</v>
      </c>
      <c r="E23" s="21" t="s">
        <v>72</v>
      </c>
      <c r="F23" s="19" t="s">
        <v>73</v>
      </c>
      <c r="G23" s="20">
        <v>30064681</v>
      </c>
    </row>
    <row r="24" spans="1:7" x14ac:dyDescent="0.25">
      <c r="B24" s="6" t="s">
        <v>74</v>
      </c>
      <c r="C24" s="19" t="s">
        <v>75</v>
      </c>
      <c r="D24" s="20">
        <v>5869875</v>
      </c>
      <c r="E24" s="21" t="s">
        <v>76</v>
      </c>
      <c r="F24" s="19" t="s">
        <v>77</v>
      </c>
      <c r="G24" s="20">
        <v>1048933</v>
      </c>
    </row>
    <row r="25" spans="1:7" x14ac:dyDescent="0.25">
      <c r="B25" s="6" t="s">
        <v>78</v>
      </c>
      <c r="C25" s="19" t="s">
        <v>79</v>
      </c>
      <c r="D25" s="20"/>
      <c r="E25" s="21" t="s">
        <v>80</v>
      </c>
      <c r="F25" s="19" t="s">
        <v>81</v>
      </c>
      <c r="G25" s="20">
        <v>8828116</v>
      </c>
    </row>
    <row r="26" spans="1:7" x14ac:dyDescent="0.25">
      <c r="B26" s="6" t="s">
        <v>82</v>
      </c>
      <c r="C26" s="19" t="s">
        <v>83</v>
      </c>
      <c r="D26" s="20">
        <v>889312</v>
      </c>
      <c r="E26" s="21" t="s">
        <v>84</v>
      </c>
      <c r="F26" s="19" t="s">
        <v>85</v>
      </c>
      <c r="G26" s="27">
        <v>4575927</v>
      </c>
    </row>
    <row r="27" spans="1:7" ht="15.75" thickBot="1" x14ac:dyDescent="0.3">
      <c r="B27" s="6" t="s">
        <v>86</v>
      </c>
      <c r="C27" s="19" t="s">
        <v>87</v>
      </c>
      <c r="D27" s="20"/>
      <c r="E27" s="21"/>
      <c r="F27" s="28" t="s">
        <v>88</v>
      </c>
      <c r="G27" s="29">
        <f>SUM(G20:G26)</f>
        <v>104859156</v>
      </c>
    </row>
    <row r="28" spans="1:7" x14ac:dyDescent="0.25">
      <c r="B28" s="6" t="s">
        <v>89</v>
      </c>
      <c r="C28" s="19" t="s">
        <v>90</v>
      </c>
      <c r="D28" s="20">
        <v>903199</v>
      </c>
      <c r="E28" s="21" t="s">
        <v>91</v>
      </c>
      <c r="F28" s="22" t="s">
        <v>92</v>
      </c>
      <c r="G28" s="23">
        <v>54527914</v>
      </c>
    </row>
    <row r="29" spans="1:7" x14ac:dyDescent="0.25">
      <c r="B29" s="6"/>
      <c r="C29" s="32" t="s">
        <v>93</v>
      </c>
      <c r="D29" s="31">
        <f>SUM(D30:D34)</f>
        <v>190773795</v>
      </c>
      <c r="E29" s="21" t="s">
        <v>94</v>
      </c>
      <c r="F29" s="19" t="s">
        <v>95</v>
      </c>
      <c r="G29" s="20">
        <v>87517812</v>
      </c>
    </row>
    <row r="30" spans="1:7" x14ac:dyDescent="0.25">
      <c r="B30" s="6" t="s">
        <v>96</v>
      </c>
      <c r="C30" s="19" t="s">
        <v>97</v>
      </c>
      <c r="D30" s="20">
        <v>160386601</v>
      </c>
      <c r="E30" s="21" t="s">
        <v>98</v>
      </c>
      <c r="F30" s="19" t="s">
        <v>99</v>
      </c>
      <c r="G30" s="20">
        <v>4109516.66</v>
      </c>
    </row>
    <row r="31" spans="1:7" x14ac:dyDescent="0.25">
      <c r="B31" s="6" t="s">
        <v>100</v>
      </c>
      <c r="C31" s="19" t="s">
        <v>101</v>
      </c>
      <c r="D31" s="20">
        <v>10155640</v>
      </c>
      <c r="E31" s="21" t="s">
        <v>102</v>
      </c>
      <c r="F31" s="19" t="s">
        <v>103</v>
      </c>
      <c r="G31" s="27">
        <v>6669067</v>
      </c>
    </row>
    <row r="32" spans="1:7" ht="15.75" thickBot="1" x14ac:dyDescent="0.3">
      <c r="B32" s="6" t="s">
        <v>104</v>
      </c>
      <c r="C32" s="19" t="s">
        <v>105</v>
      </c>
      <c r="D32" s="20">
        <v>8851759</v>
      </c>
      <c r="E32" s="21"/>
      <c r="F32" s="28" t="s">
        <v>106</v>
      </c>
      <c r="G32" s="29">
        <f>SUM(G28:G31)</f>
        <v>152824309.66</v>
      </c>
    </row>
    <row r="33" spans="2:7" x14ac:dyDescent="0.25">
      <c r="B33" s="6" t="s">
        <v>107</v>
      </c>
      <c r="C33" s="19" t="s">
        <v>108</v>
      </c>
      <c r="D33" s="20">
        <v>3054659</v>
      </c>
      <c r="E33" s="21"/>
      <c r="F33" s="32" t="s">
        <v>109</v>
      </c>
      <c r="G33" s="31">
        <f>SUM(G34:G39)</f>
        <v>171735932</v>
      </c>
    </row>
    <row r="34" spans="2:7" x14ac:dyDescent="0.25">
      <c r="B34" s="6" t="s">
        <v>110</v>
      </c>
      <c r="C34" s="19" t="s">
        <v>111</v>
      </c>
      <c r="D34" s="20">
        <v>8325136</v>
      </c>
      <c r="E34" s="21" t="s">
        <v>112</v>
      </c>
      <c r="F34" s="19" t="s">
        <v>113</v>
      </c>
      <c r="G34" s="20">
        <v>19776533</v>
      </c>
    </row>
    <row r="35" spans="2:7" ht="15.75" thickBot="1" x14ac:dyDescent="0.3">
      <c r="B35" s="6"/>
      <c r="C35" s="28" t="s">
        <v>114</v>
      </c>
      <c r="D35" s="29">
        <f>+D21+D29</f>
        <v>211470958</v>
      </c>
      <c r="E35" s="21" t="s">
        <v>115</v>
      </c>
      <c r="F35" s="19" t="s">
        <v>116</v>
      </c>
      <c r="G35" s="20">
        <v>2898968</v>
      </c>
    </row>
    <row r="36" spans="2:7" x14ac:dyDescent="0.25">
      <c r="B36" s="6" t="s">
        <v>117</v>
      </c>
      <c r="C36" s="19" t="s">
        <v>118</v>
      </c>
      <c r="D36" s="20">
        <v>4583916</v>
      </c>
      <c r="E36" s="21" t="s">
        <v>119</v>
      </c>
      <c r="F36" s="19" t="s">
        <v>120</v>
      </c>
      <c r="G36" s="20">
        <v>3453159</v>
      </c>
    </row>
    <row r="37" spans="2:7" x14ac:dyDescent="0.25">
      <c r="B37" s="6" t="s">
        <v>121</v>
      </c>
      <c r="C37" s="19" t="s">
        <v>122</v>
      </c>
      <c r="D37" s="20">
        <v>30496403</v>
      </c>
      <c r="E37" s="21" t="s">
        <v>123</v>
      </c>
      <c r="F37" s="19" t="s">
        <v>124</v>
      </c>
      <c r="G37" s="20">
        <v>10311291</v>
      </c>
    </row>
    <row r="38" spans="2:7" x14ac:dyDescent="0.25">
      <c r="B38" s="6" t="s">
        <v>125</v>
      </c>
      <c r="C38" s="19" t="s">
        <v>126</v>
      </c>
      <c r="D38" s="20">
        <v>7056259</v>
      </c>
      <c r="E38" s="21" t="s">
        <v>127</v>
      </c>
      <c r="F38" s="19" t="s">
        <v>128</v>
      </c>
      <c r="G38" s="20">
        <v>17580606</v>
      </c>
    </row>
    <row r="39" spans="2:7" x14ac:dyDescent="0.25">
      <c r="B39" s="6" t="s">
        <v>129</v>
      </c>
      <c r="C39" s="19" t="s">
        <v>130</v>
      </c>
      <c r="D39" s="20">
        <v>36325084</v>
      </c>
      <c r="E39" s="21" t="s">
        <v>131</v>
      </c>
      <c r="F39" s="19" t="s">
        <v>132</v>
      </c>
      <c r="G39" s="20">
        <v>117715375</v>
      </c>
    </row>
    <row r="40" spans="2:7" x14ac:dyDescent="0.25">
      <c r="B40" s="6" t="s">
        <v>133</v>
      </c>
      <c r="C40" s="19" t="s">
        <v>134</v>
      </c>
      <c r="D40" s="20">
        <v>99328417</v>
      </c>
      <c r="E40" s="21"/>
      <c r="F40" s="33" t="s">
        <v>135</v>
      </c>
      <c r="G40" s="34">
        <f>SUM(G41:G46)</f>
        <v>33810753</v>
      </c>
    </row>
    <row r="41" spans="2:7" x14ac:dyDescent="0.25">
      <c r="B41" s="6" t="s">
        <v>136</v>
      </c>
      <c r="C41" s="19" t="s">
        <v>137</v>
      </c>
      <c r="D41" s="20">
        <v>93552096</v>
      </c>
      <c r="E41" s="21" t="s">
        <v>138</v>
      </c>
      <c r="F41" s="19" t="s">
        <v>139</v>
      </c>
      <c r="G41" s="20">
        <v>2907806</v>
      </c>
    </row>
    <row r="42" spans="2:7" x14ac:dyDescent="0.25">
      <c r="B42" s="6" t="s">
        <v>140</v>
      </c>
      <c r="C42" s="19" t="s">
        <v>141</v>
      </c>
      <c r="D42" s="20">
        <v>76605459</v>
      </c>
      <c r="E42" s="21" t="s">
        <v>142</v>
      </c>
      <c r="F42" s="19" t="s">
        <v>143</v>
      </c>
      <c r="G42" s="20">
        <v>15907</v>
      </c>
    </row>
    <row r="43" spans="2:7" x14ac:dyDescent="0.25">
      <c r="B43" s="6" t="s">
        <v>144</v>
      </c>
      <c r="C43" s="19" t="s">
        <v>145</v>
      </c>
      <c r="D43" s="20"/>
      <c r="E43" s="21" t="s">
        <v>146</v>
      </c>
      <c r="F43" s="19" t="s">
        <v>147</v>
      </c>
      <c r="G43" s="20">
        <v>3262408</v>
      </c>
    </row>
    <row r="44" spans="2:7" x14ac:dyDescent="0.25">
      <c r="B44" s="6" t="s">
        <v>148</v>
      </c>
      <c r="C44" s="19" t="s">
        <v>149</v>
      </c>
      <c r="D44" s="20">
        <v>37026</v>
      </c>
      <c r="E44" s="21" t="s">
        <v>150</v>
      </c>
      <c r="F44" s="19" t="s">
        <v>151</v>
      </c>
      <c r="G44" s="20">
        <v>1089752</v>
      </c>
    </row>
    <row r="45" spans="2:7" x14ac:dyDescent="0.25">
      <c r="B45" s="6" t="s">
        <v>152</v>
      </c>
      <c r="C45" s="19" t="s">
        <v>153</v>
      </c>
      <c r="D45" s="20">
        <v>0</v>
      </c>
      <c r="E45" s="21" t="s">
        <v>154</v>
      </c>
      <c r="F45" s="19" t="s">
        <v>155</v>
      </c>
      <c r="G45" s="20">
        <v>1467257</v>
      </c>
    </row>
    <row r="46" spans="2:7" x14ac:dyDescent="0.25">
      <c r="B46" s="6" t="s">
        <v>156</v>
      </c>
      <c r="C46" s="19" t="s">
        <v>157</v>
      </c>
      <c r="D46" s="20">
        <v>15878549</v>
      </c>
      <c r="E46" s="21" t="s">
        <v>158</v>
      </c>
      <c r="F46" s="19" t="s">
        <v>159</v>
      </c>
      <c r="G46" s="20">
        <v>25067623</v>
      </c>
    </row>
    <row r="47" spans="2:7" ht="15.75" thickBot="1" x14ac:dyDescent="0.3">
      <c r="B47" s="6"/>
      <c r="C47" s="28" t="s">
        <v>160</v>
      </c>
      <c r="D47" s="29">
        <f>SUM(D36:D46)</f>
        <v>363863209</v>
      </c>
      <c r="E47" s="21" t="s">
        <v>161</v>
      </c>
      <c r="F47" s="19" t="s">
        <v>162</v>
      </c>
      <c r="G47" s="27">
        <v>9379100</v>
      </c>
    </row>
    <row r="48" spans="2:7" ht="15.75" thickBot="1" x14ac:dyDescent="0.3">
      <c r="B48" s="6"/>
      <c r="C48" s="35" t="s">
        <v>163</v>
      </c>
      <c r="D48" s="36"/>
      <c r="E48" s="21"/>
      <c r="F48" s="28" t="s">
        <v>164</v>
      </c>
      <c r="G48" s="37">
        <f>+G33+G40+G47</f>
        <v>214925785</v>
      </c>
    </row>
    <row r="49" spans="2:7" x14ac:dyDescent="0.25">
      <c r="B49" s="6" t="s">
        <v>165</v>
      </c>
      <c r="C49" s="38" t="s">
        <v>166</v>
      </c>
      <c r="D49" s="39"/>
      <c r="E49" s="21" t="s">
        <v>167</v>
      </c>
      <c r="F49" s="22" t="s">
        <v>168</v>
      </c>
      <c r="G49" s="23">
        <v>18201211</v>
      </c>
    </row>
    <row r="50" spans="2:7" x14ac:dyDescent="0.25">
      <c r="B50" s="6" t="s">
        <v>169</v>
      </c>
      <c r="C50" s="19" t="s">
        <v>163</v>
      </c>
      <c r="D50" s="20">
        <v>2863</v>
      </c>
      <c r="E50" s="21" t="s">
        <v>170</v>
      </c>
      <c r="F50" s="19" t="s">
        <v>171</v>
      </c>
      <c r="G50" s="20">
        <v>76829254</v>
      </c>
    </row>
    <row r="51" spans="2:7" x14ac:dyDescent="0.25">
      <c r="B51" s="6" t="s">
        <v>172</v>
      </c>
      <c r="C51" s="19" t="s">
        <v>173</v>
      </c>
      <c r="D51" s="27">
        <v>132</v>
      </c>
      <c r="E51" s="21" t="s">
        <v>174</v>
      </c>
      <c r="F51" s="19" t="s">
        <v>175</v>
      </c>
      <c r="G51" s="20">
        <v>0</v>
      </c>
    </row>
    <row r="52" spans="2:7" ht="15.75" thickBot="1" x14ac:dyDescent="0.3">
      <c r="B52" s="12"/>
      <c r="C52" s="28" t="s">
        <v>176</v>
      </c>
      <c r="D52" s="29">
        <f>SUM(D49:D51)</f>
        <v>2995</v>
      </c>
      <c r="E52" s="21" t="s">
        <v>177</v>
      </c>
      <c r="F52" s="19" t="s">
        <v>178</v>
      </c>
      <c r="G52" s="20">
        <v>0</v>
      </c>
    </row>
    <row r="53" spans="2:7" ht="15.75" thickBot="1" x14ac:dyDescent="0.3">
      <c r="B53" s="6"/>
      <c r="C53" s="40" t="s">
        <v>179</v>
      </c>
      <c r="D53" s="41">
        <f>D20+D35+D47+D52</f>
        <v>2880732013</v>
      </c>
      <c r="E53" s="21" t="s">
        <v>180</v>
      </c>
      <c r="F53" s="19" t="s">
        <v>181</v>
      </c>
      <c r="G53" s="20">
        <v>9222892</v>
      </c>
    </row>
    <row r="54" spans="2:7" x14ac:dyDescent="0.25">
      <c r="C54" s="42"/>
      <c r="D54" s="43"/>
      <c r="E54" s="21" t="s">
        <v>182</v>
      </c>
      <c r="F54" s="19" t="s">
        <v>183</v>
      </c>
      <c r="G54" s="20">
        <v>4250398</v>
      </c>
    </row>
    <row r="55" spans="2:7" x14ac:dyDescent="0.25">
      <c r="C55" s="44" t="s">
        <v>184</v>
      </c>
      <c r="D55" s="45"/>
      <c r="E55" s="21" t="s">
        <v>185</v>
      </c>
      <c r="F55" s="19" t="s">
        <v>186</v>
      </c>
      <c r="G55" s="20">
        <v>5691940</v>
      </c>
    </row>
    <row r="56" spans="2:7" x14ac:dyDescent="0.25">
      <c r="B56" s="6" t="s">
        <v>187</v>
      </c>
      <c r="C56" s="46" t="s">
        <v>188</v>
      </c>
      <c r="D56" s="20"/>
      <c r="E56" s="21" t="s">
        <v>189</v>
      </c>
      <c r="F56" s="19" t="s">
        <v>190</v>
      </c>
      <c r="G56" s="27">
        <v>5210753</v>
      </c>
    </row>
    <row r="57" spans="2:7" ht="15.75" thickBot="1" x14ac:dyDescent="0.3">
      <c r="B57" s="6" t="s">
        <v>191</v>
      </c>
      <c r="C57" s="46" t="s">
        <v>192</v>
      </c>
      <c r="D57" s="20">
        <v>-1322554</v>
      </c>
      <c r="E57" s="21"/>
      <c r="F57" s="28" t="s">
        <v>193</v>
      </c>
      <c r="G57" s="29">
        <f>SUM(G49:G56)</f>
        <v>119406448</v>
      </c>
    </row>
    <row r="58" spans="2:7" x14ac:dyDescent="0.25">
      <c r="B58" s="6" t="s">
        <v>194</v>
      </c>
      <c r="C58" s="46" t="s">
        <v>195</v>
      </c>
      <c r="D58" s="20">
        <v>-7619757</v>
      </c>
      <c r="E58" s="21" t="s">
        <v>196</v>
      </c>
      <c r="F58" s="22" t="s">
        <v>197</v>
      </c>
      <c r="G58" s="23">
        <v>0</v>
      </c>
    </row>
    <row r="59" spans="2:7" x14ac:dyDescent="0.25">
      <c r="B59" s="6" t="s">
        <v>198</v>
      </c>
      <c r="C59" s="19" t="s">
        <v>199</v>
      </c>
      <c r="D59" s="27">
        <v>-408037</v>
      </c>
      <c r="E59" s="21" t="s">
        <v>200</v>
      </c>
      <c r="F59" s="19" t="s">
        <v>201</v>
      </c>
      <c r="G59" s="20">
        <v>43197627</v>
      </c>
    </row>
    <row r="60" spans="2:7" ht="15.75" thickBot="1" x14ac:dyDescent="0.3">
      <c r="B60" s="6"/>
      <c r="C60" s="28" t="s">
        <v>202</v>
      </c>
      <c r="D60" s="29">
        <f>SUM(D56:D59)</f>
        <v>-9350348</v>
      </c>
      <c r="E60" s="21" t="s">
        <v>203</v>
      </c>
      <c r="F60" s="19" t="s">
        <v>204</v>
      </c>
      <c r="G60" s="20">
        <v>5904763</v>
      </c>
    </row>
    <row r="61" spans="2:7" ht="16.5" thickBot="1" x14ac:dyDescent="0.3">
      <c r="B61" s="47"/>
      <c r="C61" s="48" t="s">
        <v>205</v>
      </c>
      <c r="D61" s="49">
        <f>D53+D60</f>
        <v>2871381665</v>
      </c>
      <c r="E61" s="21" t="s">
        <v>206</v>
      </c>
      <c r="F61" s="19" t="s">
        <v>207</v>
      </c>
      <c r="G61" s="20">
        <v>1461709</v>
      </c>
    </row>
    <row r="62" spans="2:7" x14ac:dyDescent="0.25">
      <c r="B62" s="50"/>
      <c r="C62" s="51"/>
      <c r="D62" s="51"/>
      <c r="E62" s="21" t="s">
        <v>208</v>
      </c>
      <c r="F62" s="19" t="s">
        <v>209</v>
      </c>
      <c r="G62" s="20">
        <v>0</v>
      </c>
    </row>
    <row r="63" spans="2:7" x14ac:dyDescent="0.25">
      <c r="B63" s="52"/>
      <c r="C63" s="53" t="s">
        <v>8</v>
      </c>
      <c r="D63" s="53"/>
      <c r="E63" s="21" t="s">
        <v>210</v>
      </c>
      <c r="F63" s="19" t="s">
        <v>211</v>
      </c>
      <c r="G63" s="20">
        <v>135917893</v>
      </c>
    </row>
    <row r="64" spans="2:7" x14ac:dyDescent="0.25">
      <c r="B64" s="54" t="s">
        <v>212</v>
      </c>
      <c r="C64" s="55" t="s">
        <v>213</v>
      </c>
      <c r="D64" s="55">
        <f>[24]Amortizaciones!D6</f>
        <v>38890983</v>
      </c>
      <c r="E64" s="21" t="s">
        <v>214</v>
      </c>
      <c r="F64" s="19" t="s">
        <v>215</v>
      </c>
      <c r="G64" s="20">
        <v>833890</v>
      </c>
    </row>
    <row r="65" spans="2:7" x14ac:dyDescent="0.25">
      <c r="B65" s="54" t="s">
        <v>216</v>
      </c>
      <c r="C65" s="55" t="s">
        <v>217</v>
      </c>
      <c r="D65" s="55">
        <f>[24]Amortizaciones!D7</f>
        <v>0</v>
      </c>
      <c r="E65" s="21" t="s">
        <v>218</v>
      </c>
      <c r="F65" s="19" t="s">
        <v>219</v>
      </c>
      <c r="G65" s="20">
        <v>627513</v>
      </c>
    </row>
    <row r="66" spans="2:7" x14ac:dyDescent="0.25">
      <c r="B66" s="54" t="s">
        <v>220</v>
      </c>
      <c r="C66" s="55" t="s">
        <v>221</v>
      </c>
      <c r="D66" s="55">
        <f>[24]Amortizaciones!D8</f>
        <v>17432249</v>
      </c>
      <c r="E66" s="21" t="s">
        <v>222</v>
      </c>
      <c r="F66" s="19" t="s">
        <v>223</v>
      </c>
      <c r="G66" s="20">
        <v>186278</v>
      </c>
    </row>
    <row r="67" spans="2:7" x14ac:dyDescent="0.25">
      <c r="B67" s="54" t="s">
        <v>224</v>
      </c>
      <c r="C67" s="55" t="s">
        <v>225</v>
      </c>
      <c r="D67" s="55">
        <f>[24]Amortizaciones!D9</f>
        <v>0</v>
      </c>
      <c r="E67" s="21" t="s">
        <v>226</v>
      </c>
      <c r="F67" s="19" t="s">
        <v>227</v>
      </c>
      <c r="G67" s="20">
        <v>765484</v>
      </c>
    </row>
    <row r="68" spans="2:7" x14ac:dyDescent="0.25">
      <c r="B68" s="54" t="s">
        <v>228</v>
      </c>
      <c r="C68" s="55" t="s">
        <v>229</v>
      </c>
      <c r="D68" s="55">
        <f>[24]Amortizaciones!D10</f>
        <v>4240875</v>
      </c>
      <c r="E68" s="21" t="s">
        <v>230</v>
      </c>
      <c r="F68" s="19" t="s">
        <v>231</v>
      </c>
      <c r="G68" s="20">
        <v>0</v>
      </c>
    </row>
    <row r="69" spans="2:7" x14ac:dyDescent="0.25">
      <c r="B69" s="54" t="s">
        <v>232</v>
      </c>
      <c r="C69" s="55" t="s">
        <v>233</v>
      </c>
      <c r="D69" s="55">
        <f>[24]Amortizaciones!D11</f>
        <v>286156</v>
      </c>
      <c r="E69" s="21" t="s">
        <v>234</v>
      </c>
      <c r="F69" s="19" t="s">
        <v>235</v>
      </c>
      <c r="G69" s="20">
        <v>17384</v>
      </c>
    </row>
    <row r="70" spans="2:7" x14ac:dyDescent="0.25">
      <c r="B70" s="54" t="s">
        <v>236</v>
      </c>
      <c r="C70" s="55" t="s">
        <v>237</v>
      </c>
      <c r="D70" s="55">
        <f>[24]Amortizaciones!D12</f>
        <v>5916372</v>
      </c>
      <c r="E70" s="21" t="s">
        <v>238</v>
      </c>
      <c r="F70" s="19" t="s">
        <v>239</v>
      </c>
      <c r="G70" s="20">
        <v>875243</v>
      </c>
    </row>
    <row r="71" spans="2:7" x14ac:dyDescent="0.25">
      <c r="B71" s="54" t="s">
        <v>240</v>
      </c>
      <c r="C71" s="55" t="s">
        <v>241</v>
      </c>
      <c r="D71" s="55">
        <f>[24]Amortizaciones!D13</f>
        <v>82036</v>
      </c>
      <c r="E71" s="21" t="s">
        <v>242</v>
      </c>
      <c r="F71" s="19" t="s">
        <v>243</v>
      </c>
      <c r="G71" s="20">
        <v>0</v>
      </c>
    </row>
    <row r="72" spans="2:7" x14ac:dyDescent="0.25">
      <c r="B72" s="54" t="s">
        <v>244</v>
      </c>
      <c r="C72" s="55" t="s">
        <v>245</v>
      </c>
      <c r="D72" s="55">
        <f>[24]Amortizaciones!D14</f>
        <v>5207430</v>
      </c>
      <c r="E72" s="21" t="s">
        <v>246</v>
      </c>
      <c r="F72" s="19" t="s">
        <v>247</v>
      </c>
      <c r="G72" s="20">
        <v>11391614</v>
      </c>
    </row>
    <row r="73" spans="2:7" x14ac:dyDescent="0.25">
      <c r="B73" s="54" t="s">
        <v>248</v>
      </c>
      <c r="C73" s="55" t="s">
        <v>249</v>
      </c>
      <c r="D73" s="55">
        <f>[24]Amortizaciones!D15</f>
        <v>0</v>
      </c>
      <c r="E73" s="21" t="s">
        <v>250</v>
      </c>
      <c r="F73" s="19" t="s">
        <v>251</v>
      </c>
      <c r="G73" s="20">
        <v>0</v>
      </c>
    </row>
    <row r="74" spans="2:7" x14ac:dyDescent="0.25">
      <c r="B74" s="54" t="s">
        <v>252</v>
      </c>
      <c r="C74" s="55" t="s">
        <v>253</v>
      </c>
      <c r="D74" s="55">
        <f>[24]Amortizaciones!D16</f>
        <v>128630</v>
      </c>
      <c r="E74" s="21" t="s">
        <v>254</v>
      </c>
      <c r="F74" s="19" t="s">
        <v>255</v>
      </c>
      <c r="G74" s="20">
        <v>0</v>
      </c>
    </row>
    <row r="75" spans="2:7" x14ac:dyDescent="0.25">
      <c r="B75" s="54" t="s">
        <v>256</v>
      </c>
      <c r="C75" s="55" t="s">
        <v>257</v>
      </c>
      <c r="D75" s="55">
        <f>[24]Amortizaciones!D17</f>
        <v>0</v>
      </c>
      <c r="E75" s="21" t="s">
        <v>258</v>
      </c>
      <c r="F75" s="19" t="s">
        <v>259</v>
      </c>
      <c r="G75" s="20">
        <v>8208445</v>
      </c>
    </row>
    <row r="76" spans="2:7" x14ac:dyDescent="0.25">
      <c r="B76" s="54" t="s">
        <v>260</v>
      </c>
      <c r="C76" s="55" t="s">
        <v>261</v>
      </c>
      <c r="D76" s="55">
        <f>[24]Amortizaciones!D18</f>
        <v>0</v>
      </c>
      <c r="E76" s="21" t="s">
        <v>262</v>
      </c>
      <c r="F76" s="19" t="s">
        <v>263</v>
      </c>
      <c r="G76" s="20">
        <v>26995693</v>
      </c>
    </row>
    <row r="77" spans="2:7" x14ac:dyDescent="0.25">
      <c r="B77" s="54" t="s">
        <v>264</v>
      </c>
      <c r="C77" s="55" t="s">
        <v>265</v>
      </c>
      <c r="D77" s="55">
        <f>SUM(D64:D76)</f>
        <v>72184731</v>
      </c>
      <c r="E77" s="21" t="s">
        <v>266</v>
      </c>
      <c r="F77" s="19" t="s">
        <v>267</v>
      </c>
      <c r="G77" s="20">
        <v>28802172</v>
      </c>
    </row>
    <row r="78" spans="2:7" x14ac:dyDescent="0.25">
      <c r="B78" s="54"/>
      <c r="C78" s="55"/>
      <c r="D78" s="55"/>
      <c r="E78" s="21" t="s">
        <v>268</v>
      </c>
      <c r="F78" s="19" t="s">
        <v>269</v>
      </c>
      <c r="G78" s="27">
        <v>12100431</v>
      </c>
    </row>
    <row r="79" spans="2:7" ht="15.75" thickBot="1" x14ac:dyDescent="0.3">
      <c r="B79" s="54"/>
      <c r="C79" s="53" t="s">
        <v>270</v>
      </c>
      <c r="D79" s="56"/>
      <c r="E79" s="21"/>
      <c r="F79" s="28" t="s">
        <v>271</v>
      </c>
      <c r="G79" s="29">
        <f>SUM(G58:G78)</f>
        <v>277286139</v>
      </c>
    </row>
    <row r="80" spans="2:7" x14ac:dyDescent="0.25">
      <c r="B80" s="54" t="s">
        <v>272</v>
      </c>
      <c r="C80" s="55" t="s">
        <v>237</v>
      </c>
      <c r="D80" s="55">
        <f>[24]Amortizaciones!D22</f>
        <v>409692</v>
      </c>
      <c r="E80" s="21" t="s">
        <v>273</v>
      </c>
      <c r="F80" s="22" t="s">
        <v>274</v>
      </c>
      <c r="G80" s="23">
        <v>827003</v>
      </c>
    </row>
    <row r="81" spans="2:7" x14ac:dyDescent="0.25">
      <c r="B81" s="54" t="s">
        <v>275</v>
      </c>
      <c r="C81" s="55" t="s">
        <v>241</v>
      </c>
      <c r="D81" s="55">
        <f>[24]Amortizaciones!D23</f>
        <v>0</v>
      </c>
      <c r="E81" s="21" t="s">
        <v>276</v>
      </c>
      <c r="F81" s="19" t="s">
        <v>277</v>
      </c>
      <c r="G81" s="20">
        <v>9742529</v>
      </c>
    </row>
    <row r="82" spans="2:7" x14ac:dyDescent="0.25">
      <c r="B82" s="54" t="s">
        <v>278</v>
      </c>
      <c r="C82" s="55" t="s">
        <v>245</v>
      </c>
      <c r="D82" s="55">
        <f>[24]Amortizaciones!D24</f>
        <v>274650</v>
      </c>
      <c r="E82" s="21" t="s">
        <v>279</v>
      </c>
      <c r="F82" s="19" t="s">
        <v>280</v>
      </c>
      <c r="G82" s="20">
        <v>4747589</v>
      </c>
    </row>
    <row r="83" spans="2:7" x14ac:dyDescent="0.25">
      <c r="B83" s="54" t="s">
        <v>281</v>
      </c>
      <c r="C83" s="55" t="s">
        <v>249</v>
      </c>
      <c r="D83" s="55">
        <f>[24]Amortizaciones!D25</f>
        <v>120854</v>
      </c>
      <c r="E83" s="21" t="s">
        <v>282</v>
      </c>
      <c r="F83" s="19" t="s">
        <v>283</v>
      </c>
      <c r="G83" s="20">
        <v>2160116</v>
      </c>
    </row>
    <row r="84" spans="2:7" x14ac:dyDescent="0.25">
      <c r="B84" s="54" t="s">
        <v>284</v>
      </c>
      <c r="C84" s="55" t="s">
        <v>285</v>
      </c>
      <c r="D84" s="55">
        <v>0</v>
      </c>
      <c r="E84" s="21" t="s">
        <v>286</v>
      </c>
      <c r="F84" s="19" t="s">
        <v>287</v>
      </c>
      <c r="G84" s="20">
        <v>16004545</v>
      </c>
    </row>
    <row r="85" spans="2:7" x14ac:dyDescent="0.25">
      <c r="B85" s="54" t="s">
        <v>288</v>
      </c>
      <c r="C85" s="55" t="s">
        <v>289</v>
      </c>
      <c r="D85" s="55">
        <f>[24]Amortizaciones!D27</f>
        <v>0</v>
      </c>
      <c r="E85" s="21" t="s">
        <v>290</v>
      </c>
      <c r="F85" s="19" t="s">
        <v>291</v>
      </c>
      <c r="G85" s="20">
        <v>1166306</v>
      </c>
    </row>
    <row r="86" spans="2:7" x14ac:dyDescent="0.25">
      <c r="B86" s="54" t="s">
        <v>292</v>
      </c>
      <c r="C86" s="55" t="s">
        <v>293</v>
      </c>
      <c r="D86" s="55">
        <f>[24]Amortizaciones!D28</f>
        <v>0</v>
      </c>
      <c r="E86" s="21" t="s">
        <v>294</v>
      </c>
      <c r="F86" s="19" t="s">
        <v>295</v>
      </c>
      <c r="G86" s="20">
        <v>2171336</v>
      </c>
    </row>
    <row r="87" spans="2:7" x14ac:dyDescent="0.25">
      <c r="B87" s="54" t="s">
        <v>296</v>
      </c>
      <c r="C87" s="55" t="s">
        <v>297</v>
      </c>
      <c r="D87" s="55">
        <f>[24]Amortizaciones!D29</f>
        <v>0</v>
      </c>
      <c r="E87" s="21" t="s">
        <v>298</v>
      </c>
      <c r="F87" s="19" t="s">
        <v>299</v>
      </c>
      <c r="G87" s="20">
        <v>317199</v>
      </c>
    </row>
    <row r="88" spans="2:7" x14ac:dyDescent="0.25">
      <c r="B88" s="54" t="s">
        <v>300</v>
      </c>
      <c r="C88" s="55" t="s">
        <v>301</v>
      </c>
      <c r="D88" s="55">
        <f>[24]Amortizaciones!D30</f>
        <v>0</v>
      </c>
      <c r="E88" s="21" t="s">
        <v>302</v>
      </c>
      <c r="F88" s="19" t="s">
        <v>303</v>
      </c>
      <c r="G88" s="20">
        <v>6548886</v>
      </c>
    </row>
    <row r="89" spans="2:7" x14ac:dyDescent="0.25">
      <c r="B89" s="54" t="s">
        <v>304</v>
      </c>
      <c r="C89" s="55" t="s">
        <v>213</v>
      </c>
      <c r="D89" s="55">
        <f>[24]Amortizaciones!D31</f>
        <v>0</v>
      </c>
      <c r="E89" s="21" t="s">
        <v>305</v>
      </c>
      <c r="F89" s="19" t="s">
        <v>306</v>
      </c>
      <c r="G89" s="20">
        <v>16286763</v>
      </c>
    </row>
    <row r="90" spans="2:7" x14ac:dyDescent="0.25">
      <c r="B90" s="54" t="s">
        <v>307</v>
      </c>
      <c r="C90" s="55" t="s">
        <v>229</v>
      </c>
      <c r="D90" s="55">
        <f>[24]Amortizaciones!D32</f>
        <v>3221494</v>
      </c>
      <c r="E90" s="21" t="s">
        <v>308</v>
      </c>
      <c r="F90" s="19" t="s">
        <v>309</v>
      </c>
      <c r="G90" s="20">
        <v>385416</v>
      </c>
    </row>
    <row r="91" spans="2:7" x14ac:dyDescent="0.25">
      <c r="B91" s="54" t="s">
        <v>310</v>
      </c>
      <c r="C91" s="55" t="s">
        <v>311</v>
      </c>
      <c r="D91" s="55">
        <f>SUM(D80:D90)</f>
        <v>4026690</v>
      </c>
      <c r="E91" s="52" t="s">
        <v>312</v>
      </c>
      <c r="F91" s="19" t="s">
        <v>313</v>
      </c>
      <c r="G91" s="20">
        <v>7911424</v>
      </c>
    </row>
    <row r="92" spans="2:7" x14ac:dyDescent="0.25">
      <c r="B92" s="54"/>
      <c r="C92" s="57" t="s">
        <v>314</v>
      </c>
      <c r="D92" s="55">
        <f>D77+D91</f>
        <v>76211421</v>
      </c>
      <c r="E92" s="52" t="s">
        <v>315</v>
      </c>
      <c r="F92" s="19" t="s">
        <v>316</v>
      </c>
      <c r="G92" s="20">
        <v>461276</v>
      </c>
    </row>
    <row r="93" spans="2:7" x14ac:dyDescent="0.25">
      <c r="E93" s="52" t="s">
        <v>317</v>
      </c>
      <c r="F93" s="19" t="s">
        <v>318</v>
      </c>
      <c r="G93" s="20">
        <v>4746813</v>
      </c>
    </row>
    <row r="94" spans="2:7" x14ac:dyDescent="0.25">
      <c r="E94" s="52" t="s">
        <v>319</v>
      </c>
      <c r="F94" s="19" t="s">
        <v>320</v>
      </c>
      <c r="G94" s="27">
        <v>3352766</v>
      </c>
    </row>
    <row r="95" spans="2:7" ht="13.5" customHeight="1" thickBot="1" x14ac:dyDescent="0.3">
      <c r="E95" s="21"/>
      <c r="F95" s="28" t="s">
        <v>321</v>
      </c>
      <c r="G95" s="29">
        <f>SUM(G80:G94)</f>
        <v>76829967</v>
      </c>
    </row>
    <row r="96" spans="2:7" x14ac:dyDescent="0.25">
      <c r="E96" s="52" t="s">
        <v>322</v>
      </c>
      <c r="F96" s="22" t="s">
        <v>323</v>
      </c>
      <c r="G96" s="23">
        <v>11860970</v>
      </c>
    </row>
    <row r="97" spans="2:7" x14ac:dyDescent="0.25">
      <c r="E97" s="52" t="s">
        <v>324</v>
      </c>
      <c r="F97" s="19" t="s">
        <v>325</v>
      </c>
      <c r="G97" s="20">
        <v>21233719</v>
      </c>
    </row>
    <row r="98" spans="2:7" x14ac:dyDescent="0.25">
      <c r="E98" s="52" t="s">
        <v>326</v>
      </c>
      <c r="F98" s="19" t="s">
        <v>327</v>
      </c>
      <c r="G98" s="20">
        <v>200392</v>
      </c>
    </row>
    <row r="99" spans="2:7" x14ac:dyDescent="0.25">
      <c r="E99" s="52" t="s">
        <v>328</v>
      </c>
      <c r="F99" s="19" t="s">
        <v>329</v>
      </c>
      <c r="G99" s="20">
        <v>9222850</v>
      </c>
    </row>
    <row r="100" spans="2:7" x14ac:dyDescent="0.25">
      <c r="E100" s="52" t="s">
        <v>330</v>
      </c>
      <c r="F100" s="19" t="s">
        <v>331</v>
      </c>
      <c r="G100" s="27">
        <v>1940094</v>
      </c>
    </row>
    <row r="101" spans="2:7" ht="15.75" thickBot="1" x14ac:dyDescent="0.3">
      <c r="E101" s="21"/>
      <c r="F101" s="28" t="s">
        <v>332</v>
      </c>
      <c r="G101" s="29">
        <f>SUM(G96:G100)</f>
        <v>44458025</v>
      </c>
    </row>
    <row r="102" spans="2:7" ht="15.75" thickBot="1" x14ac:dyDescent="0.3">
      <c r="E102" s="52"/>
      <c r="F102" s="59" t="s">
        <v>333</v>
      </c>
      <c r="G102" s="60">
        <f>[24]Amortizaciones!D19</f>
        <v>72184731</v>
      </c>
    </row>
    <row r="103" spans="2:7" x14ac:dyDescent="0.25">
      <c r="E103" s="52" t="s">
        <v>334</v>
      </c>
      <c r="F103" s="19" t="s">
        <v>335</v>
      </c>
      <c r="G103" s="23">
        <v>804292</v>
      </c>
    </row>
    <row r="104" spans="2:7" x14ac:dyDescent="0.25">
      <c r="E104" s="52" t="s">
        <v>336</v>
      </c>
      <c r="F104" s="61" t="s">
        <v>337</v>
      </c>
      <c r="G104" s="20">
        <v>36700</v>
      </c>
    </row>
    <row r="105" spans="2:7" ht="15.75" thickBot="1" x14ac:dyDescent="0.3">
      <c r="E105" s="21"/>
      <c r="F105" s="28" t="s">
        <v>338</v>
      </c>
      <c r="G105" s="29">
        <f>SUM(G103:G104)</f>
        <v>840992</v>
      </c>
    </row>
    <row r="106" spans="2:7" ht="13.7" customHeight="1" thickBot="1" x14ac:dyDescent="0.3">
      <c r="B106" s="6"/>
      <c r="C106" s="62"/>
      <c r="D106" s="62"/>
      <c r="E106" s="52"/>
      <c r="F106" s="48" t="s">
        <v>339</v>
      </c>
      <c r="G106" s="49">
        <f>G19+G27+G32+G48+G57+G79+G95+G101+G102+G105</f>
        <v>2725671901.6599998</v>
      </c>
    </row>
    <row r="107" spans="2:7" ht="13.7" customHeight="1" x14ac:dyDescent="0.25">
      <c r="B107" s="6"/>
      <c r="C107" s="62"/>
      <c r="D107" s="62"/>
      <c r="E107" s="21"/>
      <c r="F107" s="63"/>
      <c r="G107" s="64"/>
    </row>
    <row r="108" spans="2:7" ht="13.7" customHeight="1" thickBot="1" x14ac:dyDescent="0.3">
      <c r="B108" s="6"/>
      <c r="C108" s="62"/>
      <c r="D108" s="62"/>
      <c r="E108" s="21"/>
    </row>
    <row r="109" spans="2:7" ht="13.7" customHeight="1" thickBot="1" x14ac:dyDescent="0.3">
      <c r="B109" s="6"/>
      <c r="C109" s="62"/>
      <c r="D109" s="62"/>
      <c r="E109" s="21"/>
      <c r="F109" s="13" t="s">
        <v>340</v>
      </c>
      <c r="G109" s="65">
        <f>D61-G106</f>
        <v>145709763.34000015</v>
      </c>
    </row>
    <row r="110" spans="2:7" ht="13.7" customHeight="1" thickBot="1" x14ac:dyDescent="0.3">
      <c r="B110" s="6"/>
      <c r="C110" s="62"/>
      <c r="D110" s="62"/>
      <c r="E110" s="21"/>
    </row>
    <row r="111" spans="2:7" ht="13.7" customHeight="1" thickBot="1" x14ac:dyDescent="0.3">
      <c r="C111" s="48" t="s">
        <v>270</v>
      </c>
      <c r="D111" s="17">
        <f>+[24]E.S.P.!D6</f>
        <v>2020</v>
      </c>
      <c r="E111" s="52"/>
      <c r="F111" s="48" t="s">
        <v>341</v>
      </c>
      <c r="G111" s="17">
        <f>+[24]E.S.P.!D6</f>
        <v>2020</v>
      </c>
    </row>
    <row r="112" spans="2:7" ht="13.7" customHeight="1" x14ac:dyDescent="0.25">
      <c r="B112" s="6" t="s">
        <v>342</v>
      </c>
      <c r="C112" s="66" t="s">
        <v>343</v>
      </c>
      <c r="D112" s="67">
        <v>21397976</v>
      </c>
      <c r="E112" s="21" t="s">
        <v>344</v>
      </c>
      <c r="F112" s="66" t="s">
        <v>309</v>
      </c>
      <c r="G112" s="67">
        <v>18000</v>
      </c>
    </row>
    <row r="113" spans="2:7" ht="13.7" customHeight="1" x14ac:dyDescent="0.25">
      <c r="B113" s="6" t="s">
        <v>345</v>
      </c>
      <c r="C113" s="68" t="s">
        <v>346</v>
      </c>
      <c r="D113" s="69">
        <v>68130538</v>
      </c>
      <c r="E113" s="21" t="s">
        <v>347</v>
      </c>
      <c r="F113" s="68" t="s">
        <v>348</v>
      </c>
      <c r="G113" s="69"/>
    </row>
    <row r="114" spans="2:7" ht="13.7" customHeight="1" x14ac:dyDescent="0.25">
      <c r="B114" s="6" t="s">
        <v>349</v>
      </c>
      <c r="C114" s="68" t="s">
        <v>48</v>
      </c>
      <c r="D114" s="69"/>
      <c r="E114" s="21" t="s">
        <v>350</v>
      </c>
      <c r="F114" s="68" t="s">
        <v>351</v>
      </c>
      <c r="G114" s="69">
        <v>1836742</v>
      </c>
    </row>
    <row r="115" spans="2:7" ht="13.7" customHeight="1" x14ac:dyDescent="0.25">
      <c r="B115" s="6" t="s">
        <v>352</v>
      </c>
      <c r="C115" s="68" t="s">
        <v>353</v>
      </c>
      <c r="D115" s="69">
        <v>1283795</v>
      </c>
      <c r="E115" s="21" t="s">
        <v>354</v>
      </c>
      <c r="F115" s="68" t="s">
        <v>355</v>
      </c>
      <c r="G115" s="69">
        <v>147335</v>
      </c>
    </row>
    <row r="116" spans="2:7" ht="13.7" customHeight="1" x14ac:dyDescent="0.25">
      <c r="B116" s="6" t="s">
        <v>356</v>
      </c>
      <c r="C116" s="68" t="s">
        <v>357</v>
      </c>
      <c r="D116" s="69">
        <v>3184296</v>
      </c>
      <c r="E116" s="21" t="s">
        <v>358</v>
      </c>
      <c r="F116" s="68" t="s">
        <v>359</v>
      </c>
      <c r="G116" s="69">
        <v>5262371</v>
      </c>
    </row>
    <row r="117" spans="2:7" ht="13.7" customHeight="1" x14ac:dyDescent="0.25">
      <c r="B117" s="6" t="s">
        <v>360</v>
      </c>
      <c r="C117" s="68" t="s">
        <v>361</v>
      </c>
      <c r="D117" s="69"/>
      <c r="E117" s="21" t="s">
        <v>362</v>
      </c>
      <c r="F117" s="68" t="s">
        <v>363</v>
      </c>
      <c r="G117" s="69">
        <v>899033</v>
      </c>
    </row>
    <row r="118" spans="2:7" ht="13.7" customHeight="1" x14ac:dyDescent="0.25">
      <c r="B118" s="6" t="s">
        <v>364</v>
      </c>
      <c r="C118" s="68" t="s">
        <v>365</v>
      </c>
      <c r="D118" s="69">
        <v>97802</v>
      </c>
      <c r="E118" s="21" t="s">
        <v>366</v>
      </c>
      <c r="F118" s="68" t="s">
        <v>367</v>
      </c>
      <c r="G118" s="69">
        <v>23058</v>
      </c>
    </row>
    <row r="119" spans="2:7" ht="13.7" customHeight="1" x14ac:dyDescent="0.25">
      <c r="B119" s="6" t="s">
        <v>368</v>
      </c>
      <c r="C119" s="68" t="s">
        <v>369</v>
      </c>
      <c r="D119" s="69">
        <v>519798</v>
      </c>
      <c r="E119" s="21" t="s">
        <v>370</v>
      </c>
      <c r="F119" s="68" t="s">
        <v>371</v>
      </c>
      <c r="G119" s="69">
        <v>60612</v>
      </c>
    </row>
    <row r="120" spans="2:7" ht="13.7" customHeight="1" x14ac:dyDescent="0.25">
      <c r="B120" s="6" t="s">
        <v>372</v>
      </c>
      <c r="C120" s="68" t="s">
        <v>373</v>
      </c>
      <c r="D120" s="69"/>
      <c r="E120" s="21" t="s">
        <v>374</v>
      </c>
      <c r="F120" s="68" t="s">
        <v>375</v>
      </c>
      <c r="G120" s="69"/>
    </row>
    <row r="121" spans="2:7" ht="13.7" customHeight="1" x14ac:dyDescent="0.25">
      <c r="B121" s="6" t="s">
        <v>376</v>
      </c>
      <c r="C121" s="19" t="s">
        <v>377</v>
      </c>
      <c r="D121" s="69">
        <v>4317248</v>
      </c>
      <c r="E121" s="21" t="s">
        <v>378</v>
      </c>
      <c r="F121" s="68" t="s">
        <v>379</v>
      </c>
      <c r="G121" s="69">
        <v>11102711</v>
      </c>
    </row>
    <row r="122" spans="2:7" ht="13.7" customHeight="1" thickBot="1" x14ac:dyDescent="0.3">
      <c r="B122" s="6"/>
      <c r="C122" s="28" t="s">
        <v>380</v>
      </c>
      <c r="D122" s="37">
        <f>SUM(D112:D121)</f>
        <v>98931453</v>
      </c>
      <c r="E122" s="21" t="s">
        <v>381</v>
      </c>
      <c r="F122" s="19" t="s">
        <v>382</v>
      </c>
      <c r="G122" s="20">
        <v>656230</v>
      </c>
    </row>
    <row r="123" spans="2:7" ht="13.7" customHeight="1" thickBot="1" x14ac:dyDescent="0.3">
      <c r="B123" s="6" t="s">
        <v>383</v>
      </c>
      <c r="C123" s="70" t="s">
        <v>309</v>
      </c>
      <c r="D123" s="67"/>
      <c r="E123" s="52"/>
      <c r="F123" s="28" t="s">
        <v>384</v>
      </c>
      <c r="G123" s="37">
        <f>SUM(G112:G122)</f>
        <v>20006092</v>
      </c>
    </row>
    <row r="124" spans="2:7" ht="13.7" customHeight="1" x14ac:dyDescent="0.25">
      <c r="B124" s="6" t="s">
        <v>385</v>
      </c>
      <c r="C124" s="68" t="s">
        <v>313</v>
      </c>
      <c r="D124" s="69">
        <v>58730</v>
      </c>
      <c r="E124" s="21" t="s">
        <v>386</v>
      </c>
      <c r="F124" s="68" t="s">
        <v>387</v>
      </c>
      <c r="G124" s="69">
        <v>500992</v>
      </c>
    </row>
    <row r="125" spans="2:7" ht="13.7" customHeight="1" x14ac:dyDescent="0.25">
      <c r="B125" s="6" t="s">
        <v>388</v>
      </c>
      <c r="C125" s="19" t="s">
        <v>389</v>
      </c>
      <c r="D125" s="69">
        <v>2680</v>
      </c>
      <c r="E125" s="21" t="s">
        <v>390</v>
      </c>
      <c r="F125" s="68" t="s">
        <v>391</v>
      </c>
      <c r="G125" s="69">
        <v>958856</v>
      </c>
    </row>
    <row r="126" spans="2:7" ht="13.7" customHeight="1" thickBot="1" x14ac:dyDescent="0.3">
      <c r="B126" s="6"/>
      <c r="C126" s="28" t="s">
        <v>392</v>
      </c>
      <c r="D126" s="37">
        <f>SUM(D123:D125)</f>
        <v>61410</v>
      </c>
      <c r="E126" s="21" t="s">
        <v>393</v>
      </c>
      <c r="F126" s="68" t="s">
        <v>394</v>
      </c>
      <c r="G126" s="69">
        <v>1163891</v>
      </c>
    </row>
    <row r="127" spans="2:7" ht="13.7" customHeight="1" x14ac:dyDescent="0.25">
      <c r="B127" s="6" t="s">
        <v>395</v>
      </c>
      <c r="C127" s="66" t="s">
        <v>274</v>
      </c>
      <c r="D127" s="67">
        <v>1197564</v>
      </c>
      <c r="E127" s="21" t="s">
        <v>396</v>
      </c>
      <c r="F127" s="68" t="s">
        <v>397</v>
      </c>
      <c r="G127" s="69"/>
    </row>
    <row r="128" spans="2:7" ht="13.7" customHeight="1" x14ac:dyDescent="0.25">
      <c r="B128" s="6" t="s">
        <v>398</v>
      </c>
      <c r="C128" s="68" t="s">
        <v>399</v>
      </c>
      <c r="D128" s="69">
        <v>455804</v>
      </c>
      <c r="E128" s="21" t="s">
        <v>400</v>
      </c>
      <c r="F128" s="68" t="s">
        <v>401</v>
      </c>
      <c r="G128" s="69">
        <v>69495</v>
      </c>
    </row>
    <row r="129" spans="2:7" ht="13.7" customHeight="1" x14ac:dyDescent="0.25">
      <c r="B129" s="6" t="s">
        <v>402</v>
      </c>
      <c r="C129" s="68" t="s">
        <v>277</v>
      </c>
      <c r="D129" s="69">
        <v>146219</v>
      </c>
      <c r="E129" s="21" t="s">
        <v>403</v>
      </c>
      <c r="F129" s="68" t="s">
        <v>404</v>
      </c>
      <c r="G129" s="69">
        <v>50896</v>
      </c>
    </row>
    <row r="130" spans="2:7" ht="13.7" customHeight="1" x14ac:dyDescent="0.25">
      <c r="B130" s="6" t="s">
        <v>405</v>
      </c>
      <c r="C130" s="68" t="s">
        <v>283</v>
      </c>
      <c r="D130" s="69">
        <v>159444</v>
      </c>
      <c r="E130" s="21" t="s">
        <v>406</v>
      </c>
      <c r="F130" s="68" t="s">
        <v>407</v>
      </c>
      <c r="G130" s="69"/>
    </row>
    <row r="131" spans="2:7" ht="13.7" customHeight="1" x14ac:dyDescent="0.25">
      <c r="B131" s="6" t="s">
        <v>408</v>
      </c>
      <c r="C131" s="68" t="s">
        <v>287</v>
      </c>
      <c r="D131" s="69">
        <v>1923385</v>
      </c>
      <c r="E131" s="21" t="s">
        <v>409</v>
      </c>
      <c r="F131" s="68" t="s">
        <v>410</v>
      </c>
      <c r="G131" s="69">
        <v>950735</v>
      </c>
    </row>
    <row r="132" spans="2:7" ht="13.7" customHeight="1" x14ac:dyDescent="0.25">
      <c r="B132" s="6" t="s">
        <v>411</v>
      </c>
      <c r="C132" s="68" t="s">
        <v>291</v>
      </c>
      <c r="D132" s="69">
        <v>15366609</v>
      </c>
      <c r="E132" s="21" t="s">
        <v>412</v>
      </c>
      <c r="F132" s="68" t="s">
        <v>413</v>
      </c>
      <c r="G132" s="69"/>
    </row>
    <row r="133" spans="2:7" ht="13.7" customHeight="1" x14ac:dyDescent="0.25">
      <c r="B133" s="6" t="s">
        <v>414</v>
      </c>
      <c r="C133" s="68" t="s">
        <v>295</v>
      </c>
      <c r="D133" s="69">
        <v>149507</v>
      </c>
      <c r="E133" s="21" t="s">
        <v>415</v>
      </c>
      <c r="F133" s="68" t="s">
        <v>416</v>
      </c>
      <c r="G133" s="69"/>
    </row>
    <row r="134" spans="2:7" ht="13.7" customHeight="1" x14ac:dyDescent="0.25">
      <c r="B134" s="6" t="s">
        <v>417</v>
      </c>
      <c r="C134" s="68" t="s">
        <v>418</v>
      </c>
      <c r="D134" s="69">
        <v>1005092</v>
      </c>
      <c r="E134" s="21" t="s">
        <v>419</v>
      </c>
      <c r="F134" s="68" t="s">
        <v>420</v>
      </c>
      <c r="G134" s="69"/>
    </row>
    <row r="135" spans="2:7" ht="13.7" customHeight="1" x14ac:dyDescent="0.25">
      <c r="B135" s="6" t="s">
        <v>421</v>
      </c>
      <c r="C135" s="68" t="s">
        <v>422</v>
      </c>
      <c r="D135" s="69">
        <v>1667540</v>
      </c>
      <c r="E135" s="21" t="s">
        <v>423</v>
      </c>
      <c r="F135" s="68" t="s">
        <v>424</v>
      </c>
      <c r="G135" s="69"/>
    </row>
    <row r="136" spans="2:7" ht="13.7" customHeight="1" x14ac:dyDescent="0.25">
      <c r="B136" s="6" t="s">
        <v>425</v>
      </c>
      <c r="C136" s="68" t="s">
        <v>318</v>
      </c>
      <c r="D136" s="69">
        <v>11752747</v>
      </c>
      <c r="E136" s="21" t="s">
        <v>426</v>
      </c>
      <c r="F136" s="68" t="s">
        <v>427</v>
      </c>
      <c r="G136" s="69">
        <v>1429658</v>
      </c>
    </row>
    <row r="137" spans="2:7" ht="13.7" customHeight="1" x14ac:dyDescent="0.25">
      <c r="B137" s="6" t="s">
        <v>428</v>
      </c>
      <c r="C137" s="19" t="s">
        <v>320</v>
      </c>
      <c r="D137" s="71">
        <v>1543386</v>
      </c>
      <c r="E137" s="21" t="s">
        <v>429</v>
      </c>
      <c r="F137" s="68" t="s">
        <v>430</v>
      </c>
      <c r="G137" s="69">
        <v>54321403</v>
      </c>
    </row>
    <row r="138" spans="2:7" ht="13.7" customHeight="1" thickBot="1" x14ac:dyDescent="0.3">
      <c r="B138" s="6"/>
      <c r="C138" s="28" t="s">
        <v>321</v>
      </c>
      <c r="D138" s="37">
        <f>SUM(D127:D137)</f>
        <v>35367297</v>
      </c>
      <c r="E138" s="21" t="s">
        <v>431</v>
      </c>
      <c r="F138" s="19" t="s">
        <v>432</v>
      </c>
      <c r="G138" s="20">
        <v>2712519</v>
      </c>
    </row>
    <row r="139" spans="2:7" ht="13.7" customHeight="1" thickBot="1" x14ac:dyDescent="0.3">
      <c r="B139" s="6" t="s">
        <v>433</v>
      </c>
      <c r="C139" s="66" t="s">
        <v>327</v>
      </c>
      <c r="D139" s="67"/>
      <c r="E139" s="7"/>
      <c r="F139" s="28" t="s">
        <v>434</v>
      </c>
      <c r="G139" s="37">
        <f>SUM(G124:G138)</f>
        <v>62158445</v>
      </c>
    </row>
    <row r="140" spans="2:7" ht="13.7" customHeight="1" thickBot="1" x14ac:dyDescent="0.3">
      <c r="B140" s="6" t="s">
        <v>435</v>
      </c>
      <c r="C140" s="68" t="s">
        <v>329</v>
      </c>
      <c r="D140" s="69">
        <v>1150839</v>
      </c>
      <c r="E140" s="7"/>
      <c r="F140" s="48" t="s">
        <v>436</v>
      </c>
      <c r="G140" s="72">
        <f>G123-G139</f>
        <v>-42152353</v>
      </c>
    </row>
    <row r="141" spans="2:7" ht="13.7" customHeight="1" x14ac:dyDescent="0.25">
      <c r="B141" s="6" t="s">
        <v>437</v>
      </c>
      <c r="C141" s="19" t="s">
        <v>331</v>
      </c>
      <c r="D141" s="71">
        <v>52513</v>
      </c>
      <c r="E141" s="73"/>
    </row>
    <row r="142" spans="2:7" ht="13.7" customHeight="1" thickBot="1" x14ac:dyDescent="0.3">
      <c r="B142" s="6"/>
      <c r="C142" s="28" t="s">
        <v>332</v>
      </c>
      <c r="D142" s="37">
        <f>SUM(D139:D141)</f>
        <v>1203352</v>
      </c>
      <c r="E142" s="73"/>
    </row>
    <row r="143" spans="2:7" ht="13.7" customHeight="1" thickBot="1" x14ac:dyDescent="0.3">
      <c r="B143" s="6"/>
      <c r="C143" s="59" t="s">
        <v>438</v>
      </c>
      <c r="D143" s="74">
        <f>[24]Amortizaciones!D33</f>
        <v>4026690</v>
      </c>
      <c r="E143" s="21"/>
      <c r="F143" s="48" t="s">
        <v>439</v>
      </c>
      <c r="G143" s="17">
        <f>+[24]E.S.P.!D6</f>
        <v>2020</v>
      </c>
    </row>
    <row r="144" spans="2:7" ht="13.7" customHeight="1" x14ac:dyDescent="0.25">
      <c r="B144" s="6" t="s">
        <v>440</v>
      </c>
      <c r="C144" s="66" t="s">
        <v>441</v>
      </c>
      <c r="D144" s="67">
        <v>4050563</v>
      </c>
      <c r="E144" s="21" t="s">
        <v>442</v>
      </c>
      <c r="F144" s="66" t="s">
        <v>443</v>
      </c>
      <c r="G144" s="67">
        <v>79048613</v>
      </c>
    </row>
    <row r="145" spans="2:7" ht="13.7" customHeight="1" x14ac:dyDescent="0.25">
      <c r="B145" s="6" t="s">
        <v>444</v>
      </c>
      <c r="C145" s="68" t="s">
        <v>445</v>
      </c>
      <c r="D145" s="69">
        <v>926606</v>
      </c>
      <c r="E145" s="21" t="s">
        <v>446</v>
      </c>
      <c r="F145" s="68" t="s">
        <v>447</v>
      </c>
      <c r="G145" s="69">
        <v>22355714</v>
      </c>
    </row>
    <row r="146" spans="2:7" ht="13.7" customHeight="1" x14ac:dyDescent="0.25">
      <c r="B146" s="6" t="s">
        <v>448</v>
      </c>
      <c r="C146" s="75" t="s">
        <v>449</v>
      </c>
      <c r="D146" s="69"/>
      <c r="E146" s="21" t="s">
        <v>450</v>
      </c>
      <c r="F146" s="68" t="s">
        <v>451</v>
      </c>
      <c r="G146" s="69">
        <v>39003442</v>
      </c>
    </row>
    <row r="147" spans="2:7" ht="13.7" customHeight="1" x14ac:dyDescent="0.25">
      <c r="B147" s="6" t="s">
        <v>452</v>
      </c>
      <c r="C147" s="19" t="s">
        <v>453</v>
      </c>
      <c r="D147" s="71">
        <v>227108</v>
      </c>
      <c r="E147" s="21" t="s">
        <v>454</v>
      </c>
      <c r="F147" s="68" t="s">
        <v>455</v>
      </c>
      <c r="G147" s="69"/>
    </row>
    <row r="148" spans="2:7" ht="13.7" customHeight="1" thickBot="1" x14ac:dyDescent="0.3">
      <c r="B148" s="6"/>
      <c r="C148" s="28" t="s">
        <v>456</v>
      </c>
      <c r="D148" s="37">
        <f>SUM(D144:D147)</f>
        <v>5204277</v>
      </c>
      <c r="E148" s="21" t="s">
        <v>457</v>
      </c>
      <c r="F148" s="68" t="s">
        <v>458</v>
      </c>
      <c r="G148" s="69"/>
    </row>
    <row r="149" spans="2:7" ht="13.7" customHeight="1" x14ac:dyDescent="0.25">
      <c r="B149" s="6" t="s">
        <v>459</v>
      </c>
      <c r="C149" s="66" t="s">
        <v>460</v>
      </c>
      <c r="D149" s="67">
        <v>6193398</v>
      </c>
      <c r="E149" s="21" t="s">
        <v>461</v>
      </c>
      <c r="F149" s="68" t="s">
        <v>462</v>
      </c>
      <c r="G149" s="69"/>
    </row>
    <row r="150" spans="2:7" ht="13.7" customHeight="1" x14ac:dyDescent="0.25">
      <c r="B150" s="6" t="s">
        <v>463</v>
      </c>
      <c r="C150" s="68" t="s">
        <v>464</v>
      </c>
      <c r="D150" s="69"/>
      <c r="E150" s="21" t="s">
        <v>465</v>
      </c>
      <c r="F150" s="68" t="s">
        <v>466</v>
      </c>
      <c r="G150" s="69"/>
    </row>
    <row r="151" spans="2:7" ht="13.7" customHeight="1" x14ac:dyDescent="0.25">
      <c r="B151" s="6" t="s">
        <v>467</v>
      </c>
      <c r="C151" s="19" t="s">
        <v>468</v>
      </c>
      <c r="D151" s="71">
        <v>282605</v>
      </c>
      <c r="E151" s="21" t="s">
        <v>469</v>
      </c>
      <c r="F151" s="68" t="s">
        <v>470</v>
      </c>
      <c r="G151" s="69"/>
    </row>
    <row r="152" spans="2:7" ht="13.7" customHeight="1" thickBot="1" x14ac:dyDescent="0.3">
      <c r="B152" s="6"/>
      <c r="C152" s="28" t="s">
        <v>471</v>
      </c>
      <c r="D152" s="37">
        <f>SUM(D149:D151)</f>
        <v>6476003</v>
      </c>
      <c r="E152" s="21" t="s">
        <v>472</v>
      </c>
      <c r="F152" s="68" t="s">
        <v>473</v>
      </c>
      <c r="G152" s="69"/>
    </row>
    <row r="153" spans="2:7" ht="13.7" customHeight="1" thickBot="1" x14ac:dyDescent="0.3">
      <c r="B153" s="6"/>
      <c r="C153" s="48" t="s">
        <v>474</v>
      </c>
      <c r="D153" s="76">
        <f>D122+D126+D138+D142+D143+D148+D152</f>
        <v>151270482</v>
      </c>
      <c r="E153" s="21" t="s">
        <v>475</v>
      </c>
      <c r="F153" s="19" t="s">
        <v>476</v>
      </c>
      <c r="G153" s="20">
        <v>6406810</v>
      </c>
    </row>
    <row r="154" spans="2:7" ht="13.7" customHeight="1" thickBot="1" x14ac:dyDescent="0.3">
      <c r="B154" s="6"/>
      <c r="E154" s="21"/>
      <c r="F154" s="28" t="s">
        <v>477</v>
      </c>
      <c r="G154" s="37">
        <f>SUM(G144:G153)</f>
        <v>146814579</v>
      </c>
    </row>
    <row r="155" spans="2:7" ht="13.7" customHeight="1" thickBot="1" x14ac:dyDescent="0.3">
      <c r="B155" s="6"/>
      <c r="C155" s="77" t="s">
        <v>478</v>
      </c>
      <c r="D155" s="65">
        <f>G109-D153</f>
        <v>-5560718.6599998474</v>
      </c>
      <c r="E155" s="21" t="s">
        <v>479</v>
      </c>
      <c r="F155" s="66" t="s">
        <v>480</v>
      </c>
      <c r="G155" s="67"/>
    </row>
    <row r="156" spans="2:7" ht="13.7" customHeight="1" x14ac:dyDescent="0.25">
      <c r="E156" s="21" t="s">
        <v>481</v>
      </c>
      <c r="F156" s="68" t="s">
        <v>482</v>
      </c>
      <c r="G156" s="69">
        <v>2316983</v>
      </c>
    </row>
    <row r="157" spans="2:7" ht="13.7" customHeight="1" x14ac:dyDescent="0.25">
      <c r="E157" s="21" t="s">
        <v>483</v>
      </c>
      <c r="F157" s="68" t="s">
        <v>484</v>
      </c>
      <c r="G157" s="69"/>
    </row>
    <row r="158" spans="2:7" ht="13.7" customHeight="1" x14ac:dyDescent="0.25">
      <c r="E158" s="21" t="s">
        <v>485</v>
      </c>
      <c r="F158" s="68" t="s">
        <v>486</v>
      </c>
      <c r="G158" s="69"/>
    </row>
    <row r="159" spans="2:7" ht="13.7" customHeight="1" x14ac:dyDescent="0.25">
      <c r="E159" s="21" t="s">
        <v>487</v>
      </c>
      <c r="F159" s="68" t="s">
        <v>488</v>
      </c>
      <c r="G159" s="69"/>
    </row>
    <row r="160" spans="2:7" ht="13.7" customHeight="1" x14ac:dyDescent="0.25">
      <c r="E160" s="21" t="s">
        <v>489</v>
      </c>
      <c r="F160" s="68" t="s">
        <v>490</v>
      </c>
      <c r="G160" s="69"/>
    </row>
    <row r="161" spans="5:7" ht="13.7" customHeight="1" x14ac:dyDescent="0.25">
      <c r="E161" s="21" t="s">
        <v>491</v>
      </c>
      <c r="F161" s="68" t="s">
        <v>492</v>
      </c>
      <c r="G161" s="69"/>
    </row>
    <row r="162" spans="5:7" ht="13.7" customHeight="1" x14ac:dyDescent="0.25">
      <c r="E162" s="21" t="s">
        <v>493</v>
      </c>
      <c r="F162" s="68" t="s">
        <v>494</v>
      </c>
      <c r="G162" s="69"/>
    </row>
    <row r="163" spans="5:7" ht="13.7" customHeight="1" x14ac:dyDescent="0.25">
      <c r="E163" s="21" t="s">
        <v>495</v>
      </c>
      <c r="F163" s="68" t="s">
        <v>496</v>
      </c>
      <c r="G163" s="69"/>
    </row>
    <row r="164" spans="5:7" ht="13.7" customHeight="1" x14ac:dyDescent="0.25">
      <c r="E164" s="21" t="s">
        <v>497</v>
      </c>
      <c r="F164" s="68" t="s">
        <v>498</v>
      </c>
      <c r="G164" s="69"/>
    </row>
    <row r="165" spans="5:7" ht="13.7" customHeight="1" x14ac:dyDescent="0.25">
      <c r="E165" s="21" t="s">
        <v>499</v>
      </c>
      <c r="F165" s="68" t="s">
        <v>500</v>
      </c>
      <c r="G165" s="69">
        <v>49599127</v>
      </c>
    </row>
    <row r="166" spans="5:7" ht="13.7" customHeight="1" x14ac:dyDescent="0.25">
      <c r="E166" s="21" t="s">
        <v>501</v>
      </c>
      <c r="F166" s="68" t="s">
        <v>502</v>
      </c>
      <c r="G166" s="69">
        <v>14281</v>
      </c>
    </row>
    <row r="167" spans="5:7" ht="13.7" customHeight="1" x14ac:dyDescent="0.25">
      <c r="E167" s="21" t="s">
        <v>503</v>
      </c>
      <c r="F167" s="19" t="s">
        <v>504</v>
      </c>
      <c r="G167" s="20">
        <v>118758</v>
      </c>
    </row>
    <row r="168" spans="5:7" ht="13.7" customHeight="1" thickBot="1" x14ac:dyDescent="0.3">
      <c r="E168" s="21"/>
      <c r="F168" s="28" t="s">
        <v>505</v>
      </c>
      <c r="G168" s="37">
        <f>SUM(G155:G167)</f>
        <v>52049149</v>
      </c>
    </row>
    <row r="169" spans="5:7" ht="13.7" customHeight="1" thickBot="1" x14ac:dyDescent="0.3">
      <c r="E169" s="21"/>
      <c r="F169" s="48" t="s">
        <v>506</v>
      </c>
      <c r="G169" s="72">
        <f>G154-G168</f>
        <v>94765430</v>
      </c>
    </row>
    <row r="170" spans="5:7" ht="13.7" customHeight="1" thickBot="1" x14ac:dyDescent="0.3">
      <c r="E170" s="21"/>
      <c r="F170" s="78"/>
      <c r="G170" s="78"/>
    </row>
    <row r="171" spans="5:7" ht="13.7" customHeight="1" thickBot="1" x14ac:dyDescent="0.3">
      <c r="E171" s="21"/>
      <c r="F171" s="77" t="s">
        <v>507</v>
      </c>
      <c r="G171" s="79"/>
    </row>
    <row r="172" spans="5:7" ht="13.7" customHeight="1" thickBot="1" x14ac:dyDescent="0.3">
      <c r="E172" s="21"/>
      <c r="F172" s="80"/>
      <c r="G172" s="81">
        <f>+D155+G140+G169</f>
        <v>47052358.340000153</v>
      </c>
    </row>
    <row r="173" spans="5:7" ht="13.7" customHeight="1" thickBot="1" x14ac:dyDescent="0.3">
      <c r="E173" s="21"/>
      <c r="F173" s="5"/>
      <c r="G173" s="5"/>
    </row>
    <row r="174" spans="5:7" ht="13.7" customHeight="1" thickBot="1" x14ac:dyDescent="0.3">
      <c r="E174" s="21"/>
      <c r="F174" s="48" t="s">
        <v>508</v>
      </c>
      <c r="G174" s="17">
        <f>+G143</f>
        <v>2020</v>
      </c>
    </row>
    <row r="175" spans="5:7" ht="13.7" customHeight="1" x14ac:dyDescent="0.25">
      <c r="E175" s="21"/>
      <c r="F175" s="66" t="s">
        <v>509</v>
      </c>
      <c r="G175" s="67"/>
    </row>
    <row r="176" spans="5:7" ht="13.7" customHeight="1" x14ac:dyDescent="0.25">
      <c r="E176" s="21"/>
      <c r="F176" s="68" t="s">
        <v>510</v>
      </c>
      <c r="G176" s="69"/>
    </row>
    <row r="177" spans="1:8" ht="13.7" customHeight="1" thickBot="1" x14ac:dyDescent="0.3">
      <c r="F177" s="68" t="s">
        <v>511</v>
      </c>
      <c r="G177" s="69">
        <v>-45327</v>
      </c>
    </row>
    <row r="178" spans="1:8" ht="13.7" customHeight="1" thickBot="1" x14ac:dyDescent="0.3">
      <c r="F178" s="48" t="s">
        <v>512</v>
      </c>
      <c r="G178" s="72">
        <f>SUM(G175:G177)</f>
        <v>-45327</v>
      </c>
    </row>
    <row r="179" spans="1:8" ht="13.7" customHeight="1" thickBot="1" x14ac:dyDescent="0.3"/>
    <row r="180" spans="1:8" ht="13.7" customHeight="1" thickBot="1" x14ac:dyDescent="0.3">
      <c r="F180" s="77" t="s">
        <v>513</v>
      </c>
      <c r="G180" s="79"/>
    </row>
    <row r="181" spans="1:8" ht="13.7" customHeight="1" thickBot="1" x14ac:dyDescent="0.3">
      <c r="F181" s="83"/>
      <c r="G181" s="81">
        <f>+G172+G178</f>
        <v>47007031.340000153</v>
      </c>
    </row>
    <row r="182" spans="1:8" ht="13.7" customHeight="1" x14ac:dyDescent="0.25"/>
    <row r="183" spans="1:8" ht="13.5" customHeight="1" x14ac:dyDescent="0.25"/>
    <row r="184" spans="1:8" ht="13.7" customHeight="1" x14ac:dyDescent="0.25">
      <c r="E184" s="84"/>
      <c r="F184" s="84"/>
      <c r="G184" s="84"/>
      <c r="H184" s="84"/>
    </row>
    <row r="185" spans="1:8" s="84" customFormat="1" ht="13.7" customHeight="1" x14ac:dyDescent="0.25">
      <c r="A185" s="85"/>
      <c r="E185" s="82"/>
      <c r="F185" s="86"/>
      <c r="G185" s="86"/>
    </row>
    <row r="186" spans="1:8" s="84" customFormat="1" ht="12.75" x14ac:dyDescent="0.25">
      <c r="A186" s="85"/>
      <c r="E186" s="82"/>
      <c r="F186" s="86"/>
      <c r="G186" s="86"/>
    </row>
    <row r="187" spans="1:8" s="84" customFormat="1" ht="12.75" hidden="1" x14ac:dyDescent="0.25">
      <c r="A187" s="85"/>
      <c r="E187" s="82"/>
      <c r="F187" s="86"/>
      <c r="G187" s="86"/>
    </row>
    <row r="188" spans="1:8" s="84" customFormat="1" ht="12.75" hidden="1" x14ac:dyDescent="0.25">
      <c r="A188" s="85"/>
      <c r="E188" s="82"/>
      <c r="F188" s="86"/>
      <c r="G188" s="86"/>
    </row>
    <row r="189" spans="1:8" s="84" customFormat="1" ht="12.75" hidden="1" x14ac:dyDescent="0.25">
      <c r="A189" s="85"/>
      <c r="E189" s="82"/>
      <c r="F189" s="86"/>
      <c r="G189" s="86"/>
    </row>
    <row r="190" spans="1:8" s="84" customFormat="1" ht="12.75" hidden="1" x14ac:dyDescent="0.25">
      <c r="A190" s="85"/>
      <c r="E190" s="82"/>
      <c r="F190" s="86"/>
      <c r="G190" s="86"/>
    </row>
    <row r="191" spans="1:8" s="84" customFormat="1" ht="12.75" hidden="1" x14ac:dyDescent="0.25">
      <c r="A191" s="85"/>
      <c r="E191" s="82"/>
      <c r="F191" s="86"/>
      <c r="G191" s="86"/>
    </row>
    <row r="192" spans="1:8" s="84" customFormat="1" ht="12.75" hidden="1" x14ac:dyDescent="0.25">
      <c r="A192" s="85"/>
      <c r="E192" s="82"/>
      <c r="F192" s="86"/>
      <c r="G192" s="86"/>
    </row>
    <row r="193" spans="5:7" s="84" customFormat="1" ht="12.75" hidden="1" x14ac:dyDescent="0.25">
      <c r="E193" s="82"/>
      <c r="F193" s="86"/>
      <c r="G193" s="86"/>
    </row>
    <row r="194" spans="5:7" s="84" customFormat="1" ht="12.75" hidden="1" x14ac:dyDescent="0.25">
      <c r="E194" s="82"/>
      <c r="F194" s="86"/>
      <c r="G194" s="86"/>
    </row>
    <row r="195" spans="5:7" s="84" customFormat="1" ht="12.75" hidden="1" x14ac:dyDescent="0.25">
      <c r="E195" s="82"/>
      <c r="F195" s="86"/>
      <c r="G195" s="86"/>
    </row>
    <row r="196" spans="5:7" s="84" customFormat="1" ht="12.75" hidden="1" x14ac:dyDescent="0.25">
      <c r="E196" s="82"/>
      <c r="F196" s="86"/>
      <c r="G196" s="86"/>
    </row>
    <row r="197" spans="5:7" s="84" customFormat="1" ht="12.75" hidden="1" x14ac:dyDescent="0.25">
      <c r="E197" s="82"/>
      <c r="F197" s="86"/>
      <c r="G197" s="86"/>
    </row>
    <row r="198" spans="5:7" s="84" customFormat="1" ht="12.75" hidden="1" x14ac:dyDescent="0.25">
      <c r="E198" s="82"/>
      <c r="F198" s="86"/>
      <c r="G198" s="86"/>
    </row>
    <row r="199" spans="5:7" s="84" customFormat="1" ht="12.75" hidden="1" x14ac:dyDescent="0.25">
      <c r="E199" s="82"/>
      <c r="F199" s="86"/>
      <c r="G199" s="86"/>
    </row>
    <row r="200" spans="5:7" s="84" customFormat="1" ht="12.75" hidden="1" x14ac:dyDescent="0.25">
      <c r="E200" s="82"/>
      <c r="F200" s="86"/>
      <c r="G200" s="86"/>
    </row>
    <row r="201" spans="5:7" s="84" customFormat="1" ht="12.75" hidden="1" x14ac:dyDescent="0.25">
      <c r="E201" s="82"/>
      <c r="F201" s="86"/>
      <c r="G201" s="86"/>
    </row>
    <row r="202" spans="5:7" s="84" customFormat="1" ht="12.75" hidden="1" x14ac:dyDescent="0.25">
      <c r="E202" s="82"/>
      <c r="F202" s="86"/>
      <c r="G202" s="86"/>
    </row>
    <row r="203" spans="5:7" s="84" customFormat="1" ht="12.75" hidden="1" x14ac:dyDescent="0.25">
      <c r="E203" s="82"/>
      <c r="F203" s="86"/>
      <c r="G203" s="86"/>
    </row>
    <row r="204" spans="5:7" s="84" customFormat="1" ht="12.75" hidden="1" x14ac:dyDescent="0.25">
      <c r="E204" s="82"/>
      <c r="F204" s="86"/>
      <c r="G204" s="86"/>
    </row>
    <row r="205" spans="5:7" s="84" customFormat="1" ht="12.75" hidden="1" x14ac:dyDescent="0.25">
      <c r="E205" s="82"/>
      <c r="F205" s="86"/>
      <c r="G205" s="86"/>
    </row>
    <row r="206" spans="5:7" s="84" customFormat="1" ht="12.75" hidden="1" x14ac:dyDescent="0.25">
      <c r="E206" s="82"/>
      <c r="F206" s="86"/>
      <c r="G206" s="86"/>
    </row>
    <row r="207" spans="5:7" s="84" customFormat="1" ht="12.75" hidden="1" x14ac:dyDescent="0.25">
      <c r="E207" s="82"/>
      <c r="F207" s="86"/>
      <c r="G207" s="86"/>
    </row>
    <row r="208" spans="5:7" s="84" customFormat="1" ht="12.75" hidden="1" x14ac:dyDescent="0.25">
      <c r="E208" s="82"/>
      <c r="F208" s="86"/>
      <c r="G208" s="86"/>
    </row>
    <row r="209" spans="3:8" s="84" customFormat="1" ht="12.75" hidden="1" x14ac:dyDescent="0.25">
      <c r="E209" s="82"/>
      <c r="F209" s="86"/>
      <c r="G209" s="86"/>
    </row>
    <row r="210" spans="3:8" s="84" customFormat="1" ht="12.75" hidden="1" x14ac:dyDescent="0.25">
      <c r="E210" s="82"/>
      <c r="F210" s="86"/>
      <c r="G210" s="86"/>
    </row>
    <row r="211" spans="3:8" s="84" customFormat="1" ht="12.75" hidden="1" x14ac:dyDescent="0.25">
      <c r="E211" s="82"/>
      <c r="F211" s="86"/>
      <c r="G211" s="86"/>
    </row>
    <row r="212" spans="3:8" s="84" customFormat="1" ht="12.75" hidden="1" x14ac:dyDescent="0.25">
      <c r="E212" s="82"/>
      <c r="F212" s="86"/>
      <c r="G212" s="86"/>
    </row>
    <row r="213" spans="3:8" s="84" customFormat="1" ht="12.75" hidden="1" x14ac:dyDescent="0.25">
      <c r="E213" s="82"/>
      <c r="F213" s="86"/>
      <c r="G213" s="86"/>
    </row>
    <row r="214" spans="3:8" s="84" customFormat="1" hidden="1" x14ac:dyDescent="0.25">
      <c r="E214" s="82"/>
      <c r="F214" s="87"/>
      <c r="G214" s="58"/>
      <c r="H214" s="5"/>
    </row>
    <row r="215" spans="3:8" hidden="1" x14ac:dyDescent="0.25">
      <c r="C215" s="86"/>
      <c r="D215" s="86"/>
      <c r="F215" s="87"/>
    </row>
    <row r="216" spans="3:8" hidden="1" x14ac:dyDescent="0.25"/>
    <row r="217" spans="3:8" hidden="1" x14ac:dyDescent="0.25"/>
    <row r="218" spans="3:8" hidden="1" x14ac:dyDescent="0.25"/>
    <row r="219" spans="3:8" hidden="1" x14ac:dyDescent="0.25"/>
    <row r="220" spans="3:8" hidden="1" x14ac:dyDescent="0.25"/>
    <row r="221" spans="3:8" hidden="1" x14ac:dyDescent="0.25"/>
    <row r="222" spans="3:8" hidden="1" x14ac:dyDescent="0.25"/>
    <row r="223" spans="3:8" hidden="1" x14ac:dyDescent="0.25"/>
    <row r="224" spans="3:8"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sheetData>
  <mergeCells count="6">
    <mergeCell ref="C1:D1"/>
    <mergeCell ref="E1:F1"/>
    <mergeCell ref="C2:D2"/>
    <mergeCell ref="E2:F2"/>
    <mergeCell ref="C3:D3"/>
    <mergeCell ref="E3:F3"/>
  </mergeCells>
  <conditionalFormatting sqref="D7:D12">
    <cfRule type="cellIs" dxfId="127" priority="26" stopIfTrue="1" operator="greaterThan">
      <formula>50</formula>
    </cfRule>
    <cfRule type="cellIs" dxfId="126" priority="34" stopIfTrue="1" operator="equal">
      <formula>0</formula>
    </cfRule>
  </conditionalFormatting>
  <conditionalFormatting sqref="D7:D61">
    <cfRule type="cellIs" dxfId="125" priority="32" stopIfTrue="1" operator="between">
      <formula>-0.1</formula>
      <formula>-50</formula>
    </cfRule>
    <cfRule type="cellIs" dxfId="124" priority="33" stopIfTrue="1" operator="between">
      <formula>0.1</formula>
      <formula>50</formula>
    </cfRule>
  </conditionalFormatting>
  <conditionalFormatting sqref="G7:G150 G152:G181">
    <cfRule type="cellIs" dxfId="123" priority="30" stopIfTrue="1" operator="between">
      <formula>-0.1</formula>
      <formula>-50</formula>
    </cfRule>
    <cfRule type="cellIs" dxfId="122" priority="31" stopIfTrue="1" operator="between">
      <formula>0.1</formula>
      <formula>50</formula>
    </cfRule>
  </conditionalFormatting>
  <conditionalFormatting sqref="D111:D155">
    <cfRule type="cellIs" dxfId="121" priority="28" stopIfTrue="1" operator="between">
      <formula>-0.1</formula>
      <formula>-50</formula>
    </cfRule>
    <cfRule type="cellIs" dxfId="120" priority="29" stopIfTrue="1" operator="between">
      <formula>0.1</formula>
      <formula>50</formula>
    </cfRule>
  </conditionalFormatting>
  <conditionalFormatting sqref="G165">
    <cfRule type="expression" dxfId="119" priority="27" stopIfTrue="1">
      <formula>AND($G$165&gt;0,$G$151&gt;0)</formula>
    </cfRule>
  </conditionalFormatting>
  <conditionalFormatting sqref="G151">
    <cfRule type="expression" dxfId="118" priority="25" stopIfTrue="1">
      <formula>AND($G$151&gt;0,$G$165&gt;0)</formula>
    </cfRule>
  </conditionalFormatting>
  <dataValidations count="12">
    <dataValidation operator="greaterThan" showInputMessage="1" showErrorMessage="1" errorTitle="eee" sqref="G175:G177"/>
    <dataValidation type="custom" operator="greaterThan" showInputMessage="1" showErrorMessage="1" errorTitle="RDM" error="No se admite ingresar RDM como ingresos y egresos a la vez. Tampoco se admiten valores menores a $50._x000a_" sqref="G151">
      <formula1>AND(OR(G151=0, G151&gt;50),G165=0)</formula1>
    </dataValidation>
    <dataValidation type="whole" operator="greaterThan" allowBlank="1" showInputMessage="1" showErrorMessage="1" sqref="D8:D12">
      <formula1>50</formula1>
    </dataValidation>
    <dataValidation type="whole" operator="greaterThan" showInputMessage="1" showErrorMessage="1" errorTitle="eee" error="Valores mayores a $50" sqref="D7">
      <formula1>50</formula1>
    </dataValidation>
    <dataValidation type="custom" operator="greaterThan" showInputMessage="1" showErrorMessage="1" errorTitle="eee" sqref="D56">
      <formula1>OR(D56=0, D56&lt;50)</formula1>
    </dataValidation>
    <dataValidation type="custom" operator="greaterThan" showInputMessage="1" showErrorMessage="1" errorTitle="eee" sqref="D57:D61">
      <formula1>OR(D57=0, D57&lt;0)</formula1>
    </dataValidation>
    <dataValidation type="custom" operator="greaterThan" showInputMessage="1" showErrorMessage="1" errorTitle="eee" sqref="G7:G140 D62:D155 G152:G164 D13:D55 G144:G150 G166:G174 G178:G181">
      <formula1>OR(D7=0, D7&gt;50)</formula1>
    </dataValidation>
    <dataValidation type="whole" allowBlank="1" showErrorMessage="1" errorTitle="Error de datos" error="Debe ingresar un valor entre 1 y 12" sqref="G1:G3">
      <formula1>1</formula1>
      <formula2>12</formula2>
    </dataValidation>
    <dataValidation allowBlank="1" errorTitle="Error de datos" error="Debe introducir una fecha válida" sqref="E3"/>
    <dataValidation allowBlank="1" sqref="G204"/>
    <dataValidation operator="greaterThanOrEqual" allowBlank="1" errorTitle="Error de datos" error="Debe ingresar un valor entero positivo" sqref="F6:F107 F203 C13:C47 C106:C153 F171 F174:F178 F180 F111:F119 C7:C10 F121:F140 F143:F169 C49:C62 C155 F109"/>
    <dataValidation type="custom" operator="greaterThan" showInputMessage="1" showErrorMessage="1" errorTitle="rdm2" error="No se admite ingresar a la vez RDM como ingresos y como egresos. Tampoco se admiten valores negattivos o positivos menores de 50" sqref="G165">
      <formula1>AND(OR(G165=0, G165&gt;50),G151=0)</formula1>
    </dataValidation>
  </dataValidations>
  <pageMargins left="0.7" right="0.7" top="0.75" bottom="0.75" header="0.3" footer="0.3"/>
  <ignoredErrors>
    <ignoredError sqref="E7:E181" numberStoredAsText="1"/>
  </ignoredErrors>
  <legacyDrawing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26"/>
  <sheetViews>
    <sheetView showGridLines="0" workbookViewId="0">
      <selection activeCell="F4" sqref="F4"/>
    </sheetView>
  </sheetViews>
  <sheetFormatPr baseColWidth="10" defaultColWidth="0" defaultRowHeight="15" zeroHeight="1" x14ac:dyDescent="0.25"/>
  <cols>
    <col min="1" max="1" width="3.7109375" style="1" customWidth="1"/>
    <col min="2" max="2" width="14.28515625" style="7" hidden="1" customWidth="1"/>
    <col min="3" max="3" width="58.7109375" style="58" customWidth="1"/>
    <col min="4" max="4" width="25.140625" style="58" customWidth="1"/>
    <col min="5" max="5" width="5.85546875" style="82" customWidth="1"/>
    <col min="6" max="6" width="57.28515625" style="58" customWidth="1"/>
    <col min="7" max="7" width="24.7109375" style="58" customWidth="1"/>
    <col min="8" max="8" width="5.42578125" style="5" customWidth="1"/>
    <col min="9" max="16384" width="0" style="5" hidden="1"/>
  </cols>
  <sheetData>
    <row r="1" spans="1:9" ht="15.75" x14ac:dyDescent="0.25">
      <c r="B1" s="2"/>
      <c r="C1" s="313" t="s">
        <v>0</v>
      </c>
      <c r="D1" s="314"/>
      <c r="E1" s="315" t="str">
        <f>[25]Presentacion!C2</f>
        <v>AMEDRIN</v>
      </c>
      <c r="F1" s="315"/>
      <c r="G1" s="3"/>
      <c r="H1" s="4"/>
    </row>
    <row r="2" spans="1:9" ht="15.75" x14ac:dyDescent="0.25">
      <c r="B2" s="6"/>
      <c r="C2" s="313" t="s">
        <v>1</v>
      </c>
      <c r="D2" s="314"/>
      <c r="E2" s="315" t="str">
        <f>[25]Presentacion!C3</f>
        <v>Rio Negro</v>
      </c>
      <c r="F2" s="315"/>
      <c r="G2" s="3"/>
      <c r="H2" s="4"/>
    </row>
    <row r="3" spans="1:9" ht="15.75" x14ac:dyDescent="0.25">
      <c r="B3" s="6"/>
      <c r="C3" s="313" t="s">
        <v>2</v>
      </c>
      <c r="D3" s="316"/>
      <c r="E3" s="317" t="s">
        <v>3</v>
      </c>
      <c r="F3" s="317"/>
      <c r="G3" s="3"/>
      <c r="H3" s="4"/>
    </row>
    <row r="4" spans="1:9" ht="15.75" thickBot="1" x14ac:dyDescent="0.3">
      <c r="C4" s="287"/>
      <c r="D4" s="8"/>
      <c r="E4" s="9"/>
      <c r="F4" s="10"/>
      <c r="G4" s="11"/>
    </row>
    <row r="5" spans="1:9" ht="16.5" thickBot="1" x14ac:dyDescent="0.3">
      <c r="B5" s="12"/>
      <c r="C5" s="13" t="s">
        <v>4</v>
      </c>
      <c r="D5" s="284" t="s">
        <v>5</v>
      </c>
      <c r="E5" s="14"/>
      <c r="F5" s="13" t="s">
        <v>6</v>
      </c>
      <c r="G5" s="284" t="s">
        <v>5</v>
      </c>
      <c r="I5" s="15"/>
    </row>
    <row r="6" spans="1:9" ht="16.5" thickBot="1" x14ac:dyDescent="0.3">
      <c r="B6" s="12"/>
      <c r="C6" s="16" t="s">
        <v>7</v>
      </c>
      <c r="D6" s="290">
        <f>+[25]E.S.P.!D6</f>
        <v>2020</v>
      </c>
      <c r="E6" s="18"/>
      <c r="F6" s="16" t="s">
        <v>8</v>
      </c>
      <c r="G6" s="290">
        <f>+D6</f>
        <v>2020</v>
      </c>
      <c r="H6" s="15"/>
    </row>
    <row r="7" spans="1:9" x14ac:dyDescent="0.25">
      <c r="B7" s="6" t="s">
        <v>9</v>
      </c>
      <c r="C7" s="19" t="s">
        <v>10</v>
      </c>
      <c r="D7" s="20">
        <v>8828340</v>
      </c>
      <c r="E7" s="21" t="s">
        <v>11</v>
      </c>
      <c r="F7" s="22" t="s">
        <v>12</v>
      </c>
      <c r="G7" s="23">
        <v>2444335</v>
      </c>
    </row>
    <row r="8" spans="1:9" x14ac:dyDescent="0.25">
      <c r="B8" s="6" t="s">
        <v>13</v>
      </c>
      <c r="C8" s="19" t="s">
        <v>14</v>
      </c>
      <c r="D8" s="20">
        <v>20974482</v>
      </c>
      <c r="E8" s="21" t="s">
        <v>15</v>
      </c>
      <c r="F8" s="19" t="s">
        <v>16</v>
      </c>
      <c r="G8" s="24">
        <v>39407898</v>
      </c>
    </row>
    <row r="9" spans="1:9" x14ac:dyDescent="0.25">
      <c r="B9" s="6" t="s">
        <v>17</v>
      </c>
      <c r="C9" s="19" t="s">
        <v>18</v>
      </c>
      <c r="D9" s="20">
        <v>255745812</v>
      </c>
      <c r="E9" s="21" t="s">
        <v>19</v>
      </c>
      <c r="F9" s="19" t="s">
        <v>20</v>
      </c>
      <c r="G9" s="20"/>
    </row>
    <row r="10" spans="1:9" x14ac:dyDescent="0.25">
      <c r="B10" s="6" t="s">
        <v>21</v>
      </c>
      <c r="C10" s="19" t="s">
        <v>22</v>
      </c>
      <c r="D10" s="20">
        <v>28371905</v>
      </c>
      <c r="E10" s="21" t="s">
        <v>23</v>
      </c>
      <c r="F10" s="19" t="s">
        <v>24</v>
      </c>
      <c r="G10" s="20">
        <v>65155537</v>
      </c>
    </row>
    <row r="11" spans="1:9" x14ac:dyDescent="0.25">
      <c r="B11" s="6" t="s">
        <v>25</v>
      </c>
      <c r="C11" s="19" t="s">
        <v>26</v>
      </c>
      <c r="D11" s="20">
        <v>4765553</v>
      </c>
      <c r="E11" s="21" t="s">
        <v>27</v>
      </c>
      <c r="F11" s="19" t="s">
        <v>28</v>
      </c>
      <c r="G11" s="20"/>
    </row>
    <row r="12" spans="1:9" x14ac:dyDescent="0.25">
      <c r="B12" s="6" t="s">
        <v>29</v>
      </c>
      <c r="C12" s="19" t="s">
        <v>30</v>
      </c>
      <c r="D12" s="20">
        <v>9133961</v>
      </c>
      <c r="E12" s="21" t="s">
        <v>31</v>
      </c>
      <c r="F12" s="19" t="s">
        <v>32</v>
      </c>
      <c r="G12" s="20">
        <v>41874968</v>
      </c>
    </row>
    <row r="13" spans="1:9" x14ac:dyDescent="0.25">
      <c r="B13" s="6" t="s">
        <v>33</v>
      </c>
      <c r="C13" s="19" t="s">
        <v>34</v>
      </c>
      <c r="D13" s="20">
        <v>228148</v>
      </c>
      <c r="E13" s="21" t="s">
        <v>35</v>
      </c>
      <c r="F13" s="19" t="s">
        <v>36</v>
      </c>
      <c r="G13" s="20"/>
    </row>
    <row r="14" spans="1:9" x14ac:dyDescent="0.25">
      <c r="A14" s="25"/>
      <c r="B14" s="6" t="s">
        <v>37</v>
      </c>
      <c r="C14" s="19" t="s">
        <v>38</v>
      </c>
      <c r="D14" s="20">
        <v>6353547</v>
      </c>
      <c r="E14" s="21" t="s">
        <v>39</v>
      </c>
      <c r="F14" s="19" t="s">
        <v>40</v>
      </c>
      <c r="G14" s="20">
        <v>38059525</v>
      </c>
    </row>
    <row r="15" spans="1:9" x14ac:dyDescent="0.25">
      <c r="B15" s="6" t="s">
        <v>41</v>
      </c>
      <c r="C15" s="26" t="s">
        <v>42</v>
      </c>
      <c r="D15" s="20">
        <v>935411</v>
      </c>
      <c r="E15" s="21" t="s">
        <v>43</v>
      </c>
      <c r="F15" s="19" t="s">
        <v>44</v>
      </c>
      <c r="G15" s="20">
        <v>5069843</v>
      </c>
    </row>
    <row r="16" spans="1:9" x14ac:dyDescent="0.25">
      <c r="B16" s="6" t="s">
        <v>45</v>
      </c>
      <c r="C16" s="19" t="s">
        <v>46</v>
      </c>
      <c r="D16" s="20">
        <v>0</v>
      </c>
      <c r="E16" s="21" t="s">
        <v>47</v>
      </c>
      <c r="F16" s="19" t="s">
        <v>48</v>
      </c>
      <c r="G16" s="20">
        <v>22104058</v>
      </c>
    </row>
    <row r="17" spans="1:7" x14ac:dyDescent="0.25">
      <c r="B17" s="6" t="s">
        <v>49</v>
      </c>
      <c r="C17" s="19" t="s">
        <v>50</v>
      </c>
      <c r="D17" s="20">
        <v>0</v>
      </c>
      <c r="E17" s="21" t="s">
        <v>51</v>
      </c>
      <c r="F17" s="19" t="s">
        <v>52</v>
      </c>
      <c r="G17" s="20"/>
    </row>
    <row r="18" spans="1:7" x14ac:dyDescent="0.25">
      <c r="A18" s="25"/>
      <c r="B18" s="6" t="s">
        <v>53</v>
      </c>
      <c r="C18" s="19" t="s">
        <v>54</v>
      </c>
      <c r="D18" s="20">
        <f>3224627+1776874+8467459</f>
        <v>13468960</v>
      </c>
      <c r="E18" s="21" t="s">
        <v>55</v>
      </c>
      <c r="F18" s="19" t="s">
        <v>56</v>
      </c>
      <c r="G18" s="27">
        <v>9354075</v>
      </c>
    </row>
    <row r="19" spans="1:7" ht="15.75" thickBot="1" x14ac:dyDescent="0.3">
      <c r="A19" s="25"/>
      <c r="B19" s="6" t="s">
        <v>57</v>
      </c>
      <c r="C19" s="19" t="s">
        <v>58</v>
      </c>
      <c r="D19" s="20">
        <f>13053414+435710</f>
        <v>13489124</v>
      </c>
      <c r="E19" s="21"/>
      <c r="F19" s="28" t="s">
        <v>59</v>
      </c>
      <c r="G19" s="29">
        <f>SUM(G7:G18)</f>
        <v>223470239</v>
      </c>
    </row>
    <row r="20" spans="1:7" ht="15.75" thickBot="1" x14ac:dyDescent="0.3">
      <c r="B20" s="6"/>
      <c r="C20" s="28" t="s">
        <v>60</v>
      </c>
      <c r="D20" s="29">
        <f>SUM(D7:D19)</f>
        <v>362295243</v>
      </c>
      <c r="E20" s="21" t="s">
        <v>61</v>
      </c>
      <c r="F20" s="22" t="s">
        <v>62</v>
      </c>
      <c r="G20" s="23"/>
    </row>
    <row r="21" spans="1:7" x14ac:dyDescent="0.25">
      <c r="B21" s="6"/>
      <c r="C21" s="30" t="s">
        <v>63</v>
      </c>
      <c r="D21" s="31">
        <f>SUM(D22:D28)</f>
        <v>2338052</v>
      </c>
      <c r="E21" s="21" t="s">
        <v>64</v>
      </c>
      <c r="F21" s="19" t="s">
        <v>65</v>
      </c>
      <c r="G21" s="20">
        <v>1521666</v>
      </c>
    </row>
    <row r="22" spans="1:7" x14ac:dyDescent="0.25">
      <c r="B22" s="6" t="s">
        <v>66</v>
      </c>
      <c r="C22" s="19" t="s">
        <v>67</v>
      </c>
      <c r="D22" s="20">
        <v>1946252</v>
      </c>
      <c r="E22" s="21" t="s">
        <v>68</v>
      </c>
      <c r="F22" s="19" t="s">
        <v>69</v>
      </c>
      <c r="G22" s="20">
        <v>10265598</v>
      </c>
    </row>
    <row r="23" spans="1:7" x14ac:dyDescent="0.25">
      <c r="B23" s="6" t="s">
        <v>70</v>
      </c>
      <c r="C23" s="19" t="s">
        <v>71</v>
      </c>
      <c r="D23" s="20">
        <v>55599</v>
      </c>
      <c r="E23" s="21" t="s">
        <v>72</v>
      </c>
      <c r="F23" s="19" t="s">
        <v>73</v>
      </c>
      <c r="G23" s="20"/>
    </row>
    <row r="24" spans="1:7" x14ac:dyDescent="0.25">
      <c r="B24" s="6" t="s">
        <v>74</v>
      </c>
      <c r="C24" s="19" t="s">
        <v>75</v>
      </c>
      <c r="D24" s="20">
        <v>6025</v>
      </c>
      <c r="E24" s="21" t="s">
        <v>76</v>
      </c>
      <c r="F24" s="19" t="s">
        <v>77</v>
      </c>
      <c r="G24" s="20">
        <v>1231473</v>
      </c>
    </row>
    <row r="25" spans="1:7" x14ac:dyDescent="0.25">
      <c r="B25" s="6" t="s">
        <v>78</v>
      </c>
      <c r="C25" s="19" t="s">
        <v>79</v>
      </c>
      <c r="D25" s="20">
        <v>2812</v>
      </c>
      <c r="E25" s="21" t="s">
        <v>80</v>
      </c>
      <c r="F25" s="19" t="s">
        <v>81</v>
      </c>
      <c r="G25" s="20">
        <v>2028232</v>
      </c>
    </row>
    <row r="26" spans="1:7" x14ac:dyDescent="0.25">
      <c r="B26" s="6" t="s">
        <v>82</v>
      </c>
      <c r="C26" s="19" t="s">
        <v>83</v>
      </c>
      <c r="D26" s="20">
        <v>54623</v>
      </c>
      <c r="E26" s="21" t="s">
        <v>84</v>
      </c>
      <c r="F26" s="19" t="s">
        <v>85</v>
      </c>
      <c r="G26" s="27">
        <v>631185</v>
      </c>
    </row>
    <row r="27" spans="1:7" ht="15.75" thickBot="1" x14ac:dyDescent="0.3">
      <c r="B27" s="6" t="s">
        <v>86</v>
      </c>
      <c r="C27" s="19" t="s">
        <v>87</v>
      </c>
      <c r="D27" s="20">
        <f>157777+6023</f>
        <v>163800</v>
      </c>
      <c r="E27" s="21"/>
      <c r="F27" s="28" t="s">
        <v>88</v>
      </c>
      <c r="G27" s="29">
        <f>SUM(G20:G26)</f>
        <v>15678154</v>
      </c>
    </row>
    <row r="28" spans="1:7" x14ac:dyDescent="0.25">
      <c r="B28" s="6" t="s">
        <v>89</v>
      </c>
      <c r="C28" s="19" t="s">
        <v>90</v>
      </c>
      <c r="D28" s="20">
        <v>108941</v>
      </c>
      <c r="E28" s="21" t="s">
        <v>91</v>
      </c>
      <c r="F28" s="22" t="s">
        <v>92</v>
      </c>
      <c r="G28" s="23">
        <f>22986786+2914460</f>
        <v>25901246</v>
      </c>
    </row>
    <row r="29" spans="1:7" x14ac:dyDescent="0.25">
      <c r="B29" s="6"/>
      <c r="C29" s="32" t="s">
        <v>93</v>
      </c>
      <c r="D29" s="31">
        <f>SUM(D30:D34)</f>
        <v>19154580</v>
      </c>
      <c r="E29" s="21" t="s">
        <v>94</v>
      </c>
      <c r="F29" s="19" t="s">
        <v>95</v>
      </c>
      <c r="G29" s="20">
        <v>315183</v>
      </c>
    </row>
    <row r="30" spans="1:7" x14ac:dyDescent="0.25">
      <c r="B30" s="6" t="s">
        <v>96</v>
      </c>
      <c r="C30" s="19" t="s">
        <v>97</v>
      </c>
      <c r="D30" s="20">
        <v>16456054</v>
      </c>
      <c r="E30" s="21" t="s">
        <v>98</v>
      </c>
      <c r="F30" s="19" t="s">
        <v>99</v>
      </c>
      <c r="G30" s="20">
        <f>1985953+2276345</f>
        <v>4262298</v>
      </c>
    </row>
    <row r="31" spans="1:7" x14ac:dyDescent="0.25">
      <c r="B31" s="6" t="s">
        <v>100</v>
      </c>
      <c r="C31" s="19" t="s">
        <v>101</v>
      </c>
      <c r="D31" s="20">
        <v>862106</v>
      </c>
      <c r="E31" s="21" t="s">
        <v>102</v>
      </c>
      <c r="F31" s="19" t="s">
        <v>103</v>
      </c>
      <c r="G31" s="27">
        <v>1380179</v>
      </c>
    </row>
    <row r="32" spans="1:7" ht="15.75" thickBot="1" x14ac:dyDescent="0.3">
      <c r="B32" s="6" t="s">
        <v>104</v>
      </c>
      <c r="C32" s="19" t="s">
        <v>105</v>
      </c>
      <c r="D32" s="20">
        <v>55451</v>
      </c>
      <c r="E32" s="21"/>
      <c r="F32" s="28" t="s">
        <v>106</v>
      </c>
      <c r="G32" s="29">
        <f>SUM(G28:G31)</f>
        <v>31858906</v>
      </c>
    </row>
    <row r="33" spans="2:7" x14ac:dyDescent="0.25">
      <c r="B33" s="6" t="s">
        <v>107</v>
      </c>
      <c r="C33" s="19" t="s">
        <v>108</v>
      </c>
      <c r="D33" s="20">
        <f>770240+231</f>
        <v>770471</v>
      </c>
      <c r="E33" s="21"/>
      <c r="F33" s="32" t="s">
        <v>109</v>
      </c>
      <c r="G33" s="31">
        <f>SUM(G34:G39)</f>
        <v>19154372</v>
      </c>
    </row>
    <row r="34" spans="2:7" x14ac:dyDescent="0.25">
      <c r="B34" s="6" t="s">
        <v>110</v>
      </c>
      <c r="C34" s="19" t="s">
        <v>111</v>
      </c>
      <c r="D34" s="20">
        <v>1010498</v>
      </c>
      <c r="E34" s="21" t="s">
        <v>112</v>
      </c>
      <c r="F34" s="19" t="s">
        <v>113</v>
      </c>
      <c r="G34" s="20">
        <v>2873156</v>
      </c>
    </row>
    <row r="35" spans="2:7" ht="15.75" thickBot="1" x14ac:dyDescent="0.3">
      <c r="B35" s="6"/>
      <c r="C35" s="28" t="s">
        <v>114</v>
      </c>
      <c r="D35" s="29">
        <f>+D21+D29</f>
        <v>21492632</v>
      </c>
      <c r="E35" s="21" t="s">
        <v>115</v>
      </c>
      <c r="F35" s="19" t="s">
        <v>116</v>
      </c>
      <c r="G35" s="20">
        <v>383087</v>
      </c>
    </row>
    <row r="36" spans="2:7" x14ac:dyDescent="0.25">
      <c r="B36" s="6" t="s">
        <v>117</v>
      </c>
      <c r="C36" s="19" t="s">
        <v>118</v>
      </c>
      <c r="D36" s="20">
        <v>902601</v>
      </c>
      <c r="E36" s="21" t="s">
        <v>119</v>
      </c>
      <c r="F36" s="19" t="s">
        <v>120</v>
      </c>
      <c r="G36" s="20">
        <v>3830874</v>
      </c>
    </row>
    <row r="37" spans="2:7" x14ac:dyDescent="0.25">
      <c r="B37" s="6" t="s">
        <v>121</v>
      </c>
      <c r="C37" s="19" t="s">
        <v>122</v>
      </c>
      <c r="D37" s="20">
        <v>35305202</v>
      </c>
      <c r="E37" s="21" t="s">
        <v>123</v>
      </c>
      <c r="F37" s="19" t="s">
        <v>124</v>
      </c>
      <c r="G37" s="20">
        <v>3830874</v>
      </c>
    </row>
    <row r="38" spans="2:7" x14ac:dyDescent="0.25">
      <c r="B38" s="6" t="s">
        <v>125</v>
      </c>
      <c r="C38" s="19" t="s">
        <v>126</v>
      </c>
      <c r="D38" s="20">
        <v>0</v>
      </c>
      <c r="E38" s="21" t="s">
        <v>127</v>
      </c>
      <c r="F38" s="19" t="s">
        <v>128</v>
      </c>
      <c r="G38" s="20">
        <v>5746312</v>
      </c>
    </row>
    <row r="39" spans="2:7" x14ac:dyDescent="0.25">
      <c r="B39" s="6" t="s">
        <v>129</v>
      </c>
      <c r="C39" s="19" t="s">
        <v>130</v>
      </c>
      <c r="D39" s="20">
        <v>0</v>
      </c>
      <c r="E39" s="21" t="s">
        <v>131</v>
      </c>
      <c r="F39" s="19" t="s">
        <v>132</v>
      </c>
      <c r="G39" s="20">
        <v>2490069</v>
      </c>
    </row>
    <row r="40" spans="2:7" x14ac:dyDescent="0.25">
      <c r="B40" s="6" t="s">
        <v>133</v>
      </c>
      <c r="C40" s="19" t="s">
        <v>134</v>
      </c>
      <c r="D40" s="20">
        <v>777049</v>
      </c>
      <c r="E40" s="21"/>
      <c r="F40" s="33" t="s">
        <v>135</v>
      </c>
      <c r="G40" s="34">
        <f>SUM(G41:G46)</f>
        <v>2892193</v>
      </c>
    </row>
    <row r="41" spans="2:7" x14ac:dyDescent="0.25">
      <c r="B41" s="6" t="s">
        <v>136</v>
      </c>
      <c r="C41" s="19" t="s">
        <v>137</v>
      </c>
      <c r="D41" s="20">
        <v>0</v>
      </c>
      <c r="E41" s="21" t="s">
        <v>138</v>
      </c>
      <c r="F41" s="19" t="s">
        <v>139</v>
      </c>
      <c r="G41" s="20"/>
    </row>
    <row r="42" spans="2:7" x14ac:dyDescent="0.25">
      <c r="B42" s="6" t="s">
        <v>140</v>
      </c>
      <c r="C42" s="19" t="s">
        <v>141</v>
      </c>
      <c r="D42" s="20">
        <f>100059+2250198+4336084</f>
        <v>6686341</v>
      </c>
      <c r="E42" s="21" t="s">
        <v>142</v>
      </c>
      <c r="F42" s="19" t="s">
        <v>143</v>
      </c>
      <c r="G42" s="20"/>
    </row>
    <row r="43" spans="2:7" x14ac:dyDescent="0.25">
      <c r="B43" s="6" t="s">
        <v>144</v>
      </c>
      <c r="C43" s="19" t="s">
        <v>145</v>
      </c>
      <c r="D43" s="20">
        <v>0</v>
      </c>
      <c r="E43" s="21" t="s">
        <v>146</v>
      </c>
      <c r="F43" s="19" t="s">
        <v>147</v>
      </c>
      <c r="G43" s="20"/>
    </row>
    <row r="44" spans="2:7" x14ac:dyDescent="0.25">
      <c r="B44" s="6" t="s">
        <v>148</v>
      </c>
      <c r="C44" s="19" t="s">
        <v>149</v>
      </c>
      <c r="D44" s="20">
        <v>0</v>
      </c>
      <c r="E44" s="21" t="s">
        <v>150</v>
      </c>
      <c r="F44" s="19" t="s">
        <v>151</v>
      </c>
      <c r="G44" s="20"/>
    </row>
    <row r="45" spans="2:7" x14ac:dyDescent="0.25">
      <c r="B45" s="6" t="s">
        <v>152</v>
      </c>
      <c r="C45" s="19" t="s">
        <v>153</v>
      </c>
      <c r="D45" s="20">
        <v>0</v>
      </c>
      <c r="E45" s="21" t="s">
        <v>154</v>
      </c>
      <c r="F45" s="19" t="s">
        <v>155</v>
      </c>
      <c r="G45" s="20"/>
    </row>
    <row r="46" spans="2:7" x14ac:dyDescent="0.25">
      <c r="B46" s="6" t="s">
        <v>156</v>
      </c>
      <c r="C46" s="19" t="s">
        <v>157</v>
      </c>
      <c r="D46" s="20">
        <f>1833322</f>
        <v>1833322</v>
      </c>
      <c r="E46" s="21" t="s">
        <v>158</v>
      </c>
      <c r="F46" s="19" t="s">
        <v>159</v>
      </c>
      <c r="G46" s="20">
        <v>2892193</v>
      </c>
    </row>
    <row r="47" spans="2:7" ht="15.75" thickBot="1" x14ac:dyDescent="0.3">
      <c r="B47" s="6"/>
      <c r="C47" s="28" t="s">
        <v>160</v>
      </c>
      <c r="D47" s="29">
        <f>SUM(D36:D46)</f>
        <v>45504515</v>
      </c>
      <c r="E47" s="21" t="s">
        <v>161</v>
      </c>
      <c r="F47" s="19" t="s">
        <v>162</v>
      </c>
      <c r="G47" s="27">
        <v>939550</v>
      </c>
    </row>
    <row r="48" spans="2:7" ht="15.75" thickBot="1" x14ac:dyDescent="0.3">
      <c r="B48" s="6"/>
      <c r="C48" s="35" t="s">
        <v>163</v>
      </c>
      <c r="D48" s="36"/>
      <c r="E48" s="21"/>
      <c r="F48" s="28" t="s">
        <v>164</v>
      </c>
      <c r="G48" s="37">
        <f>+G33+G40+G47</f>
        <v>22986115</v>
      </c>
    </row>
    <row r="49" spans="2:7" x14ac:dyDescent="0.25">
      <c r="B49" s="6" t="s">
        <v>165</v>
      </c>
      <c r="C49" s="38" t="s">
        <v>166</v>
      </c>
      <c r="D49" s="39"/>
      <c r="E49" s="21" t="s">
        <v>167</v>
      </c>
      <c r="F49" s="22" t="s">
        <v>168</v>
      </c>
      <c r="G49" s="23">
        <v>7269636</v>
      </c>
    </row>
    <row r="50" spans="2:7" x14ac:dyDescent="0.25">
      <c r="B50" s="6" t="s">
        <v>169</v>
      </c>
      <c r="C50" s="19" t="s">
        <v>163</v>
      </c>
      <c r="D50" s="20">
        <f>3346428+138256</f>
        <v>3484684</v>
      </c>
      <c r="E50" s="21" t="s">
        <v>170</v>
      </c>
      <c r="F50" s="19" t="s">
        <v>171</v>
      </c>
      <c r="G50" s="20">
        <f>6088698+2913068</f>
        <v>9001766</v>
      </c>
    </row>
    <row r="51" spans="2:7" x14ac:dyDescent="0.25">
      <c r="B51" s="6" t="s">
        <v>172</v>
      </c>
      <c r="C51" s="19" t="s">
        <v>173</v>
      </c>
      <c r="D51" s="27">
        <v>179372</v>
      </c>
      <c r="E51" s="21" t="s">
        <v>174</v>
      </c>
      <c r="F51" s="19" t="s">
        <v>175</v>
      </c>
      <c r="G51" s="20">
        <v>657605</v>
      </c>
    </row>
    <row r="52" spans="2:7" ht="15.75" thickBot="1" x14ac:dyDescent="0.3">
      <c r="B52" s="12"/>
      <c r="C52" s="28" t="s">
        <v>176</v>
      </c>
      <c r="D52" s="29">
        <f>SUM(D49:D51)</f>
        <v>3664056</v>
      </c>
      <c r="E52" s="21" t="s">
        <v>177</v>
      </c>
      <c r="F52" s="19" t="s">
        <v>178</v>
      </c>
      <c r="G52" s="20"/>
    </row>
    <row r="53" spans="2:7" ht="15.75" thickBot="1" x14ac:dyDescent="0.3">
      <c r="B53" s="6"/>
      <c r="C53" s="40" t="s">
        <v>179</v>
      </c>
      <c r="D53" s="41">
        <f>D20+D35+D47+D52</f>
        <v>432956446</v>
      </c>
      <c r="E53" s="21" t="s">
        <v>180</v>
      </c>
      <c r="F53" s="19" t="s">
        <v>181</v>
      </c>
      <c r="G53" s="20">
        <v>2353716</v>
      </c>
    </row>
    <row r="54" spans="2:7" x14ac:dyDescent="0.25">
      <c r="C54" s="42"/>
      <c r="D54" s="43"/>
      <c r="E54" s="21" t="s">
        <v>182</v>
      </c>
      <c r="F54" s="19" t="s">
        <v>183</v>
      </c>
      <c r="G54" s="20">
        <v>1275647</v>
      </c>
    </row>
    <row r="55" spans="2:7" x14ac:dyDescent="0.25">
      <c r="C55" s="44" t="s">
        <v>184</v>
      </c>
      <c r="D55" s="45"/>
      <c r="E55" s="21" t="s">
        <v>185</v>
      </c>
      <c r="F55" s="19" t="s">
        <v>186</v>
      </c>
      <c r="G55" s="20"/>
    </row>
    <row r="56" spans="2:7" x14ac:dyDescent="0.25">
      <c r="B56" s="6" t="s">
        <v>187</v>
      </c>
      <c r="C56" s="46" t="s">
        <v>188</v>
      </c>
      <c r="D56" s="20"/>
      <c r="E56" s="21" t="s">
        <v>189</v>
      </c>
      <c r="F56" s="19" t="s">
        <v>190</v>
      </c>
      <c r="G56" s="27">
        <v>917242</v>
      </c>
    </row>
    <row r="57" spans="2:7" ht="15.75" thickBot="1" x14ac:dyDescent="0.3">
      <c r="B57" s="6" t="s">
        <v>191</v>
      </c>
      <c r="C57" s="46" t="s">
        <v>192</v>
      </c>
      <c r="D57" s="20"/>
      <c r="E57" s="21"/>
      <c r="F57" s="28" t="s">
        <v>193</v>
      </c>
      <c r="G57" s="29">
        <f>SUM(G49:G56)</f>
        <v>21475612</v>
      </c>
    </row>
    <row r="58" spans="2:7" x14ac:dyDescent="0.25">
      <c r="B58" s="6" t="s">
        <v>194</v>
      </c>
      <c r="C58" s="46" t="s">
        <v>195</v>
      </c>
      <c r="D58" s="20"/>
      <c r="E58" s="21" t="s">
        <v>196</v>
      </c>
      <c r="F58" s="22" t="s">
        <v>197</v>
      </c>
      <c r="G58" s="23">
        <f>10208489+2848742</f>
        <v>13057231</v>
      </c>
    </row>
    <row r="59" spans="2:7" x14ac:dyDescent="0.25">
      <c r="B59" s="6" t="s">
        <v>198</v>
      </c>
      <c r="C59" s="19" t="s">
        <v>199</v>
      </c>
      <c r="D59" s="27"/>
      <c r="E59" s="21" t="s">
        <v>200</v>
      </c>
      <c r="F59" s="19" t="s">
        <v>201</v>
      </c>
      <c r="G59" s="20">
        <v>2782895</v>
      </c>
    </row>
    <row r="60" spans="2:7" ht="15.75" thickBot="1" x14ac:dyDescent="0.3">
      <c r="B60" s="6"/>
      <c r="C60" s="28" t="s">
        <v>202</v>
      </c>
      <c r="D60" s="29">
        <f>SUM(D56:D59)</f>
        <v>0</v>
      </c>
      <c r="E60" s="21" t="s">
        <v>203</v>
      </c>
      <c r="F60" s="19" t="s">
        <v>204</v>
      </c>
      <c r="G60" s="20">
        <v>484637</v>
      </c>
    </row>
    <row r="61" spans="2:7" ht="16.5" thickBot="1" x14ac:dyDescent="0.3">
      <c r="B61" s="47"/>
      <c r="C61" s="48" t="s">
        <v>205</v>
      </c>
      <c r="D61" s="49">
        <f>D53+D60</f>
        <v>432956446</v>
      </c>
      <c r="E61" s="21" t="s">
        <v>206</v>
      </c>
      <c r="F61" s="19" t="s">
        <v>207</v>
      </c>
      <c r="G61" s="20">
        <v>418458</v>
      </c>
    </row>
    <row r="62" spans="2:7" x14ac:dyDescent="0.25">
      <c r="B62" s="50"/>
      <c r="C62" s="51"/>
      <c r="D62" s="51"/>
      <c r="E62" s="21" t="s">
        <v>208</v>
      </c>
      <c r="F62" s="19" t="s">
        <v>209</v>
      </c>
      <c r="G62" s="20"/>
    </row>
    <row r="63" spans="2:7" x14ac:dyDescent="0.25">
      <c r="B63" s="52"/>
      <c r="C63" s="53" t="s">
        <v>8</v>
      </c>
      <c r="D63" s="53"/>
      <c r="E63" s="21" t="s">
        <v>210</v>
      </c>
      <c r="F63" s="19" t="s">
        <v>211</v>
      </c>
      <c r="G63" s="20">
        <v>2689237</v>
      </c>
    </row>
    <row r="64" spans="2:7" x14ac:dyDescent="0.25">
      <c r="B64" s="54" t="s">
        <v>212</v>
      </c>
      <c r="C64" s="55" t="s">
        <v>213</v>
      </c>
      <c r="D64" s="55">
        <f>[25]Amortizaciones!D6</f>
        <v>4647539</v>
      </c>
      <c r="E64" s="21" t="s">
        <v>214</v>
      </c>
      <c r="F64" s="19" t="s">
        <v>215</v>
      </c>
      <c r="G64" s="20">
        <v>1336351</v>
      </c>
    </row>
    <row r="65" spans="2:7" x14ac:dyDescent="0.25">
      <c r="B65" s="54" t="s">
        <v>216</v>
      </c>
      <c r="C65" s="55" t="s">
        <v>217</v>
      </c>
      <c r="D65" s="55">
        <f>[25]Amortizaciones!D7</f>
        <v>0</v>
      </c>
      <c r="E65" s="21" t="s">
        <v>218</v>
      </c>
      <c r="F65" s="19" t="s">
        <v>219</v>
      </c>
      <c r="G65" s="20">
        <v>1383198</v>
      </c>
    </row>
    <row r="66" spans="2:7" x14ac:dyDescent="0.25">
      <c r="B66" s="54" t="s">
        <v>220</v>
      </c>
      <c r="C66" s="55" t="s">
        <v>221</v>
      </c>
      <c r="D66" s="55">
        <f>[25]Amortizaciones!D8</f>
        <v>1929902</v>
      </c>
      <c r="E66" s="21" t="s">
        <v>222</v>
      </c>
      <c r="F66" s="19" t="s">
        <v>223</v>
      </c>
      <c r="G66" s="20">
        <v>2744891</v>
      </c>
    </row>
    <row r="67" spans="2:7" x14ac:dyDescent="0.25">
      <c r="B67" s="54" t="s">
        <v>224</v>
      </c>
      <c r="C67" s="55" t="s">
        <v>225</v>
      </c>
      <c r="D67" s="55">
        <f>[25]Amortizaciones!D9</f>
        <v>0</v>
      </c>
      <c r="E67" s="21" t="s">
        <v>226</v>
      </c>
      <c r="F67" s="19" t="s">
        <v>227</v>
      </c>
      <c r="G67" s="20">
        <v>6061711</v>
      </c>
    </row>
    <row r="68" spans="2:7" x14ac:dyDescent="0.25">
      <c r="B68" s="54" t="s">
        <v>228</v>
      </c>
      <c r="C68" s="55" t="s">
        <v>229</v>
      </c>
      <c r="D68" s="55">
        <f>[25]Amortizaciones!D10</f>
        <v>535689</v>
      </c>
      <c r="E68" s="21" t="s">
        <v>230</v>
      </c>
      <c r="F68" s="19" t="s">
        <v>231</v>
      </c>
      <c r="G68" s="20"/>
    </row>
    <row r="69" spans="2:7" x14ac:dyDescent="0.25">
      <c r="B69" s="54" t="s">
        <v>232</v>
      </c>
      <c r="C69" s="55" t="s">
        <v>233</v>
      </c>
      <c r="D69" s="55">
        <f>[25]Amortizaciones!D11</f>
        <v>0</v>
      </c>
      <c r="E69" s="21" t="s">
        <v>234</v>
      </c>
      <c r="F69" s="19" t="s">
        <v>235</v>
      </c>
      <c r="G69" s="20">
        <v>293026</v>
      </c>
    </row>
    <row r="70" spans="2:7" x14ac:dyDescent="0.25">
      <c r="B70" s="54" t="s">
        <v>236</v>
      </c>
      <c r="C70" s="55" t="s">
        <v>237</v>
      </c>
      <c r="D70" s="55">
        <f>[25]Amortizaciones!D12</f>
        <v>1376806</v>
      </c>
      <c r="E70" s="21" t="s">
        <v>238</v>
      </c>
      <c r="F70" s="19" t="s">
        <v>239</v>
      </c>
      <c r="G70" s="20">
        <v>219499</v>
      </c>
    </row>
    <row r="71" spans="2:7" x14ac:dyDescent="0.25">
      <c r="B71" s="54" t="s">
        <v>240</v>
      </c>
      <c r="C71" s="55" t="s">
        <v>241</v>
      </c>
      <c r="D71" s="55">
        <f>[25]Amortizaciones!D13</f>
        <v>411176</v>
      </c>
      <c r="E71" s="21" t="s">
        <v>242</v>
      </c>
      <c r="F71" s="19" t="s">
        <v>243</v>
      </c>
      <c r="G71" s="20"/>
    </row>
    <row r="72" spans="2:7" x14ac:dyDescent="0.25">
      <c r="B72" s="54" t="s">
        <v>244</v>
      </c>
      <c r="C72" s="55" t="s">
        <v>245</v>
      </c>
      <c r="D72" s="55">
        <f>[25]Amortizaciones!D14</f>
        <v>1308857</v>
      </c>
      <c r="E72" s="21" t="s">
        <v>246</v>
      </c>
      <c r="F72" s="19" t="s">
        <v>247</v>
      </c>
      <c r="G72" s="20">
        <v>2807319</v>
      </c>
    </row>
    <row r="73" spans="2:7" x14ac:dyDescent="0.25">
      <c r="B73" s="54" t="s">
        <v>248</v>
      </c>
      <c r="C73" s="55" t="s">
        <v>249</v>
      </c>
      <c r="D73" s="55">
        <f>[25]Amortizaciones!D15</f>
        <v>0</v>
      </c>
      <c r="E73" s="21" t="s">
        <v>250</v>
      </c>
      <c r="F73" s="19" t="s">
        <v>251</v>
      </c>
      <c r="G73" s="20">
        <v>45618</v>
      </c>
    </row>
    <row r="74" spans="2:7" x14ac:dyDescent="0.25">
      <c r="B74" s="54" t="s">
        <v>252</v>
      </c>
      <c r="C74" s="55" t="s">
        <v>253</v>
      </c>
      <c r="D74" s="55">
        <f>[25]Amortizaciones!D16</f>
        <v>43690</v>
      </c>
      <c r="E74" s="21" t="s">
        <v>254</v>
      </c>
      <c r="F74" s="19" t="s">
        <v>255</v>
      </c>
      <c r="G74" s="20"/>
    </row>
    <row r="75" spans="2:7" x14ac:dyDescent="0.25">
      <c r="B75" s="54" t="s">
        <v>256</v>
      </c>
      <c r="C75" s="55" t="s">
        <v>257</v>
      </c>
      <c r="D75" s="55">
        <f>[25]Amortizaciones!D17</f>
        <v>0</v>
      </c>
      <c r="E75" s="21" t="s">
        <v>258</v>
      </c>
      <c r="F75" s="19" t="s">
        <v>259</v>
      </c>
      <c r="G75" s="20">
        <v>1935588</v>
      </c>
    </row>
    <row r="76" spans="2:7" x14ac:dyDescent="0.25">
      <c r="B76" s="54" t="s">
        <v>260</v>
      </c>
      <c r="C76" s="55" t="s">
        <v>261</v>
      </c>
      <c r="D76" s="55">
        <f>[25]Amortizaciones!D18</f>
        <v>0</v>
      </c>
      <c r="E76" s="21" t="s">
        <v>262</v>
      </c>
      <c r="F76" s="19" t="s">
        <v>263</v>
      </c>
      <c r="G76" s="20">
        <v>705238</v>
      </c>
    </row>
    <row r="77" spans="2:7" x14ac:dyDescent="0.25">
      <c r="B77" s="54" t="s">
        <v>264</v>
      </c>
      <c r="C77" s="55" t="s">
        <v>265</v>
      </c>
      <c r="D77" s="55">
        <f>SUM(D64:D76)</f>
        <v>10253659</v>
      </c>
      <c r="E77" s="21" t="s">
        <v>266</v>
      </c>
      <c r="F77" s="19" t="s">
        <v>267</v>
      </c>
      <c r="G77" s="20">
        <f>468008+66891+35283+1202462+2584168</f>
        <v>4356812</v>
      </c>
    </row>
    <row r="78" spans="2:7" x14ac:dyDescent="0.25">
      <c r="B78" s="54"/>
      <c r="C78" s="55"/>
      <c r="D78" s="55"/>
      <c r="E78" s="21" t="s">
        <v>268</v>
      </c>
      <c r="F78" s="19" t="s">
        <v>269</v>
      </c>
      <c r="G78" s="27">
        <v>1560543</v>
      </c>
    </row>
    <row r="79" spans="2:7" ht="15.75" thickBot="1" x14ac:dyDescent="0.3">
      <c r="B79" s="54"/>
      <c r="C79" s="53" t="s">
        <v>270</v>
      </c>
      <c r="D79" s="56"/>
      <c r="E79" s="21"/>
      <c r="F79" s="28" t="s">
        <v>271</v>
      </c>
      <c r="G79" s="29">
        <f>SUM(G58:G78)</f>
        <v>42882252</v>
      </c>
    </row>
    <row r="80" spans="2:7" x14ac:dyDescent="0.25">
      <c r="B80" s="54" t="s">
        <v>272</v>
      </c>
      <c r="C80" s="55" t="s">
        <v>237</v>
      </c>
      <c r="D80" s="55">
        <f>[25]Amortizaciones!D22</f>
        <v>0</v>
      </c>
      <c r="E80" s="21" t="s">
        <v>273</v>
      </c>
      <c r="F80" s="22" t="s">
        <v>274</v>
      </c>
      <c r="G80" s="23"/>
    </row>
    <row r="81" spans="2:7" x14ac:dyDescent="0.25">
      <c r="B81" s="54" t="s">
        <v>275</v>
      </c>
      <c r="C81" s="55" t="s">
        <v>241</v>
      </c>
      <c r="D81" s="55">
        <f>[25]Amortizaciones!D23</f>
        <v>0</v>
      </c>
      <c r="E81" s="21" t="s">
        <v>276</v>
      </c>
      <c r="F81" s="19" t="s">
        <v>277</v>
      </c>
      <c r="G81" s="20">
        <v>5662344</v>
      </c>
    </row>
    <row r="82" spans="2:7" x14ac:dyDescent="0.25">
      <c r="B82" s="54" t="s">
        <v>278</v>
      </c>
      <c r="C82" s="55" t="s">
        <v>245</v>
      </c>
      <c r="D82" s="55">
        <f>[25]Amortizaciones!D24</f>
        <v>0</v>
      </c>
      <c r="E82" s="21" t="s">
        <v>279</v>
      </c>
      <c r="F82" s="19" t="s">
        <v>280</v>
      </c>
      <c r="G82" s="20">
        <v>1061744</v>
      </c>
    </row>
    <row r="83" spans="2:7" x14ac:dyDescent="0.25">
      <c r="B83" s="54" t="s">
        <v>281</v>
      </c>
      <c r="C83" s="55" t="s">
        <v>249</v>
      </c>
      <c r="D83" s="55">
        <f>[25]Amortizaciones!D25</f>
        <v>0</v>
      </c>
      <c r="E83" s="21" t="s">
        <v>282</v>
      </c>
      <c r="F83" s="19" t="s">
        <v>283</v>
      </c>
      <c r="G83" s="20">
        <v>454712</v>
      </c>
    </row>
    <row r="84" spans="2:7" x14ac:dyDescent="0.25">
      <c r="B84" s="54" t="s">
        <v>284</v>
      </c>
      <c r="C84" s="55" t="s">
        <v>285</v>
      </c>
      <c r="D84" s="55">
        <v>0</v>
      </c>
      <c r="E84" s="21" t="s">
        <v>286</v>
      </c>
      <c r="F84" s="19" t="s">
        <v>287</v>
      </c>
      <c r="G84" s="20">
        <v>2327308</v>
      </c>
    </row>
    <row r="85" spans="2:7" x14ac:dyDescent="0.25">
      <c r="B85" s="54" t="s">
        <v>288</v>
      </c>
      <c r="C85" s="55" t="s">
        <v>289</v>
      </c>
      <c r="D85" s="55">
        <f>[25]Amortizaciones!D27</f>
        <v>0</v>
      </c>
      <c r="E85" s="21" t="s">
        <v>290</v>
      </c>
      <c r="F85" s="19" t="s">
        <v>291</v>
      </c>
      <c r="G85" s="20">
        <v>272722</v>
      </c>
    </row>
    <row r="86" spans="2:7" x14ac:dyDescent="0.25">
      <c r="B86" s="54" t="s">
        <v>292</v>
      </c>
      <c r="C86" s="55" t="s">
        <v>293</v>
      </c>
      <c r="D86" s="55">
        <f>[25]Amortizaciones!D28</f>
        <v>0</v>
      </c>
      <c r="E86" s="21" t="s">
        <v>294</v>
      </c>
      <c r="F86" s="19" t="s">
        <v>295</v>
      </c>
      <c r="G86" s="20">
        <v>327353</v>
      </c>
    </row>
    <row r="87" spans="2:7" x14ac:dyDescent="0.25">
      <c r="B87" s="54" t="s">
        <v>296</v>
      </c>
      <c r="C87" s="55" t="s">
        <v>297</v>
      </c>
      <c r="D87" s="55">
        <f>[25]Amortizaciones!D29</f>
        <v>0</v>
      </c>
      <c r="E87" s="21" t="s">
        <v>298</v>
      </c>
      <c r="F87" s="19" t="s">
        <v>299</v>
      </c>
      <c r="G87" s="20">
        <v>59698</v>
      </c>
    </row>
    <row r="88" spans="2:7" x14ac:dyDescent="0.25">
      <c r="B88" s="54" t="s">
        <v>300</v>
      </c>
      <c r="C88" s="55" t="s">
        <v>301</v>
      </c>
      <c r="D88" s="55">
        <f>[25]Amortizaciones!D30</f>
        <v>0</v>
      </c>
      <c r="E88" s="21" t="s">
        <v>302</v>
      </c>
      <c r="F88" s="19" t="s">
        <v>303</v>
      </c>
      <c r="G88" s="20">
        <v>582902</v>
      </c>
    </row>
    <row r="89" spans="2:7" x14ac:dyDescent="0.25">
      <c r="B89" s="54" t="s">
        <v>304</v>
      </c>
      <c r="C89" s="55" t="s">
        <v>213</v>
      </c>
      <c r="D89" s="55">
        <f>[25]Amortizaciones!D31</f>
        <v>0</v>
      </c>
      <c r="E89" s="21" t="s">
        <v>305</v>
      </c>
      <c r="F89" s="19" t="s">
        <v>306</v>
      </c>
      <c r="G89" s="20">
        <v>123116</v>
      </c>
    </row>
    <row r="90" spans="2:7" x14ac:dyDescent="0.25">
      <c r="B90" s="54" t="s">
        <v>307</v>
      </c>
      <c r="C90" s="55" t="s">
        <v>229</v>
      </c>
      <c r="D90" s="55">
        <f>[25]Amortizaciones!D32</f>
        <v>0</v>
      </c>
      <c r="E90" s="21" t="s">
        <v>308</v>
      </c>
      <c r="F90" s="19" t="s">
        <v>309</v>
      </c>
      <c r="G90" s="20"/>
    </row>
    <row r="91" spans="2:7" x14ac:dyDescent="0.25">
      <c r="B91" s="54" t="s">
        <v>310</v>
      </c>
      <c r="C91" s="55" t="s">
        <v>311</v>
      </c>
      <c r="D91" s="55">
        <f>SUM(D80:D90)</f>
        <v>0</v>
      </c>
      <c r="E91" s="52" t="s">
        <v>312</v>
      </c>
      <c r="F91" s="19" t="s">
        <v>313</v>
      </c>
      <c r="G91" s="20"/>
    </row>
    <row r="92" spans="2:7" x14ac:dyDescent="0.25">
      <c r="B92" s="54"/>
      <c r="C92" s="57" t="s">
        <v>314</v>
      </c>
      <c r="D92" s="55">
        <f>D77+D91</f>
        <v>10253659</v>
      </c>
      <c r="E92" s="52" t="s">
        <v>315</v>
      </c>
      <c r="F92" s="19" t="s">
        <v>316</v>
      </c>
      <c r="G92" s="20"/>
    </row>
    <row r="93" spans="2:7" x14ac:dyDescent="0.25">
      <c r="E93" s="52" t="s">
        <v>317</v>
      </c>
      <c r="F93" s="19" t="s">
        <v>318</v>
      </c>
      <c r="G93" s="20">
        <v>242926</v>
      </c>
    </row>
    <row r="94" spans="2:7" x14ac:dyDescent="0.25">
      <c r="E94" s="52" t="s">
        <v>319</v>
      </c>
      <c r="F94" s="19" t="s">
        <v>320</v>
      </c>
      <c r="G94" s="27">
        <v>474852</v>
      </c>
    </row>
    <row r="95" spans="2:7" ht="13.5" customHeight="1" thickBot="1" x14ac:dyDescent="0.3">
      <c r="E95" s="21"/>
      <c r="F95" s="28" t="s">
        <v>321</v>
      </c>
      <c r="G95" s="29">
        <f>SUM(G80:G94)</f>
        <v>11589677</v>
      </c>
    </row>
    <row r="96" spans="2:7" x14ac:dyDescent="0.25">
      <c r="E96" s="52" t="s">
        <v>322</v>
      </c>
      <c r="F96" s="22" t="s">
        <v>323</v>
      </c>
      <c r="G96" s="23">
        <v>600643</v>
      </c>
    </row>
    <row r="97" spans="2:7" x14ac:dyDescent="0.25">
      <c r="E97" s="52" t="s">
        <v>324</v>
      </c>
      <c r="F97" s="19" t="s">
        <v>325</v>
      </c>
      <c r="G97" s="20">
        <f>1511214+2109980</f>
        <v>3621194</v>
      </c>
    </row>
    <row r="98" spans="2:7" x14ac:dyDescent="0.25">
      <c r="E98" s="52" t="s">
        <v>326</v>
      </c>
      <c r="F98" s="19" t="s">
        <v>327</v>
      </c>
      <c r="G98" s="20">
        <v>1030297</v>
      </c>
    </row>
    <row r="99" spans="2:7" x14ac:dyDescent="0.25">
      <c r="E99" s="52" t="s">
        <v>328</v>
      </c>
      <c r="F99" s="19" t="s">
        <v>329</v>
      </c>
      <c r="G99" s="20">
        <f>59000</f>
        <v>59000</v>
      </c>
    </row>
    <row r="100" spans="2:7" x14ac:dyDescent="0.25">
      <c r="E100" s="52" t="s">
        <v>330</v>
      </c>
      <c r="F100" s="19" t="s">
        <v>331</v>
      </c>
      <c r="G100" s="27">
        <v>259643</v>
      </c>
    </row>
    <row r="101" spans="2:7" ht="15.75" thickBot="1" x14ac:dyDescent="0.3">
      <c r="E101" s="21"/>
      <c r="F101" s="28" t="s">
        <v>332</v>
      </c>
      <c r="G101" s="29">
        <f>SUM(G96:G100)</f>
        <v>5570777</v>
      </c>
    </row>
    <row r="102" spans="2:7" ht="15.75" thickBot="1" x14ac:dyDescent="0.3">
      <c r="E102" s="52"/>
      <c r="F102" s="59" t="s">
        <v>333</v>
      </c>
      <c r="G102" s="60">
        <f>[25]Amortizaciones!D19</f>
        <v>10253659</v>
      </c>
    </row>
    <row r="103" spans="2:7" x14ac:dyDescent="0.25">
      <c r="E103" s="52" t="s">
        <v>334</v>
      </c>
      <c r="F103" s="19" t="s">
        <v>335</v>
      </c>
      <c r="G103" s="23"/>
    </row>
    <row r="104" spans="2:7" x14ac:dyDescent="0.25">
      <c r="E104" s="52" t="s">
        <v>336</v>
      </c>
      <c r="F104" s="61" t="s">
        <v>337</v>
      </c>
      <c r="G104" s="20"/>
    </row>
    <row r="105" spans="2:7" ht="15.75" thickBot="1" x14ac:dyDescent="0.3">
      <c r="E105" s="21"/>
      <c r="F105" s="28" t="s">
        <v>338</v>
      </c>
      <c r="G105" s="29">
        <f>SUM(G103:G104)</f>
        <v>0</v>
      </c>
    </row>
    <row r="106" spans="2:7" ht="13.7" customHeight="1" thickBot="1" x14ac:dyDescent="0.3">
      <c r="B106" s="6"/>
      <c r="C106" s="62"/>
      <c r="D106" s="62"/>
      <c r="E106" s="52"/>
      <c r="F106" s="48" t="s">
        <v>339</v>
      </c>
      <c r="G106" s="49">
        <f>G19+G27+G32+G48+G57+G79+G95+G101+G102+G105</f>
        <v>385765391</v>
      </c>
    </row>
    <row r="107" spans="2:7" ht="13.7" customHeight="1" x14ac:dyDescent="0.25">
      <c r="B107" s="6"/>
      <c r="C107" s="62"/>
      <c r="D107" s="62"/>
      <c r="E107" s="21"/>
      <c r="F107" s="63"/>
      <c r="G107" s="64"/>
    </row>
    <row r="108" spans="2:7" ht="13.7" customHeight="1" thickBot="1" x14ac:dyDescent="0.3">
      <c r="B108" s="6"/>
      <c r="C108" s="62"/>
      <c r="D108" s="62"/>
      <c r="E108" s="21"/>
    </row>
    <row r="109" spans="2:7" ht="13.7" customHeight="1" thickBot="1" x14ac:dyDescent="0.3">
      <c r="B109" s="6"/>
      <c r="C109" s="62"/>
      <c r="D109" s="62"/>
      <c r="E109" s="21"/>
      <c r="F109" s="13" t="s">
        <v>340</v>
      </c>
      <c r="G109" s="65">
        <f>D61-G106</f>
        <v>47191055</v>
      </c>
    </row>
    <row r="110" spans="2:7" ht="13.7" customHeight="1" thickBot="1" x14ac:dyDescent="0.3">
      <c r="B110" s="6"/>
      <c r="C110" s="62"/>
      <c r="D110" s="62"/>
      <c r="E110" s="21"/>
    </row>
    <row r="111" spans="2:7" ht="13.7" customHeight="1" thickBot="1" x14ac:dyDescent="0.3">
      <c r="C111" s="48" t="s">
        <v>270</v>
      </c>
      <c r="D111" s="17">
        <f>+[25]E.S.P.!D6</f>
        <v>2020</v>
      </c>
      <c r="E111" s="52"/>
      <c r="F111" s="48" t="s">
        <v>341</v>
      </c>
      <c r="G111" s="17">
        <f>+[25]E.S.P.!D6</f>
        <v>2020</v>
      </c>
    </row>
    <row r="112" spans="2:7" ht="13.7" customHeight="1" x14ac:dyDescent="0.25">
      <c r="B112" s="6" t="s">
        <v>342</v>
      </c>
      <c r="C112" s="66" t="s">
        <v>343</v>
      </c>
      <c r="D112" s="67">
        <v>3685504</v>
      </c>
      <c r="E112" s="21" t="s">
        <v>344</v>
      </c>
      <c r="F112" s="66" t="s">
        <v>309</v>
      </c>
      <c r="G112" s="67"/>
    </row>
    <row r="113" spans="2:7" ht="13.7" customHeight="1" x14ac:dyDescent="0.25">
      <c r="B113" s="6" t="s">
        <v>345</v>
      </c>
      <c r="C113" s="68" t="s">
        <v>346</v>
      </c>
      <c r="D113" s="69">
        <v>24415947</v>
      </c>
      <c r="E113" s="21" t="s">
        <v>347</v>
      </c>
      <c r="F113" s="68" t="s">
        <v>348</v>
      </c>
      <c r="G113" s="69"/>
    </row>
    <row r="114" spans="2:7" ht="13.7" customHeight="1" x14ac:dyDescent="0.25">
      <c r="B114" s="6" t="s">
        <v>349</v>
      </c>
      <c r="C114" s="68" t="s">
        <v>48</v>
      </c>
      <c r="D114" s="69">
        <v>746088</v>
      </c>
      <c r="E114" s="21" t="s">
        <v>350</v>
      </c>
      <c r="F114" s="68" t="s">
        <v>351</v>
      </c>
      <c r="G114" s="69">
        <v>1838531</v>
      </c>
    </row>
    <row r="115" spans="2:7" ht="13.7" customHeight="1" x14ac:dyDescent="0.25">
      <c r="B115" s="6" t="s">
        <v>352</v>
      </c>
      <c r="C115" s="68" t="s">
        <v>353</v>
      </c>
      <c r="D115" s="69"/>
      <c r="E115" s="21" t="s">
        <v>354</v>
      </c>
      <c r="F115" s="68" t="s">
        <v>355</v>
      </c>
      <c r="G115" s="69">
        <v>200734</v>
      </c>
    </row>
    <row r="116" spans="2:7" ht="13.7" customHeight="1" x14ac:dyDescent="0.25">
      <c r="B116" s="6" t="s">
        <v>356</v>
      </c>
      <c r="C116" s="68" t="s">
        <v>357</v>
      </c>
      <c r="D116" s="69">
        <v>1292491</v>
      </c>
      <c r="E116" s="21" t="s">
        <v>358</v>
      </c>
      <c r="F116" s="68" t="s">
        <v>359</v>
      </c>
      <c r="G116" s="69">
        <v>9218853</v>
      </c>
    </row>
    <row r="117" spans="2:7" ht="13.7" customHeight="1" x14ac:dyDescent="0.25">
      <c r="B117" s="6" t="s">
        <v>360</v>
      </c>
      <c r="C117" s="68" t="s">
        <v>361</v>
      </c>
      <c r="D117" s="69"/>
      <c r="E117" s="21" t="s">
        <v>362</v>
      </c>
      <c r="F117" s="68" t="s">
        <v>363</v>
      </c>
      <c r="G117" s="69">
        <v>30000</v>
      </c>
    </row>
    <row r="118" spans="2:7" ht="13.7" customHeight="1" x14ac:dyDescent="0.25">
      <c r="B118" s="6" t="s">
        <v>364</v>
      </c>
      <c r="C118" s="68" t="s">
        <v>365</v>
      </c>
      <c r="D118" s="69"/>
      <c r="E118" s="21" t="s">
        <v>366</v>
      </c>
      <c r="F118" s="68" t="s">
        <v>367</v>
      </c>
      <c r="G118" s="69"/>
    </row>
    <row r="119" spans="2:7" ht="13.7" customHeight="1" x14ac:dyDescent="0.25">
      <c r="B119" s="6" t="s">
        <v>368</v>
      </c>
      <c r="C119" s="68" t="s">
        <v>369</v>
      </c>
      <c r="D119" s="69"/>
      <c r="E119" s="21" t="s">
        <v>370</v>
      </c>
      <c r="F119" s="68" t="s">
        <v>371</v>
      </c>
      <c r="G119" s="69"/>
    </row>
    <row r="120" spans="2:7" ht="13.7" customHeight="1" x14ac:dyDescent="0.25">
      <c r="B120" s="6" t="s">
        <v>372</v>
      </c>
      <c r="C120" s="68" t="s">
        <v>373</v>
      </c>
      <c r="D120" s="69"/>
      <c r="E120" s="21" t="s">
        <v>374</v>
      </c>
      <c r="F120" s="68" t="s">
        <v>375</v>
      </c>
      <c r="G120" s="69"/>
    </row>
    <row r="121" spans="2:7" ht="13.7" customHeight="1" x14ac:dyDescent="0.25">
      <c r="B121" s="6" t="s">
        <v>376</v>
      </c>
      <c r="C121" s="19" t="s">
        <v>377</v>
      </c>
      <c r="D121" s="69">
        <v>1324758</v>
      </c>
      <c r="E121" s="21" t="s">
        <v>378</v>
      </c>
      <c r="F121" s="68" t="s">
        <v>379</v>
      </c>
      <c r="G121" s="69">
        <f>10871-5900+1034</f>
        <v>6005</v>
      </c>
    </row>
    <row r="122" spans="2:7" ht="13.7" customHeight="1" thickBot="1" x14ac:dyDescent="0.3">
      <c r="B122" s="6"/>
      <c r="C122" s="28" t="s">
        <v>380</v>
      </c>
      <c r="D122" s="37">
        <f>SUM(D112:D121)</f>
        <v>31464788</v>
      </c>
      <c r="E122" s="21" t="s">
        <v>381</v>
      </c>
      <c r="F122" s="19" t="s">
        <v>382</v>
      </c>
      <c r="G122" s="20">
        <v>125971</v>
      </c>
    </row>
    <row r="123" spans="2:7" ht="13.7" customHeight="1" thickBot="1" x14ac:dyDescent="0.3">
      <c r="B123" s="6" t="s">
        <v>383</v>
      </c>
      <c r="C123" s="70" t="s">
        <v>309</v>
      </c>
      <c r="D123" s="67">
        <v>66177</v>
      </c>
      <c r="E123" s="52"/>
      <c r="F123" s="28" t="s">
        <v>384</v>
      </c>
      <c r="G123" s="37">
        <f>SUM(G112:G122)</f>
        <v>11420094</v>
      </c>
    </row>
    <row r="124" spans="2:7" ht="13.7" customHeight="1" x14ac:dyDescent="0.25">
      <c r="B124" s="6" t="s">
        <v>385</v>
      </c>
      <c r="C124" s="68" t="s">
        <v>313</v>
      </c>
      <c r="D124" s="69">
        <f>71402+175304+558775</f>
        <v>805481</v>
      </c>
      <c r="E124" s="21" t="s">
        <v>386</v>
      </c>
      <c r="F124" s="68" t="s">
        <v>387</v>
      </c>
      <c r="G124" s="69"/>
    </row>
    <row r="125" spans="2:7" ht="13.7" customHeight="1" x14ac:dyDescent="0.25">
      <c r="B125" s="6" t="s">
        <v>388</v>
      </c>
      <c r="C125" s="19" t="s">
        <v>389</v>
      </c>
      <c r="D125" s="69">
        <v>29118</v>
      </c>
      <c r="E125" s="21" t="s">
        <v>390</v>
      </c>
      <c r="F125" s="68" t="s">
        <v>391</v>
      </c>
      <c r="G125" s="69">
        <v>67185</v>
      </c>
    </row>
    <row r="126" spans="2:7" ht="13.7" customHeight="1" thickBot="1" x14ac:dyDescent="0.3">
      <c r="B126" s="6"/>
      <c r="C126" s="28" t="s">
        <v>392</v>
      </c>
      <c r="D126" s="37">
        <f>SUM(D123:D125)</f>
        <v>900776</v>
      </c>
      <c r="E126" s="21" t="s">
        <v>393</v>
      </c>
      <c r="F126" s="68" t="s">
        <v>394</v>
      </c>
      <c r="G126" s="69">
        <v>1174939</v>
      </c>
    </row>
    <row r="127" spans="2:7" ht="13.7" customHeight="1" x14ac:dyDescent="0.25">
      <c r="B127" s="6" t="s">
        <v>395</v>
      </c>
      <c r="C127" s="66" t="s">
        <v>274</v>
      </c>
      <c r="D127" s="67">
        <v>2691417</v>
      </c>
      <c r="E127" s="21" t="s">
        <v>396</v>
      </c>
      <c r="F127" s="68" t="s">
        <v>397</v>
      </c>
      <c r="G127" s="69"/>
    </row>
    <row r="128" spans="2:7" ht="13.7" customHeight="1" x14ac:dyDescent="0.25">
      <c r="B128" s="6" t="s">
        <v>398</v>
      </c>
      <c r="C128" s="68" t="s">
        <v>399</v>
      </c>
      <c r="D128" s="69">
        <v>377479</v>
      </c>
      <c r="E128" s="21" t="s">
        <v>400</v>
      </c>
      <c r="F128" s="68" t="s">
        <v>401</v>
      </c>
      <c r="G128" s="69">
        <v>1583448</v>
      </c>
    </row>
    <row r="129" spans="2:7" ht="13.7" customHeight="1" x14ac:dyDescent="0.25">
      <c r="B129" s="6" t="s">
        <v>402</v>
      </c>
      <c r="C129" s="68" t="s">
        <v>277</v>
      </c>
      <c r="D129" s="69">
        <v>40000</v>
      </c>
      <c r="E129" s="21" t="s">
        <v>403</v>
      </c>
      <c r="F129" s="68" t="s">
        <v>404</v>
      </c>
      <c r="G129" s="69">
        <f>514607+1115943</f>
        <v>1630550</v>
      </c>
    </row>
    <row r="130" spans="2:7" ht="13.7" customHeight="1" x14ac:dyDescent="0.25">
      <c r="B130" s="6" t="s">
        <v>405</v>
      </c>
      <c r="C130" s="68" t="s">
        <v>283</v>
      </c>
      <c r="D130" s="69"/>
      <c r="E130" s="21" t="s">
        <v>406</v>
      </c>
      <c r="F130" s="68" t="s">
        <v>407</v>
      </c>
      <c r="G130" s="69"/>
    </row>
    <row r="131" spans="2:7" ht="13.7" customHeight="1" x14ac:dyDescent="0.25">
      <c r="B131" s="6" t="s">
        <v>408</v>
      </c>
      <c r="C131" s="68" t="s">
        <v>287</v>
      </c>
      <c r="D131" s="69"/>
      <c r="E131" s="21" t="s">
        <v>409</v>
      </c>
      <c r="F131" s="68" t="s">
        <v>410</v>
      </c>
      <c r="G131" s="69">
        <v>81964</v>
      </c>
    </row>
    <row r="132" spans="2:7" ht="13.7" customHeight="1" x14ac:dyDescent="0.25">
      <c r="B132" s="6" t="s">
        <v>411</v>
      </c>
      <c r="C132" s="68" t="s">
        <v>291</v>
      </c>
      <c r="D132" s="69">
        <v>1756710</v>
      </c>
      <c r="E132" s="21" t="s">
        <v>412</v>
      </c>
      <c r="F132" s="68" t="s">
        <v>413</v>
      </c>
      <c r="G132" s="69">
        <f>548162+162581</f>
        <v>710743</v>
      </c>
    </row>
    <row r="133" spans="2:7" ht="13.7" customHeight="1" x14ac:dyDescent="0.25">
      <c r="B133" s="6" t="s">
        <v>414</v>
      </c>
      <c r="C133" s="68" t="s">
        <v>295</v>
      </c>
      <c r="D133" s="69"/>
      <c r="E133" s="21" t="s">
        <v>415</v>
      </c>
      <c r="F133" s="68" t="s">
        <v>416</v>
      </c>
      <c r="G133" s="69"/>
    </row>
    <row r="134" spans="2:7" ht="13.7" customHeight="1" x14ac:dyDescent="0.25">
      <c r="B134" s="6" t="s">
        <v>417</v>
      </c>
      <c r="C134" s="68" t="s">
        <v>418</v>
      </c>
      <c r="D134" s="69">
        <v>1198155</v>
      </c>
      <c r="E134" s="21" t="s">
        <v>419</v>
      </c>
      <c r="F134" s="68" t="s">
        <v>420</v>
      </c>
      <c r="G134" s="69"/>
    </row>
    <row r="135" spans="2:7" ht="13.7" customHeight="1" x14ac:dyDescent="0.25">
      <c r="B135" s="6" t="s">
        <v>421</v>
      </c>
      <c r="C135" s="68" t="s">
        <v>422</v>
      </c>
      <c r="D135" s="69">
        <f>807803+2297228+748856+755742</f>
        <v>4609629</v>
      </c>
      <c r="E135" s="21" t="s">
        <v>423</v>
      </c>
      <c r="F135" s="68" t="s">
        <v>424</v>
      </c>
      <c r="G135" s="69"/>
    </row>
    <row r="136" spans="2:7" ht="13.7" customHeight="1" x14ac:dyDescent="0.25">
      <c r="B136" s="6" t="s">
        <v>425</v>
      </c>
      <c r="C136" s="68" t="s">
        <v>318</v>
      </c>
      <c r="D136" s="69"/>
      <c r="E136" s="21" t="s">
        <v>426</v>
      </c>
      <c r="F136" s="68" t="s">
        <v>427</v>
      </c>
      <c r="G136" s="69">
        <v>98300</v>
      </c>
    </row>
    <row r="137" spans="2:7" ht="13.7" customHeight="1" x14ac:dyDescent="0.25">
      <c r="B137" s="6" t="s">
        <v>428</v>
      </c>
      <c r="C137" s="19" t="s">
        <v>320</v>
      </c>
      <c r="D137" s="71">
        <v>439164</v>
      </c>
      <c r="E137" s="21" t="s">
        <v>429</v>
      </c>
      <c r="F137" s="68" t="s">
        <v>430</v>
      </c>
      <c r="G137" s="69">
        <f>100+426856</f>
        <v>426956</v>
      </c>
    </row>
    <row r="138" spans="2:7" ht="13.7" customHeight="1" thickBot="1" x14ac:dyDescent="0.3">
      <c r="B138" s="6"/>
      <c r="C138" s="28" t="s">
        <v>321</v>
      </c>
      <c r="D138" s="37">
        <f>SUM(D127:D137)</f>
        <v>11112554</v>
      </c>
      <c r="E138" s="21" t="s">
        <v>431</v>
      </c>
      <c r="F138" s="19" t="s">
        <v>432</v>
      </c>
      <c r="G138" s="20">
        <v>216662</v>
      </c>
    </row>
    <row r="139" spans="2:7" ht="13.7" customHeight="1" thickBot="1" x14ac:dyDescent="0.3">
      <c r="B139" s="6" t="s">
        <v>433</v>
      </c>
      <c r="C139" s="66" t="s">
        <v>327</v>
      </c>
      <c r="D139" s="67"/>
      <c r="E139" s="7"/>
      <c r="F139" s="28" t="s">
        <v>434</v>
      </c>
      <c r="G139" s="37">
        <f>SUM(G124:G138)</f>
        <v>5990747</v>
      </c>
    </row>
    <row r="140" spans="2:7" ht="13.7" customHeight="1" thickBot="1" x14ac:dyDescent="0.3">
      <c r="B140" s="6" t="s">
        <v>435</v>
      </c>
      <c r="C140" s="68" t="s">
        <v>329</v>
      </c>
      <c r="D140" s="69">
        <v>368070</v>
      </c>
      <c r="E140" s="7"/>
      <c r="F140" s="48" t="s">
        <v>436</v>
      </c>
      <c r="G140" s="72">
        <f>G123-G139</f>
        <v>5429347</v>
      </c>
    </row>
    <row r="141" spans="2:7" ht="13.7" customHeight="1" x14ac:dyDescent="0.25">
      <c r="B141" s="6" t="s">
        <v>437</v>
      </c>
      <c r="C141" s="19" t="s">
        <v>331</v>
      </c>
      <c r="D141" s="71">
        <v>17819</v>
      </c>
      <c r="E141" s="73"/>
    </row>
    <row r="142" spans="2:7" ht="13.7" customHeight="1" thickBot="1" x14ac:dyDescent="0.3">
      <c r="B142" s="6"/>
      <c r="C142" s="28" t="s">
        <v>332</v>
      </c>
      <c r="D142" s="37">
        <f>SUM(D139:D141)</f>
        <v>385889</v>
      </c>
      <c r="E142" s="73"/>
    </row>
    <row r="143" spans="2:7" ht="13.7" customHeight="1" thickBot="1" x14ac:dyDescent="0.3">
      <c r="B143" s="6"/>
      <c r="C143" s="59" t="s">
        <v>438</v>
      </c>
      <c r="D143" s="74">
        <f>[25]Amortizaciones!D33</f>
        <v>0</v>
      </c>
      <c r="E143" s="21"/>
      <c r="F143" s="48" t="s">
        <v>439</v>
      </c>
      <c r="G143" s="17">
        <f>+[25]E.S.P.!D6</f>
        <v>2020</v>
      </c>
    </row>
    <row r="144" spans="2:7" ht="13.7" customHeight="1" x14ac:dyDescent="0.25">
      <c r="B144" s="6" t="s">
        <v>440</v>
      </c>
      <c r="C144" s="66" t="s">
        <v>441</v>
      </c>
      <c r="D144" s="67">
        <v>72238</v>
      </c>
      <c r="E144" s="21" t="s">
        <v>442</v>
      </c>
      <c r="F144" s="66" t="s">
        <v>443</v>
      </c>
      <c r="G144" s="67"/>
    </row>
    <row r="145" spans="2:7" ht="13.7" customHeight="1" x14ac:dyDescent="0.25">
      <c r="B145" s="6" t="s">
        <v>444</v>
      </c>
      <c r="C145" s="68" t="s">
        <v>445</v>
      </c>
      <c r="D145" s="69">
        <f>120519+35294+603217</f>
        <v>759030</v>
      </c>
      <c r="E145" s="21" t="s">
        <v>446</v>
      </c>
      <c r="F145" s="68" t="s">
        <v>447</v>
      </c>
      <c r="G145" s="69">
        <v>521981</v>
      </c>
    </row>
    <row r="146" spans="2:7" ht="13.7" customHeight="1" x14ac:dyDescent="0.25">
      <c r="B146" s="6" t="s">
        <v>448</v>
      </c>
      <c r="C146" s="75" t="s">
        <v>449</v>
      </c>
      <c r="D146" s="69"/>
      <c r="E146" s="21" t="s">
        <v>450</v>
      </c>
      <c r="F146" s="68" t="s">
        <v>451</v>
      </c>
      <c r="G146" s="69">
        <v>708149</v>
      </c>
    </row>
    <row r="147" spans="2:7" ht="13.7" customHeight="1" x14ac:dyDescent="0.25">
      <c r="B147" s="6" t="s">
        <v>452</v>
      </c>
      <c r="C147" s="19" t="s">
        <v>453</v>
      </c>
      <c r="D147" s="71">
        <v>34112</v>
      </c>
      <c r="E147" s="21" t="s">
        <v>454</v>
      </c>
      <c r="F147" s="68" t="s">
        <v>455</v>
      </c>
      <c r="G147" s="69"/>
    </row>
    <row r="148" spans="2:7" ht="13.7" customHeight="1" thickBot="1" x14ac:dyDescent="0.3">
      <c r="B148" s="6"/>
      <c r="C148" s="28" t="s">
        <v>456</v>
      </c>
      <c r="D148" s="37">
        <f>SUM(D144:D147)</f>
        <v>865380</v>
      </c>
      <c r="E148" s="21" t="s">
        <v>457</v>
      </c>
      <c r="F148" s="68" t="s">
        <v>458</v>
      </c>
      <c r="G148" s="69"/>
    </row>
    <row r="149" spans="2:7" ht="13.7" customHeight="1" x14ac:dyDescent="0.25">
      <c r="B149" s="6" t="s">
        <v>459</v>
      </c>
      <c r="C149" s="66" t="s">
        <v>460</v>
      </c>
      <c r="D149" s="67"/>
      <c r="E149" s="21" t="s">
        <v>461</v>
      </c>
      <c r="F149" s="68" t="s">
        <v>462</v>
      </c>
      <c r="G149" s="69"/>
    </row>
    <row r="150" spans="2:7" ht="13.7" customHeight="1" x14ac:dyDescent="0.25">
      <c r="B150" s="6" t="s">
        <v>463</v>
      </c>
      <c r="C150" s="68" t="s">
        <v>464</v>
      </c>
      <c r="D150" s="69"/>
      <c r="E150" s="21" t="s">
        <v>465</v>
      </c>
      <c r="F150" s="68" t="s">
        <v>466</v>
      </c>
      <c r="G150" s="69"/>
    </row>
    <row r="151" spans="2:7" ht="13.7" customHeight="1" x14ac:dyDescent="0.25">
      <c r="B151" s="6" t="s">
        <v>467</v>
      </c>
      <c r="C151" s="19" t="s">
        <v>468</v>
      </c>
      <c r="D151" s="71"/>
      <c r="E151" s="21" t="s">
        <v>469</v>
      </c>
      <c r="F151" s="68" t="s">
        <v>470</v>
      </c>
      <c r="G151" s="69">
        <f>34492444-30176375</f>
        <v>4316069</v>
      </c>
    </row>
    <row r="152" spans="2:7" ht="13.7" customHeight="1" thickBot="1" x14ac:dyDescent="0.3">
      <c r="B152" s="6"/>
      <c r="C152" s="28" t="s">
        <v>471</v>
      </c>
      <c r="D152" s="37">
        <f>SUM(D149:D151)</f>
        <v>0</v>
      </c>
      <c r="E152" s="21" t="s">
        <v>472</v>
      </c>
      <c r="F152" s="68" t="s">
        <v>473</v>
      </c>
      <c r="G152" s="69">
        <f>715+50</f>
        <v>765</v>
      </c>
    </row>
    <row r="153" spans="2:7" ht="13.7" customHeight="1" thickBot="1" x14ac:dyDescent="0.3">
      <c r="B153" s="6"/>
      <c r="C153" s="48" t="s">
        <v>474</v>
      </c>
      <c r="D153" s="76">
        <f>D122+D126+D138+D142+D143+D148+D152</f>
        <v>44729387</v>
      </c>
      <c r="E153" s="21" t="s">
        <v>475</v>
      </c>
      <c r="F153" s="19" t="s">
        <v>476</v>
      </c>
      <c r="G153" s="20">
        <v>26420</v>
      </c>
    </row>
    <row r="154" spans="2:7" ht="13.7" customHeight="1" thickBot="1" x14ac:dyDescent="0.3">
      <c r="B154" s="6"/>
      <c r="E154" s="21"/>
      <c r="F154" s="28" t="s">
        <v>477</v>
      </c>
      <c r="G154" s="37">
        <f>SUM(G144:G153)</f>
        <v>5573384</v>
      </c>
    </row>
    <row r="155" spans="2:7" ht="13.7" customHeight="1" thickBot="1" x14ac:dyDescent="0.3">
      <c r="B155" s="6"/>
      <c r="C155" s="77" t="s">
        <v>478</v>
      </c>
      <c r="D155" s="65">
        <f>G109-D153</f>
        <v>2461668</v>
      </c>
      <c r="E155" s="21" t="s">
        <v>479</v>
      </c>
      <c r="F155" s="66" t="s">
        <v>480</v>
      </c>
      <c r="G155" s="67">
        <v>4049472</v>
      </c>
    </row>
    <row r="156" spans="2:7" ht="13.7" customHeight="1" x14ac:dyDescent="0.25">
      <c r="E156" s="21" t="s">
        <v>481</v>
      </c>
      <c r="F156" s="68" t="s">
        <v>482</v>
      </c>
      <c r="G156" s="69">
        <v>5097219</v>
      </c>
    </row>
    <row r="157" spans="2:7" ht="13.7" customHeight="1" x14ac:dyDescent="0.25">
      <c r="E157" s="21" t="s">
        <v>483</v>
      </c>
      <c r="F157" s="68" t="s">
        <v>484</v>
      </c>
      <c r="G157" s="69">
        <v>22193</v>
      </c>
    </row>
    <row r="158" spans="2:7" ht="13.7" customHeight="1" x14ac:dyDescent="0.25">
      <c r="E158" s="21" t="s">
        <v>485</v>
      </c>
      <c r="F158" s="68" t="s">
        <v>486</v>
      </c>
      <c r="G158" s="69"/>
    </row>
    <row r="159" spans="2:7" ht="13.7" customHeight="1" x14ac:dyDescent="0.25">
      <c r="E159" s="21" t="s">
        <v>487</v>
      </c>
      <c r="F159" s="68" t="s">
        <v>488</v>
      </c>
      <c r="G159" s="69">
        <f>988573+31</f>
        <v>988604</v>
      </c>
    </row>
    <row r="160" spans="2:7" ht="13.7" customHeight="1" x14ac:dyDescent="0.25">
      <c r="E160" s="21" t="s">
        <v>489</v>
      </c>
      <c r="F160" s="68" t="s">
        <v>490</v>
      </c>
      <c r="G160" s="69">
        <v>340695</v>
      </c>
    </row>
    <row r="161" spans="5:7" ht="13.7" customHeight="1" x14ac:dyDescent="0.25">
      <c r="E161" s="21" t="s">
        <v>491</v>
      </c>
      <c r="F161" s="68" t="s">
        <v>492</v>
      </c>
      <c r="G161" s="69">
        <v>60789</v>
      </c>
    </row>
    <row r="162" spans="5:7" ht="13.7" customHeight="1" x14ac:dyDescent="0.25">
      <c r="E162" s="21" t="s">
        <v>493</v>
      </c>
      <c r="F162" s="68" t="s">
        <v>494</v>
      </c>
      <c r="G162" s="69"/>
    </row>
    <row r="163" spans="5:7" ht="13.7" customHeight="1" x14ac:dyDescent="0.25">
      <c r="E163" s="21" t="s">
        <v>495</v>
      </c>
      <c r="F163" s="68" t="s">
        <v>496</v>
      </c>
      <c r="G163" s="69"/>
    </row>
    <row r="164" spans="5:7" ht="13.7" customHeight="1" x14ac:dyDescent="0.25">
      <c r="E164" s="21" t="s">
        <v>497</v>
      </c>
      <c r="F164" s="68" t="s">
        <v>498</v>
      </c>
      <c r="G164" s="69"/>
    </row>
    <row r="165" spans="5:7" ht="13.7" customHeight="1" x14ac:dyDescent="0.25">
      <c r="E165" s="21" t="s">
        <v>499</v>
      </c>
      <c r="F165" s="68" t="s">
        <v>500</v>
      </c>
      <c r="G165" s="69"/>
    </row>
    <row r="166" spans="5:7" ht="13.7" customHeight="1" x14ac:dyDescent="0.25">
      <c r="E166" s="21" t="s">
        <v>501</v>
      </c>
      <c r="F166" s="68" t="s">
        <v>502</v>
      </c>
      <c r="G166" s="69">
        <v>173908</v>
      </c>
    </row>
    <row r="167" spans="5:7" ht="13.7" customHeight="1" x14ac:dyDescent="0.25">
      <c r="E167" s="21" t="s">
        <v>503</v>
      </c>
      <c r="F167" s="19" t="s">
        <v>504</v>
      </c>
      <c r="G167" s="20">
        <v>254440</v>
      </c>
    </row>
    <row r="168" spans="5:7" ht="13.7" customHeight="1" thickBot="1" x14ac:dyDescent="0.3">
      <c r="E168" s="21"/>
      <c r="F168" s="28" t="s">
        <v>505</v>
      </c>
      <c r="G168" s="37">
        <f>SUM(G155:G167)</f>
        <v>10987320</v>
      </c>
    </row>
    <row r="169" spans="5:7" ht="13.7" customHeight="1" thickBot="1" x14ac:dyDescent="0.3">
      <c r="E169" s="21"/>
      <c r="F169" s="48" t="s">
        <v>506</v>
      </c>
      <c r="G169" s="72">
        <f>G154-G168</f>
        <v>-5413936</v>
      </c>
    </row>
    <row r="170" spans="5:7" ht="13.7" customHeight="1" thickBot="1" x14ac:dyDescent="0.3">
      <c r="E170" s="21"/>
      <c r="F170" s="78"/>
      <c r="G170" s="78"/>
    </row>
    <row r="171" spans="5:7" ht="13.7" customHeight="1" thickBot="1" x14ac:dyDescent="0.3">
      <c r="E171" s="21"/>
      <c r="F171" s="77" t="s">
        <v>507</v>
      </c>
      <c r="G171" s="79"/>
    </row>
    <row r="172" spans="5:7" ht="13.7" customHeight="1" thickBot="1" x14ac:dyDescent="0.3">
      <c r="E172" s="21"/>
      <c r="F172" s="80"/>
      <c r="G172" s="81">
        <f>+D155+G140+G169</f>
        <v>2477079</v>
      </c>
    </row>
    <row r="173" spans="5:7" ht="13.7" customHeight="1" thickBot="1" x14ac:dyDescent="0.3">
      <c r="E173" s="21"/>
      <c r="F173" s="5"/>
      <c r="G173" s="5"/>
    </row>
    <row r="174" spans="5:7" ht="13.7" customHeight="1" thickBot="1" x14ac:dyDescent="0.3">
      <c r="E174" s="21"/>
      <c r="F174" s="48" t="s">
        <v>508</v>
      </c>
      <c r="G174" s="17">
        <f>+G143</f>
        <v>2020</v>
      </c>
    </row>
    <row r="175" spans="5:7" ht="13.7" customHeight="1" x14ac:dyDescent="0.25">
      <c r="E175" s="21"/>
      <c r="F175" s="66" t="s">
        <v>509</v>
      </c>
      <c r="G175" s="67"/>
    </row>
    <row r="176" spans="5:7" ht="13.7" customHeight="1" x14ac:dyDescent="0.25">
      <c r="E176" s="21"/>
      <c r="F176" s="68" t="s">
        <v>510</v>
      </c>
      <c r="G176" s="69"/>
    </row>
    <row r="177" spans="1:8" ht="13.7" customHeight="1" thickBot="1" x14ac:dyDescent="0.3">
      <c r="F177" s="68" t="s">
        <v>511</v>
      </c>
      <c r="G177" s="69"/>
    </row>
    <row r="178" spans="1:8" ht="13.7" customHeight="1" thickBot="1" x14ac:dyDescent="0.3">
      <c r="F178" s="48" t="s">
        <v>512</v>
      </c>
      <c r="G178" s="72">
        <f>SUM(G175:G177)</f>
        <v>0</v>
      </c>
    </row>
    <row r="179" spans="1:8" ht="13.7" customHeight="1" thickBot="1" x14ac:dyDescent="0.3"/>
    <row r="180" spans="1:8" ht="13.7" customHeight="1" thickBot="1" x14ac:dyDescent="0.3">
      <c r="F180" s="77" t="s">
        <v>513</v>
      </c>
      <c r="G180" s="79"/>
    </row>
    <row r="181" spans="1:8" ht="13.7" customHeight="1" thickBot="1" x14ac:dyDescent="0.3">
      <c r="F181" s="83"/>
      <c r="G181" s="81">
        <f>+G172+G178</f>
        <v>2477079</v>
      </c>
    </row>
    <row r="182" spans="1:8" ht="13.7" customHeight="1" x14ac:dyDescent="0.25"/>
    <row r="183" spans="1:8" ht="13.5" customHeight="1" x14ac:dyDescent="0.25"/>
    <row r="184" spans="1:8" ht="13.7" customHeight="1" x14ac:dyDescent="0.25">
      <c r="E184" s="84"/>
      <c r="F184" s="84"/>
      <c r="G184" s="84"/>
      <c r="H184" s="84"/>
    </row>
    <row r="185" spans="1:8" s="84" customFormat="1" ht="13.7" customHeight="1" x14ac:dyDescent="0.25">
      <c r="A185" s="85"/>
      <c r="E185" s="82"/>
      <c r="F185" s="86"/>
      <c r="G185" s="86"/>
    </row>
    <row r="186" spans="1:8" s="84" customFormat="1" ht="12.75" x14ac:dyDescent="0.25">
      <c r="A186" s="85"/>
      <c r="E186" s="82"/>
      <c r="F186" s="86"/>
      <c r="G186" s="86"/>
    </row>
    <row r="187" spans="1:8" s="84" customFormat="1" ht="12.75" hidden="1" x14ac:dyDescent="0.25">
      <c r="A187" s="85"/>
      <c r="E187" s="82"/>
      <c r="F187" s="86"/>
      <c r="G187" s="86"/>
    </row>
    <row r="188" spans="1:8" s="84" customFormat="1" ht="12.75" hidden="1" x14ac:dyDescent="0.25">
      <c r="A188" s="85"/>
      <c r="E188" s="82"/>
      <c r="F188" s="86"/>
      <c r="G188" s="86"/>
    </row>
    <row r="189" spans="1:8" s="84" customFormat="1" ht="12.75" hidden="1" x14ac:dyDescent="0.25">
      <c r="A189" s="85"/>
      <c r="E189" s="82"/>
      <c r="F189" s="86"/>
      <c r="G189" s="86"/>
    </row>
    <row r="190" spans="1:8" s="84" customFormat="1" ht="12.75" hidden="1" x14ac:dyDescent="0.25">
      <c r="A190" s="85"/>
      <c r="E190" s="82"/>
      <c r="F190" s="86"/>
      <c r="G190" s="86"/>
    </row>
    <row r="191" spans="1:8" s="84" customFormat="1" ht="12.75" hidden="1" x14ac:dyDescent="0.25">
      <c r="A191" s="85"/>
      <c r="E191" s="82"/>
      <c r="F191" s="86"/>
      <c r="G191" s="86"/>
    </row>
    <row r="192" spans="1:8" s="84" customFormat="1" ht="12.75" hidden="1" x14ac:dyDescent="0.25">
      <c r="A192" s="85"/>
      <c r="E192" s="82"/>
      <c r="F192" s="86"/>
      <c r="G192" s="86"/>
    </row>
    <row r="193" spans="5:7" s="84" customFormat="1" ht="12.75" hidden="1" x14ac:dyDescent="0.25">
      <c r="E193" s="82"/>
      <c r="F193" s="86"/>
      <c r="G193" s="86"/>
    </row>
    <row r="194" spans="5:7" s="84" customFormat="1" ht="12.75" hidden="1" x14ac:dyDescent="0.25">
      <c r="E194" s="82"/>
      <c r="F194" s="86"/>
      <c r="G194" s="86"/>
    </row>
    <row r="195" spans="5:7" s="84" customFormat="1" ht="12.75" hidden="1" x14ac:dyDescent="0.25">
      <c r="E195" s="82"/>
      <c r="F195" s="86"/>
      <c r="G195" s="86"/>
    </row>
    <row r="196" spans="5:7" s="84" customFormat="1" ht="12.75" hidden="1" x14ac:dyDescent="0.25">
      <c r="E196" s="82"/>
      <c r="F196" s="86"/>
      <c r="G196" s="86"/>
    </row>
    <row r="197" spans="5:7" s="84" customFormat="1" ht="12.75" hidden="1" x14ac:dyDescent="0.25">
      <c r="E197" s="82"/>
      <c r="F197" s="86"/>
      <c r="G197" s="86"/>
    </row>
    <row r="198" spans="5:7" s="84" customFormat="1" ht="12.75" hidden="1" x14ac:dyDescent="0.25">
      <c r="E198" s="82"/>
      <c r="F198" s="86"/>
      <c r="G198" s="86"/>
    </row>
    <row r="199" spans="5:7" s="84" customFormat="1" ht="12.75" hidden="1" x14ac:dyDescent="0.25">
      <c r="E199" s="82"/>
      <c r="F199" s="86"/>
      <c r="G199" s="86"/>
    </row>
    <row r="200" spans="5:7" s="84" customFormat="1" ht="12.75" hidden="1" x14ac:dyDescent="0.25">
      <c r="E200" s="82"/>
      <c r="F200" s="86"/>
      <c r="G200" s="86"/>
    </row>
    <row r="201" spans="5:7" s="84" customFormat="1" ht="12.75" hidden="1" x14ac:dyDescent="0.25">
      <c r="E201" s="82"/>
      <c r="F201" s="86"/>
      <c r="G201" s="86"/>
    </row>
    <row r="202" spans="5:7" s="84" customFormat="1" ht="12.75" hidden="1" x14ac:dyDescent="0.25">
      <c r="E202" s="82"/>
      <c r="F202" s="86"/>
      <c r="G202" s="86"/>
    </row>
    <row r="203" spans="5:7" s="84" customFormat="1" ht="12.75" hidden="1" x14ac:dyDescent="0.25">
      <c r="E203" s="82"/>
      <c r="F203" s="86"/>
      <c r="G203" s="86"/>
    </row>
    <row r="204" spans="5:7" s="84" customFormat="1" ht="12.75" hidden="1" x14ac:dyDescent="0.25">
      <c r="E204" s="82"/>
      <c r="F204" s="86"/>
      <c r="G204" s="86"/>
    </row>
    <row r="205" spans="5:7" s="84" customFormat="1" ht="12.75" hidden="1" x14ac:dyDescent="0.25">
      <c r="E205" s="82"/>
      <c r="F205" s="86"/>
      <c r="G205" s="86"/>
    </row>
    <row r="206" spans="5:7" s="84" customFormat="1" ht="12.75" hidden="1" x14ac:dyDescent="0.25">
      <c r="E206" s="82"/>
      <c r="F206" s="86"/>
      <c r="G206" s="86"/>
    </row>
    <row r="207" spans="5:7" s="84" customFormat="1" ht="12.75" hidden="1" x14ac:dyDescent="0.25">
      <c r="E207" s="82"/>
      <c r="F207" s="86"/>
      <c r="G207" s="86"/>
    </row>
    <row r="208" spans="5:7" s="84" customFormat="1" ht="12.75" hidden="1" x14ac:dyDescent="0.25">
      <c r="E208" s="82"/>
      <c r="F208" s="86"/>
      <c r="G208" s="86"/>
    </row>
    <row r="209" spans="3:8" s="84" customFormat="1" ht="12.75" hidden="1" x14ac:dyDescent="0.25">
      <c r="E209" s="82"/>
      <c r="F209" s="86"/>
      <c r="G209" s="86"/>
    </row>
    <row r="210" spans="3:8" s="84" customFormat="1" ht="12.75" hidden="1" x14ac:dyDescent="0.25">
      <c r="E210" s="82"/>
      <c r="F210" s="86"/>
      <c r="G210" s="86"/>
    </row>
    <row r="211" spans="3:8" s="84" customFormat="1" ht="12.75" hidden="1" x14ac:dyDescent="0.25">
      <c r="E211" s="82"/>
      <c r="F211" s="86"/>
      <c r="G211" s="86"/>
    </row>
    <row r="212" spans="3:8" s="84" customFormat="1" ht="12.75" hidden="1" x14ac:dyDescent="0.25">
      <c r="E212" s="82"/>
      <c r="F212" s="86"/>
      <c r="G212" s="86"/>
    </row>
    <row r="213" spans="3:8" s="84" customFormat="1" ht="12.75" hidden="1" x14ac:dyDescent="0.25">
      <c r="E213" s="82"/>
      <c r="F213" s="86"/>
      <c r="G213" s="86"/>
    </row>
    <row r="214" spans="3:8" s="84" customFormat="1" hidden="1" x14ac:dyDescent="0.25">
      <c r="E214" s="82"/>
      <c r="F214" s="87"/>
      <c r="G214" s="58"/>
      <c r="H214" s="5"/>
    </row>
    <row r="215" spans="3:8" hidden="1" x14ac:dyDescent="0.25">
      <c r="C215" s="86"/>
      <c r="D215" s="86"/>
      <c r="F215" s="87"/>
    </row>
    <row r="216" spans="3:8" hidden="1" x14ac:dyDescent="0.25"/>
    <row r="217" spans="3:8" hidden="1" x14ac:dyDescent="0.25"/>
    <row r="218" spans="3:8" hidden="1" x14ac:dyDescent="0.25"/>
    <row r="219" spans="3:8" hidden="1" x14ac:dyDescent="0.25"/>
    <row r="220" spans="3:8" hidden="1" x14ac:dyDescent="0.25"/>
    <row r="221" spans="3:8" hidden="1" x14ac:dyDescent="0.25"/>
    <row r="222" spans="3:8" hidden="1" x14ac:dyDescent="0.25"/>
    <row r="223" spans="3:8" hidden="1" x14ac:dyDescent="0.25"/>
    <row r="224" spans="3:8"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sheetData>
  <mergeCells count="6">
    <mergeCell ref="C1:D1"/>
    <mergeCell ref="E1:F1"/>
    <mergeCell ref="C2:D2"/>
    <mergeCell ref="E2:F2"/>
    <mergeCell ref="C3:D3"/>
    <mergeCell ref="E3:F3"/>
  </mergeCells>
  <conditionalFormatting sqref="D7:D12">
    <cfRule type="cellIs" dxfId="117" priority="2" stopIfTrue="1" operator="greaterThan">
      <formula>50</formula>
    </cfRule>
    <cfRule type="cellIs" dxfId="116" priority="11" stopIfTrue="1" operator="equal">
      <formula>0</formula>
    </cfRule>
  </conditionalFormatting>
  <conditionalFormatting sqref="D7:D61">
    <cfRule type="cellIs" dxfId="115" priority="9" stopIfTrue="1" operator="between">
      <formula>-0.1</formula>
      <formula>-50</formula>
    </cfRule>
    <cfRule type="cellIs" dxfId="114" priority="10" stopIfTrue="1" operator="between">
      <formula>0.1</formula>
      <formula>50</formula>
    </cfRule>
  </conditionalFormatting>
  <conditionalFormatting sqref="G152:G181 G7:G150">
    <cfRule type="cellIs" dxfId="113" priority="7" stopIfTrue="1" operator="between">
      <formula>-0.1</formula>
      <formula>-50</formula>
    </cfRule>
    <cfRule type="cellIs" dxfId="112" priority="8" stopIfTrue="1" operator="between">
      <formula>0.1</formula>
      <formula>50</formula>
    </cfRule>
  </conditionalFormatting>
  <conditionalFormatting sqref="D111:D155">
    <cfRule type="cellIs" dxfId="111" priority="5" stopIfTrue="1" operator="between">
      <formula>-0.1</formula>
      <formula>-50</formula>
    </cfRule>
    <cfRule type="cellIs" dxfId="110" priority="6" stopIfTrue="1" operator="between">
      <formula>0.1</formula>
      <formula>50</formula>
    </cfRule>
  </conditionalFormatting>
  <conditionalFormatting sqref="G165">
    <cfRule type="expression" dxfId="109" priority="4" stopIfTrue="1">
      <formula>AND($G$165&gt;0,$G$151&gt;0)</formula>
    </cfRule>
  </conditionalFormatting>
  <conditionalFormatting sqref="G151">
    <cfRule type="expression" dxfId="108" priority="1" stopIfTrue="1">
      <formula>AND($G$151&gt;0,$G$165&gt;0)</formula>
    </cfRule>
  </conditionalFormatting>
  <dataValidations count="11">
    <dataValidation type="custom" operator="greaterThan" showInputMessage="1" showErrorMessage="1" errorTitle="RDM" error="No se admite ingresar RDM como ingresos y egresos a la vez. Tampoco se admiten valores menores a $50._x000a_" sqref="G151">
      <formula1>AND(OR(G151=0, G151&gt;50),G165=0)</formula1>
    </dataValidation>
    <dataValidation type="whole" operator="greaterThan" allowBlank="1" showInputMessage="1" showErrorMessage="1" sqref="D8:D12">
      <formula1>50</formula1>
    </dataValidation>
    <dataValidation type="whole" operator="greaterThan" showInputMessage="1" showErrorMessage="1" errorTitle="eee" error="Valores mayores a $50" sqref="D7">
      <formula1>50</formula1>
    </dataValidation>
    <dataValidation type="custom" operator="greaterThan" showInputMessage="1" showErrorMessage="1" errorTitle="eee" sqref="D56">
      <formula1>OR(D56=0, D56&lt;50)</formula1>
    </dataValidation>
    <dataValidation type="custom" operator="greaterThan" showInputMessage="1" showErrorMessage="1" errorTitle="eee" sqref="D57:D61">
      <formula1>OR(D57=0, D57&lt;0)</formula1>
    </dataValidation>
    <dataValidation type="custom" operator="greaterThan" showInputMessage="1" showErrorMessage="1" errorTitle="eee" sqref="G7:G140 D62:D155 G152:G164 G166:G181 G144:G150 D13:D55">
      <formula1>OR(D7=0, D7&gt;50)</formula1>
    </dataValidation>
    <dataValidation type="whole" allowBlank="1" showErrorMessage="1" errorTitle="Error de datos" error="Debe ingresar un valor entre 1 y 12" sqref="G1:G3">
      <formula1>1</formula1>
      <formula2>12</formula2>
    </dataValidation>
    <dataValidation allowBlank="1" errorTitle="Error de datos" error="Debe introducir una fecha válida" sqref="E3"/>
    <dataValidation allowBlank="1" sqref="G204"/>
    <dataValidation operator="greaterThanOrEqual" allowBlank="1" errorTitle="Error de datos" error="Debe ingresar un valor entero positivo" sqref="F6:F107 F203 C13:C47 C106:C153 F171 F174:F178 F180 F111:F119 C7:C10 F121:F140 F143:F169 C49:C62 C155 F109"/>
    <dataValidation type="custom" operator="greaterThan" showInputMessage="1" showErrorMessage="1" errorTitle="rdm2" error="No se admite ingresar a la vez RDM como ingresos y como egresos. Tampoco se admiten valores negattivos o positivos menores de 50" sqref="G165">
      <formula1>AND(OR(G165=0, G165&gt;50),G151=0)</formula1>
    </dataValidation>
  </dataValidations>
  <pageMargins left="0.7" right="0.7" top="0.75" bottom="0.75" header="0.3" footer="0.3"/>
  <ignoredErrors>
    <ignoredError sqref="E7:E181" numberStoredAsText="1"/>
    <ignoredError sqref="D18:D19 D27:D33 D42:D46 D50 D124 D135 D145 G28:G30 G50 G58:G77 G97:G99 G121:G138 G151:G152 G159" unlockedFormula="1"/>
    <ignoredError sqref="G40" formulaRange="1"/>
  </ignoredErrors>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26"/>
  <sheetViews>
    <sheetView showGridLines="0" workbookViewId="0">
      <selection activeCell="F4" sqref="F4"/>
    </sheetView>
  </sheetViews>
  <sheetFormatPr baseColWidth="10" defaultColWidth="0" defaultRowHeight="15" zeroHeight="1" x14ac:dyDescent="0.25"/>
  <cols>
    <col min="1" max="1" width="3.7109375" style="1" customWidth="1"/>
    <col min="2" max="2" width="14.28515625" style="7" hidden="1" customWidth="1"/>
    <col min="3" max="3" width="58.85546875" style="58" customWidth="1"/>
    <col min="4" max="4" width="25.140625" style="58" customWidth="1"/>
    <col min="5" max="5" width="5.85546875" style="82" customWidth="1"/>
    <col min="6" max="6" width="57.28515625" style="58" customWidth="1"/>
    <col min="7" max="7" width="24.7109375" style="58" customWidth="1"/>
    <col min="8" max="8" width="5.42578125" style="5" customWidth="1"/>
    <col min="9" max="16384" width="0" style="5" hidden="1"/>
  </cols>
  <sheetData>
    <row r="1" spans="1:9" ht="15.75" x14ac:dyDescent="0.25">
      <c r="B1" s="2"/>
      <c r="C1" s="313" t="s">
        <v>0</v>
      </c>
      <c r="D1" s="314"/>
      <c r="E1" s="315" t="str">
        <f>[26]Presentacion!C2</f>
        <v>CAMY</v>
      </c>
      <c r="F1" s="315"/>
      <c r="G1" s="3"/>
      <c r="H1" s="4"/>
    </row>
    <row r="2" spans="1:9" ht="15.75" x14ac:dyDescent="0.25">
      <c r="B2" s="6"/>
      <c r="C2" s="313" t="s">
        <v>1</v>
      </c>
      <c r="D2" s="314"/>
      <c r="E2" s="315" t="str">
        <f>[26]Presentacion!C3</f>
        <v>Rio Negro</v>
      </c>
      <c r="F2" s="315"/>
      <c r="G2" s="3"/>
      <c r="H2" s="4"/>
    </row>
    <row r="3" spans="1:9" ht="15.75" x14ac:dyDescent="0.25">
      <c r="B3" s="6"/>
      <c r="C3" s="313" t="s">
        <v>2</v>
      </c>
      <c r="D3" s="316"/>
      <c r="E3" s="317" t="s">
        <v>3</v>
      </c>
      <c r="F3" s="317"/>
      <c r="G3" s="3"/>
      <c r="H3" s="4"/>
    </row>
    <row r="4" spans="1:9" ht="15.75" thickBot="1" x14ac:dyDescent="0.3">
      <c r="C4" s="287"/>
      <c r="D4" s="8"/>
      <c r="E4" s="9"/>
      <c r="F4" s="10"/>
      <c r="G4" s="11"/>
    </row>
    <row r="5" spans="1:9" ht="16.5" thickBot="1" x14ac:dyDescent="0.3">
      <c r="B5" s="12"/>
      <c r="C5" s="13" t="s">
        <v>4</v>
      </c>
      <c r="D5" s="284" t="s">
        <v>5</v>
      </c>
      <c r="E5" s="14"/>
      <c r="F5" s="13" t="s">
        <v>6</v>
      </c>
      <c r="G5" s="284" t="s">
        <v>5</v>
      </c>
      <c r="I5" s="15"/>
    </row>
    <row r="6" spans="1:9" ht="16.5" thickBot="1" x14ac:dyDescent="0.3">
      <c r="B6" s="12"/>
      <c r="C6" s="16" t="s">
        <v>7</v>
      </c>
      <c r="D6" s="290">
        <f>+[26]E.S.P.!D6</f>
        <v>2020</v>
      </c>
      <c r="E6" s="18"/>
      <c r="F6" s="16" t="s">
        <v>8</v>
      </c>
      <c r="G6" s="290">
        <f>+D6</f>
        <v>2020</v>
      </c>
      <c r="H6" s="15"/>
    </row>
    <row r="7" spans="1:9" x14ac:dyDescent="0.25">
      <c r="B7" s="6" t="s">
        <v>9</v>
      </c>
      <c r="C7" s="19" t="s">
        <v>10</v>
      </c>
      <c r="D7" s="20">
        <v>4030104</v>
      </c>
      <c r="E7" s="21" t="s">
        <v>11</v>
      </c>
      <c r="F7" s="22" t="s">
        <v>12</v>
      </c>
      <c r="G7" s="23">
        <v>1854057</v>
      </c>
    </row>
    <row r="8" spans="1:9" x14ac:dyDescent="0.25">
      <c r="B8" s="6" t="s">
        <v>13</v>
      </c>
      <c r="C8" s="19" t="s">
        <v>14</v>
      </c>
      <c r="D8" s="20">
        <f>80578+4483533</f>
        <v>4564111</v>
      </c>
      <c r="E8" s="21" t="s">
        <v>15</v>
      </c>
      <c r="F8" s="19" t="s">
        <v>16</v>
      </c>
      <c r="G8" s="24">
        <f>57842923+4</f>
        <v>57842927</v>
      </c>
    </row>
    <row r="9" spans="1:9" x14ac:dyDescent="0.25">
      <c r="B9" s="6" t="s">
        <v>17</v>
      </c>
      <c r="C9" s="19" t="s">
        <v>18</v>
      </c>
      <c r="D9" s="20">
        <v>216577292</v>
      </c>
      <c r="E9" s="21" t="s">
        <v>19</v>
      </c>
      <c r="F9" s="19" t="s">
        <v>20</v>
      </c>
      <c r="G9" s="20"/>
    </row>
    <row r="10" spans="1:9" x14ac:dyDescent="0.25">
      <c r="B10" s="6" t="s">
        <v>21</v>
      </c>
      <c r="C10" s="19" t="s">
        <v>22</v>
      </c>
      <c r="D10" s="20">
        <v>22151265</v>
      </c>
      <c r="E10" s="21" t="s">
        <v>23</v>
      </c>
      <c r="F10" s="19" t="s">
        <v>24</v>
      </c>
      <c r="G10" s="20">
        <v>6513606</v>
      </c>
    </row>
    <row r="11" spans="1:9" x14ac:dyDescent="0.25">
      <c r="B11" s="6" t="s">
        <v>25</v>
      </c>
      <c r="C11" s="19" t="s">
        <v>26</v>
      </c>
      <c r="D11" s="20">
        <v>3700279</v>
      </c>
      <c r="E11" s="21" t="s">
        <v>27</v>
      </c>
      <c r="F11" s="19" t="s">
        <v>28</v>
      </c>
      <c r="G11" s="20"/>
    </row>
    <row r="12" spans="1:9" x14ac:dyDescent="0.25">
      <c r="B12" s="6" t="s">
        <v>29</v>
      </c>
      <c r="C12" s="19" t="s">
        <v>30</v>
      </c>
      <c r="D12" s="20">
        <v>4909883</v>
      </c>
      <c r="E12" s="21" t="s">
        <v>31</v>
      </c>
      <c r="F12" s="19" t="s">
        <v>32</v>
      </c>
      <c r="G12" s="20">
        <v>26882901</v>
      </c>
    </row>
    <row r="13" spans="1:9" x14ac:dyDescent="0.25">
      <c r="B13" s="6" t="s">
        <v>33</v>
      </c>
      <c r="C13" s="19" t="s">
        <v>34</v>
      </c>
      <c r="D13" s="20"/>
      <c r="E13" s="21" t="s">
        <v>35</v>
      </c>
      <c r="F13" s="19" t="s">
        <v>36</v>
      </c>
      <c r="G13" s="20"/>
    </row>
    <row r="14" spans="1:9" x14ac:dyDescent="0.25">
      <c r="A14" s="25"/>
      <c r="B14" s="6" t="s">
        <v>37</v>
      </c>
      <c r="C14" s="19" t="s">
        <v>38</v>
      </c>
      <c r="D14" s="20"/>
      <c r="E14" s="21" t="s">
        <v>39</v>
      </c>
      <c r="F14" s="19" t="s">
        <v>40</v>
      </c>
      <c r="G14" s="20">
        <v>30330379</v>
      </c>
    </row>
    <row r="15" spans="1:9" x14ac:dyDescent="0.25">
      <c r="B15" s="6" t="s">
        <v>41</v>
      </c>
      <c r="C15" s="26" t="s">
        <v>42</v>
      </c>
      <c r="D15" s="20"/>
      <c r="E15" s="21" t="s">
        <v>43</v>
      </c>
      <c r="F15" s="19" t="s">
        <v>44</v>
      </c>
      <c r="G15" s="20"/>
    </row>
    <row r="16" spans="1:9" x14ac:dyDescent="0.25">
      <c r="B16" s="6" t="s">
        <v>45</v>
      </c>
      <c r="C16" s="19" t="s">
        <v>46</v>
      </c>
      <c r="D16" s="20"/>
      <c r="E16" s="21" t="s">
        <v>47</v>
      </c>
      <c r="F16" s="19" t="s">
        <v>48</v>
      </c>
      <c r="G16" s="20">
        <f>8254292+53146</f>
        <v>8307438</v>
      </c>
    </row>
    <row r="17" spans="1:7" x14ac:dyDescent="0.25">
      <c r="B17" s="6" t="s">
        <v>49</v>
      </c>
      <c r="C17" s="19" t="s">
        <v>50</v>
      </c>
      <c r="D17" s="20"/>
      <c r="E17" s="21" t="s">
        <v>51</v>
      </c>
      <c r="F17" s="19" t="s">
        <v>52</v>
      </c>
      <c r="G17" s="20"/>
    </row>
    <row r="18" spans="1:7" x14ac:dyDescent="0.25">
      <c r="A18" s="25"/>
      <c r="B18" s="6" t="s">
        <v>53</v>
      </c>
      <c r="C18" s="19" t="s">
        <v>54</v>
      </c>
      <c r="D18" s="20"/>
      <c r="E18" s="21" t="s">
        <v>55</v>
      </c>
      <c r="F18" s="19" t="s">
        <v>56</v>
      </c>
      <c r="G18" s="27">
        <v>6375795</v>
      </c>
    </row>
    <row r="19" spans="1:7" ht="15.75" thickBot="1" x14ac:dyDescent="0.3">
      <c r="A19" s="25"/>
      <c r="B19" s="6" t="s">
        <v>57</v>
      </c>
      <c r="C19" s="19" t="s">
        <v>58</v>
      </c>
      <c r="D19" s="20">
        <f>12387154</f>
        <v>12387154</v>
      </c>
      <c r="E19" s="21"/>
      <c r="F19" s="28" t="s">
        <v>59</v>
      </c>
      <c r="G19" s="29">
        <f>SUM(G7:G18)</f>
        <v>138107103</v>
      </c>
    </row>
    <row r="20" spans="1:7" ht="15.75" thickBot="1" x14ac:dyDescent="0.3">
      <c r="B20" s="6"/>
      <c r="C20" s="28" t="s">
        <v>60</v>
      </c>
      <c r="D20" s="29">
        <f>SUM(D7:D19)</f>
        <v>268320088</v>
      </c>
      <c r="E20" s="21" t="s">
        <v>61</v>
      </c>
      <c r="F20" s="22" t="s">
        <v>62</v>
      </c>
      <c r="G20" s="23"/>
    </row>
    <row r="21" spans="1:7" x14ac:dyDescent="0.25">
      <c r="B21" s="6"/>
      <c r="C21" s="30" t="s">
        <v>63</v>
      </c>
      <c r="D21" s="31">
        <f>SUM(D22:D28)</f>
        <v>2780880</v>
      </c>
      <c r="E21" s="21" t="s">
        <v>64</v>
      </c>
      <c r="F21" s="19" t="s">
        <v>65</v>
      </c>
      <c r="G21" s="20"/>
    </row>
    <row r="22" spans="1:7" x14ac:dyDescent="0.25">
      <c r="B22" s="6" t="s">
        <v>66</v>
      </c>
      <c r="C22" s="19" t="s">
        <v>67</v>
      </c>
      <c r="D22" s="20">
        <f>2780880-D24-D26-D27-D28</f>
        <v>1986527</v>
      </c>
      <c r="E22" s="21" t="s">
        <v>68</v>
      </c>
      <c r="F22" s="19" t="s">
        <v>69</v>
      </c>
      <c r="G22" s="20"/>
    </row>
    <row r="23" spans="1:7" x14ac:dyDescent="0.25">
      <c r="B23" s="6" t="s">
        <v>70</v>
      </c>
      <c r="C23" s="19" t="s">
        <v>71</v>
      </c>
      <c r="D23" s="20"/>
      <c r="E23" s="21" t="s">
        <v>72</v>
      </c>
      <c r="F23" s="19" t="s">
        <v>73</v>
      </c>
      <c r="G23" s="20">
        <f>12403223-G26</f>
        <v>11830621</v>
      </c>
    </row>
    <row r="24" spans="1:7" x14ac:dyDescent="0.25">
      <c r="B24" s="6" t="s">
        <v>74</v>
      </c>
      <c r="C24" s="19" t="s">
        <v>75</v>
      </c>
      <c r="D24" s="20">
        <v>577178</v>
      </c>
      <c r="E24" s="21" t="s">
        <v>76</v>
      </c>
      <c r="F24" s="19" t="s">
        <v>77</v>
      </c>
      <c r="G24" s="20"/>
    </row>
    <row r="25" spans="1:7" x14ac:dyDescent="0.25">
      <c r="B25" s="6" t="s">
        <v>78</v>
      </c>
      <c r="C25" s="19" t="s">
        <v>79</v>
      </c>
      <c r="D25" s="20"/>
      <c r="E25" s="21" t="s">
        <v>80</v>
      </c>
      <c r="F25" s="19" t="s">
        <v>81</v>
      </c>
      <c r="G25" s="20"/>
    </row>
    <row r="26" spans="1:7" x14ac:dyDescent="0.25">
      <c r="B26" s="6" t="s">
        <v>82</v>
      </c>
      <c r="C26" s="19" t="s">
        <v>83</v>
      </c>
      <c r="D26" s="20">
        <v>80370</v>
      </c>
      <c r="E26" s="21" t="s">
        <v>84</v>
      </c>
      <c r="F26" s="19" t="s">
        <v>85</v>
      </c>
      <c r="G26" s="27">
        <v>572602</v>
      </c>
    </row>
    <row r="27" spans="1:7" ht="15.75" thickBot="1" x14ac:dyDescent="0.3">
      <c r="B27" s="6" t="s">
        <v>86</v>
      </c>
      <c r="C27" s="19" t="s">
        <v>87</v>
      </c>
      <c r="D27" s="20">
        <v>8424</v>
      </c>
      <c r="E27" s="21"/>
      <c r="F27" s="28" t="s">
        <v>88</v>
      </c>
      <c r="G27" s="29">
        <f>SUM(G20:G26)</f>
        <v>12403223</v>
      </c>
    </row>
    <row r="28" spans="1:7" x14ac:dyDescent="0.25">
      <c r="B28" s="6" t="s">
        <v>89</v>
      </c>
      <c r="C28" s="19" t="s">
        <v>90</v>
      </c>
      <c r="D28" s="20">
        <v>128381</v>
      </c>
      <c r="E28" s="21" t="s">
        <v>91</v>
      </c>
      <c r="F28" s="22" t="s">
        <v>92</v>
      </c>
      <c r="G28" s="23">
        <f>21101220+40968+5015662</f>
        <v>26157850</v>
      </c>
    </row>
    <row r="29" spans="1:7" x14ac:dyDescent="0.25">
      <c r="B29" s="6"/>
      <c r="C29" s="32" t="s">
        <v>93</v>
      </c>
      <c r="D29" s="31">
        <f>SUM(D30:D34)</f>
        <v>10133941</v>
      </c>
      <c r="E29" s="21" t="s">
        <v>94</v>
      </c>
      <c r="F29" s="19" t="s">
        <v>95</v>
      </c>
      <c r="G29" s="20">
        <v>6681535</v>
      </c>
    </row>
    <row r="30" spans="1:7" x14ac:dyDescent="0.25">
      <c r="B30" s="6" t="s">
        <v>96</v>
      </c>
      <c r="C30" s="19" t="s">
        <v>97</v>
      </c>
      <c r="D30" s="20">
        <v>9666102</v>
      </c>
      <c r="E30" s="21" t="s">
        <v>98</v>
      </c>
      <c r="F30" s="19" t="s">
        <v>99</v>
      </c>
      <c r="G30" s="20">
        <v>2390224</v>
      </c>
    </row>
    <row r="31" spans="1:7" x14ac:dyDescent="0.25">
      <c r="B31" s="6" t="s">
        <v>100</v>
      </c>
      <c r="C31" s="19" t="s">
        <v>101</v>
      </c>
      <c r="D31" s="20"/>
      <c r="E31" s="21" t="s">
        <v>102</v>
      </c>
      <c r="F31" s="19" t="s">
        <v>103</v>
      </c>
      <c r="G31" s="27">
        <v>1705113</v>
      </c>
    </row>
    <row r="32" spans="1:7" ht="15.75" thickBot="1" x14ac:dyDescent="0.3">
      <c r="B32" s="6" t="s">
        <v>104</v>
      </c>
      <c r="C32" s="19" t="s">
        <v>105</v>
      </c>
      <c r="D32" s="20"/>
      <c r="E32" s="21"/>
      <c r="F32" s="28" t="s">
        <v>106</v>
      </c>
      <c r="G32" s="29">
        <f>SUM(G28:G31)</f>
        <v>36934722</v>
      </c>
    </row>
    <row r="33" spans="2:7" x14ac:dyDescent="0.25">
      <c r="B33" s="6" t="s">
        <v>107</v>
      </c>
      <c r="C33" s="19" t="s">
        <v>108</v>
      </c>
      <c r="D33" s="20"/>
      <c r="E33" s="21"/>
      <c r="F33" s="32" t="s">
        <v>109</v>
      </c>
      <c r="G33" s="31">
        <f>SUM(G34:G39)</f>
        <v>11273586.040000001</v>
      </c>
    </row>
    <row r="34" spans="2:7" x14ac:dyDescent="0.25">
      <c r="B34" s="6" t="s">
        <v>110</v>
      </c>
      <c r="C34" s="19" t="s">
        <v>111</v>
      </c>
      <c r="D34" s="20">
        <v>467839</v>
      </c>
      <c r="E34" s="21" t="s">
        <v>112</v>
      </c>
      <c r="F34" s="19" t="s">
        <v>113</v>
      </c>
      <c r="G34" s="20"/>
    </row>
    <row r="35" spans="2:7" ht="15.75" thickBot="1" x14ac:dyDescent="0.3">
      <c r="B35" s="6"/>
      <c r="C35" s="28" t="s">
        <v>114</v>
      </c>
      <c r="D35" s="29">
        <f>+D21+D29</f>
        <v>12914821</v>
      </c>
      <c r="E35" s="21" t="s">
        <v>115</v>
      </c>
      <c r="F35" s="19" t="s">
        <v>116</v>
      </c>
      <c r="G35" s="20"/>
    </row>
    <row r="36" spans="2:7" x14ac:dyDescent="0.25">
      <c r="B36" s="6" t="s">
        <v>117</v>
      </c>
      <c r="C36" s="19" t="s">
        <v>118</v>
      </c>
      <c r="D36" s="20"/>
      <c r="E36" s="21" t="s">
        <v>119</v>
      </c>
      <c r="F36" s="19" t="s">
        <v>120</v>
      </c>
      <c r="G36" s="20"/>
    </row>
    <row r="37" spans="2:7" x14ac:dyDescent="0.25">
      <c r="B37" s="6" t="s">
        <v>121</v>
      </c>
      <c r="C37" s="19" t="s">
        <v>122</v>
      </c>
      <c r="D37" s="20">
        <f>27056623+5304349</f>
        <v>32360972</v>
      </c>
      <c r="E37" s="21" t="s">
        <v>123</v>
      </c>
      <c r="F37" s="19" t="s">
        <v>124</v>
      </c>
      <c r="G37" s="20"/>
    </row>
    <row r="38" spans="2:7" x14ac:dyDescent="0.25">
      <c r="B38" s="6" t="s">
        <v>125</v>
      </c>
      <c r="C38" s="19" t="s">
        <v>126</v>
      </c>
      <c r="D38" s="20"/>
      <c r="E38" s="21" t="s">
        <v>127</v>
      </c>
      <c r="F38" s="19" t="s">
        <v>128</v>
      </c>
      <c r="G38" s="20"/>
    </row>
    <row r="39" spans="2:7" x14ac:dyDescent="0.25">
      <c r="B39" s="6" t="s">
        <v>129</v>
      </c>
      <c r="C39" s="19" t="s">
        <v>130</v>
      </c>
      <c r="D39" s="20"/>
      <c r="E39" s="21" t="s">
        <v>131</v>
      </c>
      <c r="F39" s="19" t="s">
        <v>132</v>
      </c>
      <c r="G39" s="20">
        <f>16578803*0.68</f>
        <v>11273586.040000001</v>
      </c>
    </row>
    <row r="40" spans="2:7" x14ac:dyDescent="0.25">
      <c r="B40" s="6" t="s">
        <v>133</v>
      </c>
      <c r="C40" s="19" t="s">
        <v>134</v>
      </c>
      <c r="D40" s="20">
        <f>1013772+519193+29848</f>
        <v>1562813</v>
      </c>
      <c r="E40" s="21"/>
      <c r="F40" s="33" t="s">
        <v>135</v>
      </c>
      <c r="G40" s="34">
        <f>SUM(G41:G46)</f>
        <v>5305217</v>
      </c>
    </row>
    <row r="41" spans="2:7" x14ac:dyDescent="0.25">
      <c r="B41" s="6" t="s">
        <v>136</v>
      </c>
      <c r="C41" s="19" t="s">
        <v>137</v>
      </c>
      <c r="D41" s="20"/>
      <c r="E41" s="21" t="s">
        <v>138</v>
      </c>
      <c r="F41" s="19" t="s">
        <v>139</v>
      </c>
      <c r="G41" s="20"/>
    </row>
    <row r="42" spans="2:7" x14ac:dyDescent="0.25">
      <c r="B42" s="6" t="s">
        <v>140</v>
      </c>
      <c r="C42" s="19" t="s">
        <v>141</v>
      </c>
      <c r="D42" s="20">
        <f>4210032+103655+57198</f>
        <v>4370885</v>
      </c>
      <c r="E42" s="21" t="s">
        <v>142</v>
      </c>
      <c r="F42" s="19" t="s">
        <v>143</v>
      </c>
      <c r="G42" s="20"/>
    </row>
    <row r="43" spans="2:7" x14ac:dyDescent="0.25">
      <c r="B43" s="6" t="s">
        <v>144</v>
      </c>
      <c r="C43" s="19" t="s">
        <v>145</v>
      </c>
      <c r="D43" s="20"/>
      <c r="E43" s="21" t="s">
        <v>146</v>
      </c>
      <c r="F43" s="19" t="s">
        <v>147</v>
      </c>
      <c r="G43" s="20">
        <f>16578803-11273586</f>
        <v>5305217</v>
      </c>
    </row>
    <row r="44" spans="2:7" x14ac:dyDescent="0.25">
      <c r="B44" s="6" t="s">
        <v>148</v>
      </c>
      <c r="C44" s="19" t="s">
        <v>149</v>
      </c>
      <c r="D44" s="20"/>
      <c r="E44" s="21" t="s">
        <v>150</v>
      </c>
      <c r="F44" s="19" t="s">
        <v>151</v>
      </c>
      <c r="G44" s="20"/>
    </row>
    <row r="45" spans="2:7" x14ac:dyDescent="0.25">
      <c r="B45" s="6" t="s">
        <v>152</v>
      </c>
      <c r="C45" s="19" t="s">
        <v>153</v>
      </c>
      <c r="D45" s="20"/>
      <c r="E45" s="21" t="s">
        <v>154</v>
      </c>
      <c r="F45" s="19" t="s">
        <v>155</v>
      </c>
      <c r="G45" s="20"/>
    </row>
    <row r="46" spans="2:7" x14ac:dyDescent="0.25">
      <c r="B46" s="6" t="s">
        <v>156</v>
      </c>
      <c r="C46" s="19" t="s">
        <v>157</v>
      </c>
      <c r="D46" s="20">
        <f>1853462</f>
        <v>1853462</v>
      </c>
      <c r="E46" s="21" t="s">
        <v>158</v>
      </c>
      <c r="F46" s="19" t="s">
        <v>159</v>
      </c>
      <c r="G46" s="20"/>
    </row>
    <row r="47" spans="2:7" ht="15.75" thickBot="1" x14ac:dyDescent="0.3">
      <c r="B47" s="6"/>
      <c r="C47" s="28" t="s">
        <v>160</v>
      </c>
      <c r="D47" s="29">
        <f>SUM(D36:D46)</f>
        <v>40148132</v>
      </c>
      <c r="E47" s="21" t="s">
        <v>161</v>
      </c>
      <c r="F47" s="19" t="s">
        <v>162</v>
      </c>
      <c r="G47" s="27">
        <v>802414</v>
      </c>
    </row>
    <row r="48" spans="2:7" ht="15.75" thickBot="1" x14ac:dyDescent="0.3">
      <c r="B48" s="6"/>
      <c r="C48" s="35" t="s">
        <v>163</v>
      </c>
      <c r="D48" s="36"/>
      <c r="E48" s="21"/>
      <c r="F48" s="28" t="s">
        <v>164</v>
      </c>
      <c r="G48" s="37">
        <f>+G33+G40+G47</f>
        <v>17381217.039999999</v>
      </c>
    </row>
    <row r="49" spans="2:7" x14ac:dyDescent="0.25">
      <c r="B49" s="6" t="s">
        <v>165</v>
      </c>
      <c r="C49" s="38" t="s">
        <v>166</v>
      </c>
      <c r="D49" s="39"/>
      <c r="E49" s="21" t="s">
        <v>167</v>
      </c>
      <c r="F49" s="22" t="s">
        <v>168</v>
      </c>
      <c r="G49" s="23">
        <v>2367759</v>
      </c>
    </row>
    <row r="50" spans="2:7" x14ac:dyDescent="0.25">
      <c r="B50" s="6" t="s">
        <v>169</v>
      </c>
      <c r="C50" s="19" t="s">
        <v>163</v>
      </c>
      <c r="D50" s="20"/>
      <c r="E50" s="21" t="s">
        <v>170</v>
      </c>
      <c r="F50" s="19" t="s">
        <v>171</v>
      </c>
      <c r="G50" s="20">
        <v>9663116</v>
      </c>
    </row>
    <row r="51" spans="2:7" x14ac:dyDescent="0.25">
      <c r="B51" s="6" t="s">
        <v>172</v>
      </c>
      <c r="C51" s="19" t="s">
        <v>173</v>
      </c>
      <c r="D51" s="27"/>
      <c r="E51" s="21" t="s">
        <v>174</v>
      </c>
      <c r="F51" s="19" t="s">
        <v>175</v>
      </c>
      <c r="G51" s="20">
        <v>454251</v>
      </c>
    </row>
    <row r="52" spans="2:7" ht="15.75" thickBot="1" x14ac:dyDescent="0.3">
      <c r="B52" s="12"/>
      <c r="C52" s="28" t="s">
        <v>176</v>
      </c>
      <c r="D52" s="29">
        <f>SUM(D49:D51)</f>
        <v>0</v>
      </c>
      <c r="E52" s="21" t="s">
        <v>177</v>
      </c>
      <c r="F52" s="19" t="s">
        <v>178</v>
      </c>
      <c r="G52" s="20"/>
    </row>
    <row r="53" spans="2:7" ht="15.75" thickBot="1" x14ac:dyDescent="0.3">
      <c r="B53" s="6"/>
      <c r="C53" s="40" t="s">
        <v>179</v>
      </c>
      <c r="D53" s="41">
        <f>D20+D35+D47+D52</f>
        <v>321383041</v>
      </c>
      <c r="E53" s="21" t="s">
        <v>180</v>
      </c>
      <c r="F53" s="19" t="s">
        <v>181</v>
      </c>
      <c r="G53" s="20">
        <v>2606271</v>
      </c>
    </row>
    <row r="54" spans="2:7" x14ac:dyDescent="0.25">
      <c r="C54" s="42"/>
      <c r="D54" s="43"/>
      <c r="E54" s="21" t="s">
        <v>182</v>
      </c>
      <c r="F54" s="19" t="s">
        <v>183</v>
      </c>
      <c r="G54" s="20">
        <v>202999</v>
      </c>
    </row>
    <row r="55" spans="2:7" x14ac:dyDescent="0.25">
      <c r="C55" s="44" t="s">
        <v>184</v>
      </c>
      <c r="D55" s="45"/>
      <c r="E55" s="21" t="s">
        <v>185</v>
      </c>
      <c r="F55" s="19" t="s">
        <v>186</v>
      </c>
      <c r="G55" s="20"/>
    </row>
    <row r="56" spans="2:7" x14ac:dyDescent="0.25">
      <c r="B56" s="6" t="s">
        <v>187</v>
      </c>
      <c r="C56" s="46" t="s">
        <v>188</v>
      </c>
      <c r="D56" s="20"/>
      <c r="E56" s="21" t="s">
        <v>189</v>
      </c>
      <c r="F56" s="19" t="s">
        <v>190</v>
      </c>
      <c r="G56" s="27">
        <v>740249</v>
      </c>
    </row>
    <row r="57" spans="2:7" ht="15.75" thickBot="1" x14ac:dyDescent="0.3">
      <c r="B57" s="6" t="s">
        <v>191</v>
      </c>
      <c r="C57" s="46" t="s">
        <v>192</v>
      </c>
      <c r="D57" s="20"/>
      <c r="E57" s="21"/>
      <c r="F57" s="28" t="s">
        <v>193</v>
      </c>
      <c r="G57" s="29">
        <f>SUM(G49:G56)</f>
        <v>16034645</v>
      </c>
    </row>
    <row r="58" spans="2:7" x14ac:dyDescent="0.25">
      <c r="B58" s="6" t="s">
        <v>194</v>
      </c>
      <c r="C58" s="46" t="s">
        <v>195</v>
      </c>
      <c r="D58" s="20"/>
      <c r="E58" s="21" t="s">
        <v>196</v>
      </c>
      <c r="F58" s="22" t="s">
        <v>197</v>
      </c>
      <c r="G58" s="23"/>
    </row>
    <row r="59" spans="2:7" x14ac:dyDescent="0.25">
      <c r="B59" s="6" t="s">
        <v>198</v>
      </c>
      <c r="C59" s="19" t="s">
        <v>199</v>
      </c>
      <c r="D59" s="27"/>
      <c r="E59" s="21" t="s">
        <v>200</v>
      </c>
      <c r="F59" s="19" t="s">
        <v>201</v>
      </c>
      <c r="G59" s="20">
        <f>317544+2223491</f>
        <v>2541035</v>
      </c>
    </row>
    <row r="60" spans="2:7" ht="15.75" thickBot="1" x14ac:dyDescent="0.3">
      <c r="B60" s="6"/>
      <c r="C60" s="28" t="s">
        <v>202</v>
      </c>
      <c r="D60" s="29">
        <f>SUM(D56:D59)</f>
        <v>0</v>
      </c>
      <c r="E60" s="21" t="s">
        <v>203</v>
      </c>
      <c r="F60" s="19" t="s">
        <v>204</v>
      </c>
      <c r="G60" s="20">
        <v>3261831</v>
      </c>
    </row>
    <row r="61" spans="2:7" ht="16.5" thickBot="1" x14ac:dyDescent="0.3">
      <c r="B61" s="47"/>
      <c r="C61" s="48" t="s">
        <v>205</v>
      </c>
      <c r="D61" s="49">
        <f>D53+D60</f>
        <v>321383041</v>
      </c>
      <c r="E61" s="21" t="s">
        <v>206</v>
      </c>
      <c r="F61" s="19" t="s">
        <v>207</v>
      </c>
      <c r="G61" s="20">
        <v>1446921</v>
      </c>
    </row>
    <row r="62" spans="2:7" x14ac:dyDescent="0.25">
      <c r="B62" s="50"/>
      <c r="C62" s="51"/>
      <c r="D62" s="51"/>
      <c r="E62" s="21" t="s">
        <v>208</v>
      </c>
      <c r="F62" s="19" t="s">
        <v>209</v>
      </c>
      <c r="G62" s="20"/>
    </row>
    <row r="63" spans="2:7" x14ac:dyDescent="0.25">
      <c r="B63" s="52"/>
      <c r="C63" s="53" t="s">
        <v>8</v>
      </c>
      <c r="D63" s="53"/>
      <c r="E63" s="21" t="s">
        <v>210</v>
      </c>
      <c r="F63" s="19" t="s">
        <v>211</v>
      </c>
      <c r="G63" s="20">
        <v>2376132</v>
      </c>
    </row>
    <row r="64" spans="2:7" x14ac:dyDescent="0.25">
      <c r="B64" s="54" t="s">
        <v>212</v>
      </c>
      <c r="C64" s="55" t="s">
        <v>213</v>
      </c>
      <c r="D64" s="55">
        <f>[26]Amortizaciones!D6</f>
        <v>3190794</v>
      </c>
      <c r="E64" s="21" t="s">
        <v>214</v>
      </c>
      <c r="F64" s="19" t="s">
        <v>215</v>
      </c>
      <c r="G64" s="20"/>
    </row>
    <row r="65" spans="2:7" x14ac:dyDescent="0.25">
      <c r="B65" s="54" t="s">
        <v>216</v>
      </c>
      <c r="C65" s="55" t="s">
        <v>217</v>
      </c>
      <c r="D65" s="55">
        <f>[26]Amortizaciones!D7</f>
        <v>0</v>
      </c>
      <c r="E65" s="21" t="s">
        <v>218</v>
      </c>
      <c r="F65" s="19" t="s">
        <v>219</v>
      </c>
      <c r="G65" s="20">
        <v>193350</v>
      </c>
    </row>
    <row r="66" spans="2:7" x14ac:dyDescent="0.25">
      <c r="B66" s="54" t="s">
        <v>220</v>
      </c>
      <c r="C66" s="55" t="s">
        <v>221</v>
      </c>
      <c r="D66" s="55">
        <f>[26]Amortizaciones!D8</f>
        <v>1855058</v>
      </c>
      <c r="E66" s="21" t="s">
        <v>222</v>
      </c>
      <c r="F66" s="19" t="s">
        <v>223</v>
      </c>
      <c r="G66" s="20">
        <v>1868544</v>
      </c>
    </row>
    <row r="67" spans="2:7" x14ac:dyDescent="0.25">
      <c r="B67" s="54" t="s">
        <v>224</v>
      </c>
      <c r="C67" s="55" t="s">
        <v>225</v>
      </c>
      <c r="D67" s="55">
        <f>[26]Amortizaciones!D9</f>
        <v>0</v>
      </c>
      <c r="E67" s="21" t="s">
        <v>226</v>
      </c>
      <c r="F67" s="19" t="s">
        <v>227</v>
      </c>
      <c r="G67" s="20">
        <v>617412</v>
      </c>
    </row>
    <row r="68" spans="2:7" x14ac:dyDescent="0.25">
      <c r="B68" s="54" t="s">
        <v>228</v>
      </c>
      <c r="C68" s="55" t="s">
        <v>229</v>
      </c>
      <c r="D68" s="55">
        <f>[26]Amortizaciones!D10</f>
        <v>43695</v>
      </c>
      <c r="E68" s="21" t="s">
        <v>230</v>
      </c>
      <c r="F68" s="19" t="s">
        <v>231</v>
      </c>
      <c r="G68" s="20"/>
    </row>
    <row r="69" spans="2:7" x14ac:dyDescent="0.25">
      <c r="B69" s="54" t="s">
        <v>232</v>
      </c>
      <c r="C69" s="55" t="s">
        <v>233</v>
      </c>
      <c r="D69" s="55">
        <f>[26]Amortizaciones!D11</f>
        <v>69715</v>
      </c>
      <c r="E69" s="21" t="s">
        <v>234</v>
      </c>
      <c r="F69" s="19" t="s">
        <v>235</v>
      </c>
      <c r="G69" s="20">
        <v>559466</v>
      </c>
    </row>
    <row r="70" spans="2:7" x14ac:dyDescent="0.25">
      <c r="B70" s="54" t="s">
        <v>236</v>
      </c>
      <c r="C70" s="55" t="s">
        <v>237</v>
      </c>
      <c r="D70" s="55">
        <f>[26]Amortizaciones!D12</f>
        <v>170240</v>
      </c>
      <c r="E70" s="21" t="s">
        <v>238</v>
      </c>
      <c r="F70" s="19" t="s">
        <v>239</v>
      </c>
      <c r="G70" s="20"/>
    </row>
    <row r="71" spans="2:7" x14ac:dyDescent="0.25">
      <c r="B71" s="54" t="s">
        <v>240</v>
      </c>
      <c r="C71" s="55" t="s">
        <v>241</v>
      </c>
      <c r="D71" s="55">
        <f>[26]Amortizaciones!D13</f>
        <v>0</v>
      </c>
      <c r="E71" s="21" t="s">
        <v>242</v>
      </c>
      <c r="F71" s="19" t="s">
        <v>243</v>
      </c>
      <c r="G71" s="20"/>
    </row>
    <row r="72" spans="2:7" x14ac:dyDescent="0.25">
      <c r="B72" s="54" t="s">
        <v>244</v>
      </c>
      <c r="C72" s="55" t="s">
        <v>245</v>
      </c>
      <c r="D72" s="55">
        <f>[26]Amortizaciones!D14</f>
        <v>154811</v>
      </c>
      <c r="E72" s="21" t="s">
        <v>246</v>
      </c>
      <c r="F72" s="19" t="s">
        <v>247</v>
      </c>
      <c r="G72" s="20"/>
    </row>
    <row r="73" spans="2:7" x14ac:dyDescent="0.25">
      <c r="B73" s="54" t="s">
        <v>248</v>
      </c>
      <c r="C73" s="55" t="s">
        <v>249</v>
      </c>
      <c r="D73" s="55">
        <f>[26]Amortizaciones!D15</f>
        <v>128206</v>
      </c>
      <c r="E73" s="21" t="s">
        <v>250</v>
      </c>
      <c r="F73" s="19" t="s">
        <v>251</v>
      </c>
      <c r="G73" s="20"/>
    </row>
    <row r="74" spans="2:7" x14ac:dyDescent="0.25">
      <c r="B74" s="54" t="s">
        <v>252</v>
      </c>
      <c r="C74" s="55" t="s">
        <v>253</v>
      </c>
      <c r="D74" s="55">
        <f>[26]Amortizaciones!D16</f>
        <v>785153</v>
      </c>
      <c r="E74" s="21" t="s">
        <v>254</v>
      </c>
      <c r="F74" s="19" t="s">
        <v>255</v>
      </c>
      <c r="G74" s="20">
        <v>38597</v>
      </c>
    </row>
    <row r="75" spans="2:7" x14ac:dyDescent="0.25">
      <c r="B75" s="54" t="s">
        <v>256</v>
      </c>
      <c r="C75" s="55" t="s">
        <v>257</v>
      </c>
      <c r="D75" s="55">
        <f>[26]Amortizaciones!D17</f>
        <v>0</v>
      </c>
      <c r="E75" s="21" t="s">
        <v>258</v>
      </c>
      <c r="F75" s="19" t="s">
        <v>259</v>
      </c>
      <c r="G75" s="20">
        <v>1023082</v>
      </c>
    </row>
    <row r="76" spans="2:7" x14ac:dyDescent="0.25">
      <c r="B76" s="54" t="s">
        <v>260</v>
      </c>
      <c r="C76" s="55" t="s">
        <v>261</v>
      </c>
      <c r="D76" s="55">
        <f>[26]Amortizaciones!D18</f>
        <v>0</v>
      </c>
      <c r="E76" s="21" t="s">
        <v>262</v>
      </c>
      <c r="F76" s="19" t="s">
        <v>263</v>
      </c>
      <c r="G76" s="20">
        <v>4729889</v>
      </c>
    </row>
    <row r="77" spans="2:7" x14ac:dyDescent="0.25">
      <c r="B77" s="54" t="s">
        <v>264</v>
      </c>
      <c r="C77" s="55" t="s">
        <v>265</v>
      </c>
      <c r="D77" s="55">
        <f>SUM(D64:D76)</f>
        <v>6397672</v>
      </c>
      <c r="E77" s="21" t="s">
        <v>266</v>
      </c>
      <c r="F77" s="19" t="s">
        <v>267</v>
      </c>
      <c r="G77" s="20">
        <f>246249+4913214+217316+1101946+3221900+1326459+3135328+1485182</f>
        <v>15647594</v>
      </c>
    </row>
    <row r="78" spans="2:7" x14ac:dyDescent="0.25">
      <c r="B78" s="54"/>
      <c r="C78" s="55"/>
      <c r="D78" s="55"/>
      <c r="E78" s="21" t="s">
        <v>268</v>
      </c>
      <c r="F78" s="19" t="s">
        <v>269</v>
      </c>
      <c r="G78" s="27">
        <v>1660306</v>
      </c>
    </row>
    <row r="79" spans="2:7" ht="15.75" thickBot="1" x14ac:dyDescent="0.3">
      <c r="B79" s="54"/>
      <c r="C79" s="53" t="s">
        <v>270</v>
      </c>
      <c r="D79" s="56"/>
      <c r="E79" s="21"/>
      <c r="F79" s="28" t="s">
        <v>271</v>
      </c>
      <c r="G79" s="29">
        <f>SUM(G58:G78)</f>
        <v>35964159</v>
      </c>
    </row>
    <row r="80" spans="2:7" x14ac:dyDescent="0.25">
      <c r="B80" s="54" t="s">
        <v>272</v>
      </c>
      <c r="C80" s="55" t="s">
        <v>237</v>
      </c>
      <c r="D80" s="55">
        <f>[26]Amortizaciones!D22</f>
        <v>0</v>
      </c>
      <c r="E80" s="21" t="s">
        <v>273</v>
      </c>
      <c r="F80" s="22" t="s">
        <v>274</v>
      </c>
      <c r="G80" s="23">
        <v>3946341</v>
      </c>
    </row>
    <row r="81" spans="2:7" x14ac:dyDescent="0.25">
      <c r="B81" s="54" t="s">
        <v>275</v>
      </c>
      <c r="C81" s="55" t="s">
        <v>241</v>
      </c>
      <c r="D81" s="55">
        <f>[26]Amortizaciones!D23</f>
        <v>0</v>
      </c>
      <c r="E81" s="21" t="s">
        <v>276</v>
      </c>
      <c r="F81" s="19" t="s">
        <v>277</v>
      </c>
      <c r="G81" s="20">
        <v>215299</v>
      </c>
    </row>
    <row r="82" spans="2:7" x14ac:dyDescent="0.25">
      <c r="B82" s="54" t="s">
        <v>278</v>
      </c>
      <c r="C82" s="55" t="s">
        <v>245</v>
      </c>
      <c r="D82" s="55">
        <f>[26]Amortizaciones!D24</f>
        <v>0</v>
      </c>
      <c r="E82" s="21" t="s">
        <v>279</v>
      </c>
      <c r="F82" s="19" t="s">
        <v>280</v>
      </c>
      <c r="G82" s="20">
        <v>37796</v>
      </c>
    </row>
    <row r="83" spans="2:7" x14ac:dyDescent="0.25">
      <c r="B83" s="54" t="s">
        <v>281</v>
      </c>
      <c r="C83" s="55" t="s">
        <v>249</v>
      </c>
      <c r="D83" s="55">
        <f>[26]Amortizaciones!D25</f>
        <v>0</v>
      </c>
      <c r="E83" s="21" t="s">
        <v>282</v>
      </c>
      <c r="F83" s="19" t="s">
        <v>283</v>
      </c>
      <c r="G83" s="20">
        <v>999825</v>
      </c>
    </row>
    <row r="84" spans="2:7" x14ac:dyDescent="0.25">
      <c r="B84" s="54" t="s">
        <v>284</v>
      </c>
      <c r="C84" s="55" t="s">
        <v>285</v>
      </c>
      <c r="D84" s="55">
        <v>0</v>
      </c>
      <c r="E84" s="21" t="s">
        <v>286</v>
      </c>
      <c r="F84" s="19" t="s">
        <v>287</v>
      </c>
      <c r="G84" s="20">
        <v>1735671</v>
      </c>
    </row>
    <row r="85" spans="2:7" x14ac:dyDescent="0.25">
      <c r="B85" s="54" t="s">
        <v>288</v>
      </c>
      <c r="C85" s="55" t="s">
        <v>289</v>
      </c>
      <c r="D85" s="55">
        <f>[26]Amortizaciones!D27</f>
        <v>0</v>
      </c>
      <c r="E85" s="21" t="s">
        <v>290</v>
      </c>
      <c r="F85" s="19" t="s">
        <v>291</v>
      </c>
      <c r="G85" s="20">
        <v>124995</v>
      </c>
    </row>
    <row r="86" spans="2:7" x14ac:dyDescent="0.25">
      <c r="B86" s="54" t="s">
        <v>292</v>
      </c>
      <c r="C86" s="55" t="s">
        <v>293</v>
      </c>
      <c r="D86" s="55">
        <f>[26]Amortizaciones!D28</f>
        <v>0</v>
      </c>
      <c r="E86" s="21" t="s">
        <v>294</v>
      </c>
      <c r="F86" s="19" t="s">
        <v>295</v>
      </c>
      <c r="G86" s="20">
        <v>1420856</v>
      </c>
    </row>
    <row r="87" spans="2:7" x14ac:dyDescent="0.25">
      <c r="B87" s="54" t="s">
        <v>296</v>
      </c>
      <c r="C87" s="55" t="s">
        <v>297</v>
      </c>
      <c r="D87" s="55">
        <f>[26]Amortizaciones!D29</f>
        <v>0</v>
      </c>
      <c r="E87" s="21" t="s">
        <v>298</v>
      </c>
      <c r="F87" s="19" t="s">
        <v>299</v>
      </c>
      <c r="G87" s="20">
        <v>123929</v>
      </c>
    </row>
    <row r="88" spans="2:7" x14ac:dyDescent="0.25">
      <c r="B88" s="54" t="s">
        <v>300</v>
      </c>
      <c r="C88" s="55" t="s">
        <v>301</v>
      </c>
      <c r="D88" s="55">
        <f>[26]Amortizaciones!D30</f>
        <v>0</v>
      </c>
      <c r="E88" s="21" t="s">
        <v>302</v>
      </c>
      <c r="F88" s="19" t="s">
        <v>303</v>
      </c>
      <c r="G88" s="20">
        <v>806752</v>
      </c>
    </row>
    <row r="89" spans="2:7" x14ac:dyDescent="0.25">
      <c r="B89" s="54" t="s">
        <v>304</v>
      </c>
      <c r="C89" s="55" t="s">
        <v>213</v>
      </c>
      <c r="D89" s="55">
        <f>[26]Amortizaciones!D31</f>
        <v>0</v>
      </c>
      <c r="E89" s="21" t="s">
        <v>305</v>
      </c>
      <c r="F89" s="19" t="s">
        <v>306</v>
      </c>
      <c r="G89" s="20">
        <v>432862</v>
      </c>
    </row>
    <row r="90" spans="2:7" x14ac:dyDescent="0.25">
      <c r="B90" s="54" t="s">
        <v>307</v>
      </c>
      <c r="C90" s="55" t="s">
        <v>229</v>
      </c>
      <c r="D90" s="55">
        <f>[26]Amortizaciones!D32</f>
        <v>0</v>
      </c>
      <c r="E90" s="21" t="s">
        <v>308</v>
      </c>
      <c r="F90" s="19" t="s">
        <v>309</v>
      </c>
      <c r="G90" s="20"/>
    </row>
    <row r="91" spans="2:7" x14ac:dyDescent="0.25">
      <c r="B91" s="54" t="s">
        <v>310</v>
      </c>
      <c r="C91" s="55" t="s">
        <v>311</v>
      </c>
      <c r="D91" s="55">
        <f>SUM(D80:D90)</f>
        <v>0</v>
      </c>
      <c r="E91" s="52" t="s">
        <v>312</v>
      </c>
      <c r="F91" s="19" t="s">
        <v>313</v>
      </c>
      <c r="G91" s="20"/>
    </row>
    <row r="92" spans="2:7" x14ac:dyDescent="0.25">
      <c r="B92" s="54"/>
      <c r="C92" s="57" t="s">
        <v>314</v>
      </c>
      <c r="D92" s="55">
        <f>D77+D91</f>
        <v>6397672</v>
      </c>
      <c r="E92" s="52" t="s">
        <v>315</v>
      </c>
      <c r="F92" s="19" t="s">
        <v>316</v>
      </c>
      <c r="G92" s="20"/>
    </row>
    <row r="93" spans="2:7" x14ac:dyDescent="0.25">
      <c r="E93" s="52" t="s">
        <v>317</v>
      </c>
      <c r="F93" s="19" t="s">
        <v>318</v>
      </c>
      <c r="G93" s="20">
        <f>40304+355517</f>
        <v>395821</v>
      </c>
    </row>
    <row r="94" spans="2:7" x14ac:dyDescent="0.25">
      <c r="E94" s="52" t="s">
        <v>319</v>
      </c>
      <c r="F94" s="19" t="s">
        <v>320</v>
      </c>
      <c r="G94" s="27">
        <v>495623</v>
      </c>
    </row>
    <row r="95" spans="2:7" ht="13.5" customHeight="1" thickBot="1" x14ac:dyDescent="0.3">
      <c r="E95" s="21"/>
      <c r="F95" s="28" t="s">
        <v>321</v>
      </c>
      <c r="G95" s="29">
        <f>SUM(G80:G94)</f>
        <v>10735770</v>
      </c>
    </row>
    <row r="96" spans="2:7" x14ac:dyDescent="0.25">
      <c r="E96" s="52" t="s">
        <v>322</v>
      </c>
      <c r="F96" s="22" t="s">
        <v>323</v>
      </c>
      <c r="G96" s="23">
        <v>924244</v>
      </c>
    </row>
    <row r="97" spans="2:7" x14ac:dyDescent="0.25">
      <c r="E97" s="52" t="s">
        <v>324</v>
      </c>
      <c r="F97" s="19" t="s">
        <v>325</v>
      </c>
      <c r="G97" s="20">
        <v>865927</v>
      </c>
    </row>
    <row r="98" spans="2:7" x14ac:dyDescent="0.25">
      <c r="E98" s="52" t="s">
        <v>326</v>
      </c>
      <c r="F98" s="19" t="s">
        <v>327</v>
      </c>
      <c r="G98" s="20"/>
    </row>
    <row r="99" spans="2:7" x14ac:dyDescent="0.25">
      <c r="E99" s="52" t="s">
        <v>328</v>
      </c>
      <c r="F99" s="19" t="s">
        <v>329</v>
      </c>
      <c r="G99" s="20">
        <v>45730</v>
      </c>
    </row>
    <row r="100" spans="2:7" x14ac:dyDescent="0.25">
      <c r="E100" s="52" t="s">
        <v>330</v>
      </c>
      <c r="F100" s="19" t="s">
        <v>331</v>
      </c>
      <c r="G100" s="27">
        <v>88858</v>
      </c>
    </row>
    <row r="101" spans="2:7" ht="15.75" thickBot="1" x14ac:dyDescent="0.3">
      <c r="E101" s="21"/>
      <c r="F101" s="28" t="s">
        <v>332</v>
      </c>
      <c r="G101" s="29">
        <f>SUM(G96:G100)</f>
        <v>1924759</v>
      </c>
    </row>
    <row r="102" spans="2:7" ht="15.75" thickBot="1" x14ac:dyDescent="0.3">
      <c r="E102" s="52"/>
      <c r="F102" s="59" t="s">
        <v>333</v>
      </c>
      <c r="G102" s="60">
        <f>[26]Amortizaciones!D19</f>
        <v>6397672</v>
      </c>
    </row>
    <row r="103" spans="2:7" x14ac:dyDescent="0.25">
      <c r="E103" s="52" t="s">
        <v>334</v>
      </c>
      <c r="F103" s="19" t="s">
        <v>335</v>
      </c>
      <c r="G103" s="23"/>
    </row>
    <row r="104" spans="2:7" x14ac:dyDescent="0.25">
      <c r="E104" s="52" t="s">
        <v>336</v>
      </c>
      <c r="F104" s="61" t="s">
        <v>337</v>
      </c>
      <c r="G104" s="20"/>
    </row>
    <row r="105" spans="2:7" ht="15.75" thickBot="1" x14ac:dyDescent="0.3">
      <c r="E105" s="21"/>
      <c r="F105" s="28" t="s">
        <v>338</v>
      </c>
      <c r="G105" s="29">
        <f>SUM(G103:G104)</f>
        <v>0</v>
      </c>
    </row>
    <row r="106" spans="2:7" ht="13.7" customHeight="1" thickBot="1" x14ac:dyDescent="0.3">
      <c r="B106" s="6"/>
      <c r="C106" s="62"/>
      <c r="D106" s="62"/>
      <c r="E106" s="52"/>
      <c r="F106" s="48" t="s">
        <v>339</v>
      </c>
      <c r="G106" s="49">
        <f>G19+G27+G32+G48+G57+G79+G95+G101+G102+G105</f>
        <v>275883270.03999996</v>
      </c>
    </row>
    <row r="107" spans="2:7" ht="13.7" customHeight="1" x14ac:dyDescent="0.25">
      <c r="B107" s="6"/>
      <c r="C107" s="62"/>
      <c r="D107" s="62"/>
      <c r="E107" s="21"/>
      <c r="F107" s="63"/>
      <c r="G107" s="64"/>
    </row>
    <row r="108" spans="2:7" ht="13.7" customHeight="1" thickBot="1" x14ac:dyDescent="0.3">
      <c r="B108" s="6"/>
      <c r="C108" s="62"/>
      <c r="D108" s="62"/>
      <c r="E108" s="21"/>
    </row>
    <row r="109" spans="2:7" ht="13.7" customHeight="1" thickBot="1" x14ac:dyDescent="0.3">
      <c r="B109" s="6"/>
      <c r="C109" s="62"/>
      <c r="D109" s="62"/>
      <c r="E109" s="21"/>
      <c r="F109" s="13" t="s">
        <v>340</v>
      </c>
      <c r="G109" s="65">
        <f>D61-G106</f>
        <v>45499770.960000038</v>
      </c>
    </row>
    <row r="110" spans="2:7" ht="13.7" customHeight="1" thickBot="1" x14ac:dyDescent="0.3">
      <c r="B110" s="6"/>
      <c r="C110" s="62"/>
      <c r="D110" s="62"/>
      <c r="E110" s="21"/>
    </row>
    <row r="111" spans="2:7" ht="13.7" customHeight="1" thickBot="1" x14ac:dyDescent="0.3">
      <c r="C111" s="48" t="s">
        <v>270</v>
      </c>
      <c r="D111" s="17">
        <f>+[26]E.S.P.!D6</f>
        <v>2020</v>
      </c>
      <c r="E111" s="52"/>
      <c r="F111" s="48" t="s">
        <v>341</v>
      </c>
      <c r="G111" s="17">
        <f>+[26]E.S.P.!D6</f>
        <v>2020</v>
      </c>
    </row>
    <row r="112" spans="2:7" ht="13.7" customHeight="1" x14ac:dyDescent="0.25">
      <c r="B112" s="6" t="s">
        <v>342</v>
      </c>
      <c r="C112" s="66" t="s">
        <v>343</v>
      </c>
      <c r="D112" s="67">
        <v>4069306</v>
      </c>
      <c r="E112" s="21" t="s">
        <v>344</v>
      </c>
      <c r="F112" s="66" t="s">
        <v>309</v>
      </c>
      <c r="G112" s="67"/>
    </row>
    <row r="113" spans="2:7" ht="13.7" customHeight="1" x14ac:dyDescent="0.25">
      <c r="B113" s="6" t="s">
        <v>345</v>
      </c>
      <c r="C113" s="68" t="s">
        <v>346</v>
      </c>
      <c r="D113" s="69">
        <v>20591273</v>
      </c>
      <c r="E113" s="21" t="s">
        <v>347</v>
      </c>
      <c r="F113" s="68" t="s">
        <v>348</v>
      </c>
      <c r="G113" s="69"/>
    </row>
    <row r="114" spans="2:7" ht="13.7" customHeight="1" x14ac:dyDescent="0.25">
      <c r="B114" s="6" t="s">
        <v>349</v>
      </c>
      <c r="C114" s="68" t="s">
        <v>48</v>
      </c>
      <c r="D114" s="69"/>
      <c r="E114" s="21" t="s">
        <v>350</v>
      </c>
      <c r="F114" s="68" t="s">
        <v>351</v>
      </c>
      <c r="G114" s="69"/>
    </row>
    <row r="115" spans="2:7" ht="13.7" customHeight="1" x14ac:dyDescent="0.25">
      <c r="B115" s="6" t="s">
        <v>352</v>
      </c>
      <c r="C115" s="68" t="s">
        <v>353</v>
      </c>
      <c r="D115" s="69"/>
      <c r="E115" s="21" t="s">
        <v>354</v>
      </c>
      <c r="F115" s="68" t="s">
        <v>355</v>
      </c>
      <c r="G115" s="69"/>
    </row>
    <row r="116" spans="2:7" ht="13.7" customHeight="1" x14ac:dyDescent="0.25">
      <c r="B116" s="6" t="s">
        <v>356</v>
      </c>
      <c r="C116" s="68" t="s">
        <v>357</v>
      </c>
      <c r="D116" s="69"/>
      <c r="E116" s="21" t="s">
        <v>358</v>
      </c>
      <c r="F116" s="68" t="s">
        <v>359</v>
      </c>
      <c r="G116" s="69"/>
    </row>
    <row r="117" spans="2:7" ht="13.7" customHeight="1" x14ac:dyDescent="0.25">
      <c r="B117" s="6" t="s">
        <v>360</v>
      </c>
      <c r="C117" s="68" t="s">
        <v>361</v>
      </c>
      <c r="D117" s="69"/>
      <c r="E117" s="21" t="s">
        <v>362</v>
      </c>
      <c r="F117" s="68" t="s">
        <v>363</v>
      </c>
      <c r="G117" s="69"/>
    </row>
    <row r="118" spans="2:7" ht="13.7" customHeight="1" x14ac:dyDescent="0.25">
      <c r="B118" s="6" t="s">
        <v>364</v>
      </c>
      <c r="C118" s="68" t="s">
        <v>365</v>
      </c>
      <c r="D118" s="69"/>
      <c r="E118" s="21" t="s">
        <v>366</v>
      </c>
      <c r="F118" s="68" t="s">
        <v>367</v>
      </c>
      <c r="G118" s="69"/>
    </row>
    <row r="119" spans="2:7" ht="13.7" customHeight="1" x14ac:dyDescent="0.25">
      <c r="B119" s="6" t="s">
        <v>368</v>
      </c>
      <c r="C119" s="68" t="s">
        <v>369</v>
      </c>
      <c r="D119" s="69"/>
      <c r="E119" s="21" t="s">
        <v>370</v>
      </c>
      <c r="F119" s="68" t="s">
        <v>371</v>
      </c>
      <c r="G119" s="69"/>
    </row>
    <row r="120" spans="2:7" ht="13.7" customHeight="1" x14ac:dyDescent="0.25">
      <c r="B120" s="6" t="s">
        <v>372</v>
      </c>
      <c r="C120" s="68" t="s">
        <v>373</v>
      </c>
      <c r="D120" s="69"/>
      <c r="E120" s="21" t="s">
        <v>374</v>
      </c>
      <c r="F120" s="68" t="s">
        <v>375</v>
      </c>
      <c r="G120" s="69"/>
    </row>
    <row r="121" spans="2:7" ht="13.7" customHeight="1" x14ac:dyDescent="0.25">
      <c r="B121" s="6" t="s">
        <v>376</v>
      </c>
      <c r="C121" s="19" t="s">
        <v>377</v>
      </c>
      <c r="D121" s="69">
        <v>1193572</v>
      </c>
      <c r="E121" s="21" t="s">
        <v>378</v>
      </c>
      <c r="F121" s="68" t="s">
        <v>379</v>
      </c>
      <c r="G121" s="69"/>
    </row>
    <row r="122" spans="2:7" ht="13.7" customHeight="1" thickBot="1" x14ac:dyDescent="0.3">
      <c r="B122" s="6"/>
      <c r="C122" s="28" t="s">
        <v>380</v>
      </c>
      <c r="D122" s="37">
        <f>SUM(D112:D121)</f>
        <v>25854151</v>
      </c>
      <c r="E122" s="21" t="s">
        <v>381</v>
      </c>
      <c r="F122" s="19" t="s">
        <v>382</v>
      </c>
      <c r="G122" s="20"/>
    </row>
    <row r="123" spans="2:7" ht="13.7" customHeight="1" thickBot="1" x14ac:dyDescent="0.3">
      <c r="B123" s="6" t="s">
        <v>383</v>
      </c>
      <c r="C123" s="70" t="s">
        <v>309</v>
      </c>
      <c r="D123" s="67">
        <v>654010</v>
      </c>
      <c r="E123" s="52"/>
      <c r="F123" s="28" t="s">
        <v>384</v>
      </c>
      <c r="G123" s="37">
        <f>SUM(G112:G122)</f>
        <v>0</v>
      </c>
    </row>
    <row r="124" spans="2:7" ht="13.7" customHeight="1" x14ac:dyDescent="0.25">
      <c r="B124" s="6" t="s">
        <v>385</v>
      </c>
      <c r="C124" s="68" t="s">
        <v>313</v>
      </c>
      <c r="D124" s="69"/>
      <c r="E124" s="21" t="s">
        <v>386</v>
      </c>
      <c r="F124" s="68" t="s">
        <v>387</v>
      </c>
      <c r="G124" s="69"/>
    </row>
    <row r="125" spans="2:7" ht="13.7" customHeight="1" x14ac:dyDescent="0.25">
      <c r="B125" s="6" t="s">
        <v>388</v>
      </c>
      <c r="C125" s="19" t="s">
        <v>389</v>
      </c>
      <c r="D125" s="69">
        <v>31654</v>
      </c>
      <c r="E125" s="21" t="s">
        <v>390</v>
      </c>
      <c r="F125" s="68" t="s">
        <v>391</v>
      </c>
      <c r="G125" s="69"/>
    </row>
    <row r="126" spans="2:7" ht="13.7" customHeight="1" thickBot="1" x14ac:dyDescent="0.3">
      <c r="B126" s="6"/>
      <c r="C126" s="28" t="s">
        <v>392</v>
      </c>
      <c r="D126" s="37">
        <f>SUM(D123:D125)</f>
        <v>685664</v>
      </c>
      <c r="E126" s="21" t="s">
        <v>393</v>
      </c>
      <c r="F126" s="68" t="s">
        <v>394</v>
      </c>
      <c r="G126" s="69"/>
    </row>
    <row r="127" spans="2:7" ht="13.7" customHeight="1" x14ac:dyDescent="0.25">
      <c r="B127" s="6" t="s">
        <v>395</v>
      </c>
      <c r="C127" s="66" t="s">
        <v>274</v>
      </c>
      <c r="D127" s="67">
        <v>148011</v>
      </c>
      <c r="E127" s="21" t="s">
        <v>396</v>
      </c>
      <c r="F127" s="68" t="s">
        <v>397</v>
      </c>
      <c r="G127" s="69"/>
    </row>
    <row r="128" spans="2:7" ht="13.7" customHeight="1" x14ac:dyDescent="0.25">
      <c r="B128" s="6" t="s">
        <v>398</v>
      </c>
      <c r="C128" s="68" t="s">
        <v>399</v>
      </c>
      <c r="D128" s="69">
        <v>276887</v>
      </c>
      <c r="E128" s="21" t="s">
        <v>400</v>
      </c>
      <c r="F128" s="68" t="s">
        <v>401</v>
      </c>
      <c r="G128" s="69"/>
    </row>
    <row r="129" spans="2:7" ht="13.7" customHeight="1" x14ac:dyDescent="0.25">
      <c r="B129" s="6" t="s">
        <v>402</v>
      </c>
      <c r="C129" s="68" t="s">
        <v>277</v>
      </c>
      <c r="D129" s="69">
        <v>143474</v>
      </c>
      <c r="E129" s="21" t="s">
        <v>403</v>
      </c>
      <c r="F129" s="68" t="s">
        <v>404</v>
      </c>
      <c r="G129" s="69"/>
    </row>
    <row r="130" spans="2:7" ht="13.7" customHeight="1" x14ac:dyDescent="0.25">
      <c r="B130" s="6" t="s">
        <v>405</v>
      </c>
      <c r="C130" s="68" t="s">
        <v>283</v>
      </c>
      <c r="D130" s="69"/>
      <c r="E130" s="21" t="s">
        <v>406</v>
      </c>
      <c r="F130" s="68" t="s">
        <v>407</v>
      </c>
      <c r="G130" s="69"/>
    </row>
    <row r="131" spans="2:7" ht="13.7" customHeight="1" x14ac:dyDescent="0.25">
      <c r="B131" s="6" t="s">
        <v>408</v>
      </c>
      <c r="C131" s="68" t="s">
        <v>287</v>
      </c>
      <c r="D131" s="69"/>
      <c r="E131" s="21" t="s">
        <v>409</v>
      </c>
      <c r="F131" s="68" t="s">
        <v>410</v>
      </c>
      <c r="G131" s="69"/>
    </row>
    <row r="132" spans="2:7" ht="13.7" customHeight="1" x14ac:dyDescent="0.25">
      <c r="B132" s="6" t="s">
        <v>411</v>
      </c>
      <c r="C132" s="68" t="s">
        <v>291</v>
      </c>
      <c r="D132" s="69"/>
      <c r="E132" s="21" t="s">
        <v>412</v>
      </c>
      <c r="F132" s="68" t="s">
        <v>413</v>
      </c>
      <c r="G132" s="69"/>
    </row>
    <row r="133" spans="2:7" ht="13.7" customHeight="1" x14ac:dyDescent="0.25">
      <c r="B133" s="6" t="s">
        <v>414</v>
      </c>
      <c r="C133" s="68" t="s">
        <v>295</v>
      </c>
      <c r="D133" s="69"/>
      <c r="E133" s="21" t="s">
        <v>415</v>
      </c>
      <c r="F133" s="68" t="s">
        <v>416</v>
      </c>
      <c r="G133" s="69"/>
    </row>
    <row r="134" spans="2:7" ht="13.7" customHeight="1" x14ac:dyDescent="0.25">
      <c r="B134" s="6" t="s">
        <v>417</v>
      </c>
      <c r="C134" s="68" t="s">
        <v>418</v>
      </c>
      <c r="D134" s="69">
        <v>353962</v>
      </c>
      <c r="E134" s="21" t="s">
        <v>419</v>
      </c>
      <c r="F134" s="68" t="s">
        <v>420</v>
      </c>
      <c r="G134" s="69"/>
    </row>
    <row r="135" spans="2:7" ht="13.7" customHeight="1" x14ac:dyDescent="0.25">
      <c r="B135" s="6" t="s">
        <v>421</v>
      </c>
      <c r="C135" s="68" t="s">
        <v>422</v>
      </c>
      <c r="D135" s="69">
        <f>103288+155506+155721+0</f>
        <v>414515</v>
      </c>
      <c r="E135" s="21" t="s">
        <v>423</v>
      </c>
      <c r="F135" s="68" t="s">
        <v>424</v>
      </c>
      <c r="G135" s="69"/>
    </row>
    <row r="136" spans="2:7" ht="13.7" customHeight="1" x14ac:dyDescent="0.25">
      <c r="B136" s="6" t="s">
        <v>425</v>
      </c>
      <c r="C136" s="68" t="s">
        <v>318</v>
      </c>
      <c r="D136" s="69">
        <f>4487382+276494-1</f>
        <v>4763875</v>
      </c>
      <c r="E136" s="21" t="s">
        <v>426</v>
      </c>
      <c r="F136" s="68" t="s">
        <v>427</v>
      </c>
      <c r="G136" s="69"/>
    </row>
    <row r="137" spans="2:7" ht="13.7" customHeight="1" x14ac:dyDescent="0.25">
      <c r="B137" s="6" t="s">
        <v>428</v>
      </c>
      <c r="C137" s="19" t="s">
        <v>320</v>
      </c>
      <c r="D137" s="71">
        <f>326929+0-31654</f>
        <v>295275</v>
      </c>
      <c r="E137" s="21" t="s">
        <v>429</v>
      </c>
      <c r="F137" s="68" t="s">
        <v>430</v>
      </c>
      <c r="G137" s="69">
        <v>56799</v>
      </c>
    </row>
    <row r="138" spans="2:7" ht="13.7" customHeight="1" thickBot="1" x14ac:dyDescent="0.3">
      <c r="B138" s="6"/>
      <c r="C138" s="28" t="s">
        <v>321</v>
      </c>
      <c r="D138" s="37">
        <f>SUM(D127:D137)</f>
        <v>6395999</v>
      </c>
      <c r="E138" s="21" t="s">
        <v>431</v>
      </c>
      <c r="F138" s="19" t="s">
        <v>432</v>
      </c>
      <c r="G138" s="20">
        <v>2749</v>
      </c>
    </row>
    <row r="139" spans="2:7" ht="13.7" customHeight="1" thickBot="1" x14ac:dyDescent="0.3">
      <c r="B139" s="6" t="s">
        <v>433</v>
      </c>
      <c r="C139" s="66" t="s">
        <v>327</v>
      </c>
      <c r="D139" s="67"/>
      <c r="E139" s="7"/>
      <c r="F139" s="28" t="s">
        <v>434</v>
      </c>
      <c r="G139" s="37">
        <f>SUM(G124:G138)</f>
        <v>59548</v>
      </c>
    </row>
    <row r="140" spans="2:7" ht="13.7" customHeight="1" thickBot="1" x14ac:dyDescent="0.3">
      <c r="B140" s="6" t="s">
        <v>435</v>
      </c>
      <c r="C140" s="68" t="s">
        <v>329</v>
      </c>
      <c r="D140" s="69"/>
      <c r="E140" s="7"/>
      <c r="F140" s="48" t="s">
        <v>436</v>
      </c>
      <c r="G140" s="72">
        <f>G123-G139</f>
        <v>-59548</v>
      </c>
    </row>
    <row r="141" spans="2:7" ht="13.7" customHeight="1" x14ac:dyDescent="0.25">
      <c r="B141" s="6" t="s">
        <v>437</v>
      </c>
      <c r="C141" s="19" t="s">
        <v>331</v>
      </c>
      <c r="D141" s="71"/>
      <c r="E141" s="73"/>
    </row>
    <row r="142" spans="2:7" ht="13.7" customHeight="1" thickBot="1" x14ac:dyDescent="0.3">
      <c r="B142" s="6"/>
      <c r="C142" s="28" t="s">
        <v>332</v>
      </c>
      <c r="D142" s="37">
        <f>SUM(D139:D141)</f>
        <v>0</v>
      </c>
      <c r="E142" s="73"/>
    </row>
    <row r="143" spans="2:7" ht="13.7" customHeight="1" thickBot="1" x14ac:dyDescent="0.3">
      <c r="B143" s="6"/>
      <c r="C143" s="59" t="s">
        <v>438</v>
      </c>
      <c r="D143" s="74">
        <f>[26]Amortizaciones!D33</f>
        <v>0</v>
      </c>
      <c r="E143" s="21"/>
      <c r="F143" s="48" t="s">
        <v>439</v>
      </c>
      <c r="G143" s="17">
        <f>+[26]E.S.P.!D6</f>
        <v>2020</v>
      </c>
    </row>
    <row r="144" spans="2:7" ht="13.7" customHeight="1" x14ac:dyDescent="0.25">
      <c r="B144" s="6" t="s">
        <v>440</v>
      </c>
      <c r="C144" s="66" t="s">
        <v>441</v>
      </c>
      <c r="D144" s="67"/>
      <c r="E144" s="21" t="s">
        <v>442</v>
      </c>
      <c r="F144" s="66" t="s">
        <v>443</v>
      </c>
      <c r="G144" s="67"/>
    </row>
    <row r="145" spans="2:7" ht="13.7" customHeight="1" x14ac:dyDescent="0.25">
      <c r="B145" s="6" t="s">
        <v>444</v>
      </c>
      <c r="C145" s="68" t="s">
        <v>445</v>
      </c>
      <c r="D145" s="69"/>
      <c r="E145" s="21" t="s">
        <v>446</v>
      </c>
      <c r="F145" s="68" t="s">
        <v>447</v>
      </c>
      <c r="G145" s="69"/>
    </row>
    <row r="146" spans="2:7" ht="13.7" customHeight="1" x14ac:dyDescent="0.25">
      <c r="B146" s="6" t="s">
        <v>448</v>
      </c>
      <c r="C146" s="75" t="s">
        <v>449</v>
      </c>
      <c r="D146" s="69"/>
      <c r="E146" s="21" t="s">
        <v>450</v>
      </c>
      <c r="F146" s="68" t="s">
        <v>451</v>
      </c>
      <c r="G146" s="69"/>
    </row>
    <row r="147" spans="2:7" ht="13.7" customHeight="1" x14ac:dyDescent="0.25">
      <c r="B147" s="6" t="s">
        <v>452</v>
      </c>
      <c r="C147" s="19" t="s">
        <v>453</v>
      </c>
      <c r="D147" s="71"/>
      <c r="E147" s="21" t="s">
        <v>454</v>
      </c>
      <c r="F147" s="68" t="s">
        <v>455</v>
      </c>
      <c r="G147" s="69"/>
    </row>
    <row r="148" spans="2:7" ht="13.7" customHeight="1" thickBot="1" x14ac:dyDescent="0.3">
      <c r="B148" s="6"/>
      <c r="C148" s="28" t="s">
        <v>456</v>
      </c>
      <c r="D148" s="37">
        <f>SUM(D144:D147)</f>
        <v>0</v>
      </c>
      <c r="E148" s="21" t="s">
        <v>457</v>
      </c>
      <c r="F148" s="68" t="s">
        <v>458</v>
      </c>
      <c r="G148" s="69"/>
    </row>
    <row r="149" spans="2:7" ht="13.7" customHeight="1" x14ac:dyDescent="0.25">
      <c r="B149" s="6" t="s">
        <v>459</v>
      </c>
      <c r="C149" s="66" t="s">
        <v>460</v>
      </c>
      <c r="D149" s="67"/>
      <c r="E149" s="21" t="s">
        <v>461</v>
      </c>
      <c r="F149" s="68" t="s">
        <v>462</v>
      </c>
      <c r="G149" s="69"/>
    </row>
    <row r="150" spans="2:7" ht="13.7" customHeight="1" x14ac:dyDescent="0.25">
      <c r="B150" s="6" t="s">
        <v>463</v>
      </c>
      <c r="C150" s="68" t="s">
        <v>464</v>
      </c>
      <c r="D150" s="69"/>
      <c r="E150" s="21" t="s">
        <v>465</v>
      </c>
      <c r="F150" s="68" t="s">
        <v>466</v>
      </c>
      <c r="G150" s="69"/>
    </row>
    <row r="151" spans="2:7" ht="13.7" customHeight="1" x14ac:dyDescent="0.25">
      <c r="B151" s="6" t="s">
        <v>467</v>
      </c>
      <c r="C151" s="19" t="s">
        <v>468</v>
      </c>
      <c r="D151" s="71"/>
      <c r="E151" s="21" t="s">
        <v>469</v>
      </c>
      <c r="F151" s="68" t="s">
        <v>470</v>
      </c>
      <c r="G151" s="69">
        <v>1630120</v>
      </c>
    </row>
    <row r="152" spans="2:7" ht="13.7" customHeight="1" thickBot="1" x14ac:dyDescent="0.3">
      <c r="B152" s="6"/>
      <c r="C152" s="28" t="s">
        <v>471</v>
      </c>
      <c r="D152" s="37">
        <f>SUM(D149:D151)</f>
        <v>0</v>
      </c>
      <c r="E152" s="21" t="s">
        <v>472</v>
      </c>
      <c r="F152" s="68" t="s">
        <v>473</v>
      </c>
      <c r="G152" s="69">
        <v>27978175</v>
      </c>
    </row>
    <row r="153" spans="2:7" ht="13.7" customHeight="1" thickBot="1" x14ac:dyDescent="0.3">
      <c r="B153" s="6"/>
      <c r="C153" s="48" t="s">
        <v>474</v>
      </c>
      <c r="D153" s="76">
        <f>D122+D126+D138+D142+D143+D148+D152</f>
        <v>32935814</v>
      </c>
      <c r="E153" s="21" t="s">
        <v>475</v>
      </c>
      <c r="F153" s="19" t="s">
        <v>476</v>
      </c>
      <c r="G153" s="20"/>
    </row>
    <row r="154" spans="2:7" ht="13.7" customHeight="1" thickBot="1" x14ac:dyDescent="0.3">
      <c r="B154" s="6"/>
      <c r="E154" s="21"/>
      <c r="F154" s="28" t="s">
        <v>477</v>
      </c>
      <c r="G154" s="37">
        <f>SUM(G144:G153)</f>
        <v>29608295</v>
      </c>
    </row>
    <row r="155" spans="2:7" ht="13.7" customHeight="1" thickBot="1" x14ac:dyDescent="0.3">
      <c r="B155" s="6"/>
      <c r="C155" s="77" t="s">
        <v>478</v>
      </c>
      <c r="D155" s="65">
        <f>G109-D153</f>
        <v>12563956.960000038</v>
      </c>
      <c r="E155" s="21" t="s">
        <v>479</v>
      </c>
      <c r="F155" s="66" t="s">
        <v>480</v>
      </c>
      <c r="G155" s="67">
        <f>1608454+5197807-1</f>
        <v>6806260</v>
      </c>
    </row>
    <row r="156" spans="2:7" ht="13.7" customHeight="1" x14ac:dyDescent="0.25">
      <c r="E156" s="21" t="s">
        <v>481</v>
      </c>
      <c r="F156" s="68" t="s">
        <v>482</v>
      </c>
      <c r="G156" s="69">
        <v>3100738</v>
      </c>
    </row>
    <row r="157" spans="2:7" ht="13.7" customHeight="1" x14ac:dyDescent="0.25">
      <c r="E157" s="21" t="s">
        <v>483</v>
      </c>
      <c r="F157" s="68" t="s">
        <v>484</v>
      </c>
      <c r="G157" s="69"/>
    </row>
    <row r="158" spans="2:7" ht="13.7" customHeight="1" x14ac:dyDescent="0.25">
      <c r="E158" s="21" t="s">
        <v>485</v>
      </c>
      <c r="F158" s="68" t="s">
        <v>486</v>
      </c>
      <c r="G158" s="69"/>
    </row>
    <row r="159" spans="2:7" ht="13.7" customHeight="1" x14ac:dyDescent="0.25">
      <c r="E159" s="21" t="s">
        <v>487</v>
      </c>
      <c r="F159" s="68" t="s">
        <v>488</v>
      </c>
      <c r="G159" s="69"/>
    </row>
    <row r="160" spans="2:7" ht="13.7" customHeight="1" x14ac:dyDescent="0.25">
      <c r="E160" s="21" t="s">
        <v>489</v>
      </c>
      <c r="F160" s="68" t="s">
        <v>490</v>
      </c>
      <c r="G160" s="69"/>
    </row>
    <row r="161" spans="5:7" ht="13.7" customHeight="1" x14ac:dyDescent="0.25">
      <c r="E161" s="21" t="s">
        <v>491</v>
      </c>
      <c r="F161" s="68" t="s">
        <v>492</v>
      </c>
      <c r="G161" s="69">
        <f>693128+2401179-1</f>
        <v>3094306</v>
      </c>
    </row>
    <row r="162" spans="5:7" ht="13.7" customHeight="1" x14ac:dyDescent="0.25">
      <c r="E162" s="21" t="s">
        <v>493</v>
      </c>
      <c r="F162" s="68" t="s">
        <v>494</v>
      </c>
      <c r="G162" s="69"/>
    </row>
    <row r="163" spans="5:7" ht="13.7" customHeight="1" x14ac:dyDescent="0.25">
      <c r="E163" s="21" t="s">
        <v>495</v>
      </c>
      <c r="F163" s="68" t="s">
        <v>496</v>
      </c>
      <c r="G163" s="69"/>
    </row>
    <row r="164" spans="5:7" ht="13.7" customHeight="1" x14ac:dyDescent="0.25">
      <c r="E164" s="21" t="s">
        <v>497</v>
      </c>
      <c r="F164" s="68" t="s">
        <v>498</v>
      </c>
      <c r="G164" s="69"/>
    </row>
    <row r="165" spans="5:7" ht="13.7" customHeight="1" x14ac:dyDescent="0.25">
      <c r="E165" s="21" t="s">
        <v>499</v>
      </c>
      <c r="F165" s="68" t="s">
        <v>500</v>
      </c>
      <c r="G165" s="69"/>
    </row>
    <row r="166" spans="5:7" ht="13.7" customHeight="1" x14ac:dyDescent="0.25">
      <c r="E166" s="21" t="s">
        <v>501</v>
      </c>
      <c r="F166" s="68" t="s">
        <v>502</v>
      </c>
      <c r="G166" s="69"/>
    </row>
    <row r="167" spans="5:7" ht="13.7" customHeight="1" x14ac:dyDescent="0.25">
      <c r="E167" s="21" t="s">
        <v>503</v>
      </c>
      <c r="F167" s="19" t="s">
        <v>504</v>
      </c>
      <c r="G167" s="20"/>
    </row>
    <row r="168" spans="5:7" ht="13.7" customHeight="1" thickBot="1" x14ac:dyDescent="0.3">
      <c r="E168" s="21"/>
      <c r="F168" s="28" t="s">
        <v>505</v>
      </c>
      <c r="G168" s="37">
        <f>SUM(G155:G167)</f>
        <v>13001304</v>
      </c>
    </row>
    <row r="169" spans="5:7" ht="13.7" customHeight="1" thickBot="1" x14ac:dyDescent="0.3">
      <c r="E169" s="21"/>
      <c r="F169" s="48" t="s">
        <v>506</v>
      </c>
      <c r="G169" s="72">
        <f>G154-G168</f>
        <v>16606991</v>
      </c>
    </row>
    <row r="170" spans="5:7" ht="13.7" customHeight="1" thickBot="1" x14ac:dyDescent="0.3">
      <c r="E170" s="21"/>
      <c r="F170" s="78"/>
      <c r="G170" s="78"/>
    </row>
    <row r="171" spans="5:7" ht="13.7" customHeight="1" thickBot="1" x14ac:dyDescent="0.3">
      <c r="E171" s="21"/>
      <c r="F171" s="77" t="s">
        <v>507</v>
      </c>
      <c r="G171" s="79"/>
    </row>
    <row r="172" spans="5:7" ht="13.7" customHeight="1" thickBot="1" x14ac:dyDescent="0.3">
      <c r="E172" s="21"/>
      <c r="F172" s="80"/>
      <c r="G172" s="81">
        <f>+D155+G140+G169</f>
        <v>29111399.960000038</v>
      </c>
    </row>
    <row r="173" spans="5:7" ht="13.7" customHeight="1" thickBot="1" x14ac:dyDescent="0.3">
      <c r="E173" s="21"/>
      <c r="F173" s="5"/>
      <c r="G173" s="5"/>
    </row>
    <row r="174" spans="5:7" ht="13.7" customHeight="1" thickBot="1" x14ac:dyDescent="0.3">
      <c r="E174" s="21"/>
      <c r="F174" s="48" t="s">
        <v>508</v>
      </c>
      <c r="G174" s="17">
        <f>+G143</f>
        <v>2020</v>
      </c>
    </row>
    <row r="175" spans="5:7" ht="13.7" customHeight="1" x14ac:dyDescent="0.25">
      <c r="E175" s="21"/>
      <c r="F175" s="66" t="s">
        <v>509</v>
      </c>
      <c r="G175" s="67"/>
    </row>
    <row r="176" spans="5:7" ht="13.7" customHeight="1" x14ac:dyDescent="0.25">
      <c r="E176" s="21"/>
      <c r="F176" s="68" t="s">
        <v>510</v>
      </c>
      <c r="G176" s="69"/>
    </row>
    <row r="177" spans="1:8" ht="13.7" customHeight="1" thickBot="1" x14ac:dyDescent="0.3">
      <c r="F177" s="68" t="s">
        <v>511</v>
      </c>
      <c r="G177" s="69"/>
    </row>
    <row r="178" spans="1:8" ht="13.7" customHeight="1" thickBot="1" x14ac:dyDescent="0.3">
      <c r="F178" s="48" t="s">
        <v>512</v>
      </c>
      <c r="G178" s="72">
        <f>SUM(G175:G177)</f>
        <v>0</v>
      </c>
    </row>
    <row r="179" spans="1:8" ht="13.7" customHeight="1" thickBot="1" x14ac:dyDescent="0.3"/>
    <row r="180" spans="1:8" ht="13.7" customHeight="1" thickBot="1" x14ac:dyDescent="0.3">
      <c r="F180" s="77" t="s">
        <v>513</v>
      </c>
      <c r="G180" s="79"/>
    </row>
    <row r="181" spans="1:8" ht="13.7" customHeight="1" thickBot="1" x14ac:dyDescent="0.3">
      <c r="F181" s="83"/>
      <c r="G181" s="81">
        <f>+G172+G178</f>
        <v>29111399.960000038</v>
      </c>
    </row>
    <row r="182" spans="1:8" ht="13.7" customHeight="1" x14ac:dyDescent="0.25"/>
    <row r="183" spans="1:8" ht="13.5" customHeight="1" x14ac:dyDescent="0.25"/>
    <row r="184" spans="1:8" ht="13.7" customHeight="1" x14ac:dyDescent="0.25">
      <c r="E184" s="84"/>
      <c r="F184" s="84"/>
      <c r="G184" s="84"/>
      <c r="H184" s="84"/>
    </row>
    <row r="185" spans="1:8" s="84" customFormat="1" ht="13.7" customHeight="1" x14ac:dyDescent="0.25">
      <c r="A185" s="85"/>
      <c r="E185" s="82"/>
      <c r="F185" s="86"/>
      <c r="G185" s="86"/>
    </row>
    <row r="186" spans="1:8" s="84" customFormat="1" ht="12.75" x14ac:dyDescent="0.25">
      <c r="A186" s="85"/>
      <c r="E186" s="82"/>
      <c r="F186" s="86"/>
      <c r="G186" s="86"/>
    </row>
    <row r="187" spans="1:8" s="84" customFormat="1" ht="12.75" hidden="1" x14ac:dyDescent="0.25">
      <c r="A187" s="85"/>
      <c r="E187" s="82"/>
      <c r="F187" s="86"/>
      <c r="G187" s="86"/>
    </row>
    <row r="188" spans="1:8" s="84" customFormat="1" ht="12.75" hidden="1" x14ac:dyDescent="0.25">
      <c r="A188" s="85"/>
      <c r="E188" s="82"/>
      <c r="F188" s="86"/>
      <c r="G188" s="86"/>
    </row>
    <row r="189" spans="1:8" s="84" customFormat="1" ht="12.75" hidden="1" x14ac:dyDescent="0.25">
      <c r="A189" s="85"/>
      <c r="E189" s="82"/>
      <c r="F189" s="86"/>
      <c r="G189" s="86"/>
    </row>
    <row r="190" spans="1:8" s="84" customFormat="1" ht="12.75" hidden="1" x14ac:dyDescent="0.25">
      <c r="A190" s="85"/>
      <c r="E190" s="82"/>
      <c r="F190" s="86"/>
      <c r="G190" s="86"/>
    </row>
    <row r="191" spans="1:8" s="84" customFormat="1" ht="12.75" hidden="1" x14ac:dyDescent="0.25">
      <c r="A191" s="85"/>
      <c r="E191" s="82"/>
      <c r="F191" s="86"/>
      <c r="G191" s="86"/>
    </row>
    <row r="192" spans="1:8" s="84" customFormat="1" ht="12.75" hidden="1" x14ac:dyDescent="0.25">
      <c r="A192" s="85"/>
      <c r="E192" s="82"/>
      <c r="F192" s="86"/>
      <c r="G192" s="86"/>
    </row>
    <row r="193" spans="5:7" s="84" customFormat="1" ht="12.75" hidden="1" x14ac:dyDescent="0.25">
      <c r="E193" s="82"/>
      <c r="F193" s="86"/>
      <c r="G193" s="86"/>
    </row>
    <row r="194" spans="5:7" s="84" customFormat="1" ht="12.75" hidden="1" x14ac:dyDescent="0.25">
      <c r="E194" s="82"/>
      <c r="F194" s="86"/>
      <c r="G194" s="86"/>
    </row>
    <row r="195" spans="5:7" s="84" customFormat="1" ht="12.75" hidden="1" x14ac:dyDescent="0.25">
      <c r="E195" s="82"/>
      <c r="F195" s="86"/>
      <c r="G195" s="86"/>
    </row>
    <row r="196" spans="5:7" s="84" customFormat="1" ht="12.75" hidden="1" x14ac:dyDescent="0.25">
      <c r="E196" s="82"/>
      <c r="F196" s="86"/>
      <c r="G196" s="86"/>
    </row>
    <row r="197" spans="5:7" s="84" customFormat="1" ht="12.75" hidden="1" x14ac:dyDescent="0.25">
      <c r="E197" s="82"/>
      <c r="F197" s="86"/>
      <c r="G197" s="86"/>
    </row>
    <row r="198" spans="5:7" s="84" customFormat="1" ht="12.75" hidden="1" x14ac:dyDescent="0.25">
      <c r="E198" s="82"/>
      <c r="F198" s="86"/>
      <c r="G198" s="86"/>
    </row>
    <row r="199" spans="5:7" s="84" customFormat="1" ht="12.75" hidden="1" x14ac:dyDescent="0.25">
      <c r="E199" s="82"/>
      <c r="F199" s="86"/>
      <c r="G199" s="86"/>
    </row>
    <row r="200" spans="5:7" s="84" customFormat="1" ht="12.75" hidden="1" x14ac:dyDescent="0.25">
      <c r="E200" s="82"/>
      <c r="F200" s="86"/>
      <c r="G200" s="86"/>
    </row>
    <row r="201" spans="5:7" s="84" customFormat="1" ht="12.75" hidden="1" x14ac:dyDescent="0.25">
      <c r="E201" s="82"/>
      <c r="F201" s="86"/>
      <c r="G201" s="86"/>
    </row>
    <row r="202" spans="5:7" s="84" customFormat="1" ht="12.75" hidden="1" x14ac:dyDescent="0.25">
      <c r="E202" s="82"/>
      <c r="F202" s="86"/>
      <c r="G202" s="86"/>
    </row>
    <row r="203" spans="5:7" s="84" customFormat="1" ht="12.75" hidden="1" x14ac:dyDescent="0.25">
      <c r="E203" s="82"/>
      <c r="F203" s="86"/>
      <c r="G203" s="86"/>
    </row>
    <row r="204" spans="5:7" s="84" customFormat="1" ht="12.75" hidden="1" x14ac:dyDescent="0.25">
      <c r="E204" s="82"/>
      <c r="F204" s="86"/>
      <c r="G204" s="86"/>
    </row>
    <row r="205" spans="5:7" s="84" customFormat="1" ht="12.75" hidden="1" x14ac:dyDescent="0.25">
      <c r="E205" s="82"/>
      <c r="F205" s="86"/>
      <c r="G205" s="86"/>
    </row>
    <row r="206" spans="5:7" s="84" customFormat="1" ht="12.75" hidden="1" x14ac:dyDescent="0.25">
      <c r="E206" s="82"/>
      <c r="F206" s="86"/>
      <c r="G206" s="86"/>
    </row>
    <row r="207" spans="5:7" s="84" customFormat="1" ht="12.75" hidden="1" x14ac:dyDescent="0.25">
      <c r="E207" s="82"/>
      <c r="F207" s="86"/>
      <c r="G207" s="86"/>
    </row>
    <row r="208" spans="5:7" s="84" customFormat="1" ht="12.75" hidden="1" x14ac:dyDescent="0.25">
      <c r="E208" s="82"/>
      <c r="F208" s="86"/>
      <c r="G208" s="86"/>
    </row>
    <row r="209" spans="3:8" s="84" customFormat="1" ht="12.75" hidden="1" x14ac:dyDescent="0.25">
      <c r="E209" s="82"/>
      <c r="F209" s="86"/>
      <c r="G209" s="86"/>
    </row>
    <row r="210" spans="3:8" s="84" customFormat="1" ht="12.75" hidden="1" x14ac:dyDescent="0.25">
      <c r="E210" s="82"/>
      <c r="F210" s="86"/>
      <c r="G210" s="86"/>
    </row>
    <row r="211" spans="3:8" s="84" customFormat="1" ht="12.75" hidden="1" x14ac:dyDescent="0.25">
      <c r="E211" s="82"/>
      <c r="F211" s="86"/>
      <c r="G211" s="86"/>
    </row>
    <row r="212" spans="3:8" s="84" customFormat="1" ht="12.75" hidden="1" x14ac:dyDescent="0.25">
      <c r="E212" s="82"/>
      <c r="F212" s="86"/>
      <c r="G212" s="86"/>
    </row>
    <row r="213" spans="3:8" s="84" customFormat="1" ht="12.75" hidden="1" x14ac:dyDescent="0.25">
      <c r="E213" s="82"/>
      <c r="F213" s="86"/>
      <c r="G213" s="86"/>
    </row>
    <row r="214" spans="3:8" s="84" customFormat="1" hidden="1" x14ac:dyDescent="0.25">
      <c r="E214" s="82"/>
      <c r="F214" s="87"/>
      <c r="G214" s="58"/>
      <c r="H214" s="5"/>
    </row>
    <row r="215" spans="3:8" hidden="1" x14ac:dyDescent="0.25">
      <c r="C215" s="86"/>
      <c r="D215" s="86"/>
      <c r="F215" s="87"/>
    </row>
    <row r="216" spans="3:8" hidden="1" x14ac:dyDescent="0.25"/>
    <row r="217" spans="3:8" hidden="1" x14ac:dyDescent="0.25"/>
    <row r="218" spans="3:8" hidden="1" x14ac:dyDescent="0.25"/>
    <row r="219" spans="3:8" hidden="1" x14ac:dyDescent="0.25"/>
    <row r="220" spans="3:8" hidden="1" x14ac:dyDescent="0.25"/>
    <row r="221" spans="3:8" hidden="1" x14ac:dyDescent="0.25"/>
    <row r="222" spans="3:8" hidden="1" x14ac:dyDescent="0.25"/>
    <row r="223" spans="3:8" hidden="1" x14ac:dyDescent="0.25"/>
    <row r="224" spans="3:8"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sheetData>
  <mergeCells count="6">
    <mergeCell ref="C1:D1"/>
    <mergeCell ref="E1:F1"/>
    <mergeCell ref="C2:D2"/>
    <mergeCell ref="E2:F2"/>
    <mergeCell ref="C3:D3"/>
    <mergeCell ref="E3:F3"/>
  </mergeCells>
  <conditionalFormatting sqref="D7:D12">
    <cfRule type="cellIs" dxfId="107" priority="2" stopIfTrue="1" operator="greaterThan">
      <formula>50</formula>
    </cfRule>
    <cfRule type="cellIs" dxfId="106" priority="11" stopIfTrue="1" operator="equal">
      <formula>0</formula>
    </cfRule>
  </conditionalFormatting>
  <conditionalFormatting sqref="D7:D61">
    <cfRule type="cellIs" dxfId="105" priority="9" stopIfTrue="1" operator="between">
      <formula>-0.1</formula>
      <formula>-50</formula>
    </cfRule>
    <cfRule type="cellIs" dxfId="104" priority="10" stopIfTrue="1" operator="between">
      <formula>0.1</formula>
      <formula>50</formula>
    </cfRule>
  </conditionalFormatting>
  <conditionalFormatting sqref="G152:G181 G7:G150">
    <cfRule type="cellIs" dxfId="103" priority="7" stopIfTrue="1" operator="between">
      <formula>-0.1</formula>
      <formula>-50</formula>
    </cfRule>
    <cfRule type="cellIs" dxfId="102" priority="8" stopIfTrue="1" operator="between">
      <formula>0.1</formula>
      <formula>50</formula>
    </cfRule>
  </conditionalFormatting>
  <conditionalFormatting sqref="D111:D155">
    <cfRule type="cellIs" dxfId="101" priority="5" stopIfTrue="1" operator="between">
      <formula>-0.1</formula>
      <formula>-50</formula>
    </cfRule>
    <cfRule type="cellIs" dxfId="100" priority="6" stopIfTrue="1" operator="between">
      <formula>0.1</formula>
      <formula>50</formula>
    </cfRule>
  </conditionalFormatting>
  <conditionalFormatting sqref="G165">
    <cfRule type="expression" dxfId="99" priority="4" stopIfTrue="1">
      <formula>AND($G$165&gt;0,$G$151&gt;0)</formula>
    </cfRule>
  </conditionalFormatting>
  <conditionalFormatting sqref="G151">
    <cfRule type="expression" dxfId="98" priority="1" stopIfTrue="1">
      <formula>AND($G$151&gt;0,$G$165&gt;0)</formula>
    </cfRule>
  </conditionalFormatting>
  <dataValidations count="11">
    <dataValidation type="custom" operator="greaterThan" showInputMessage="1" showErrorMessage="1" errorTitle="RDM" error="No se admite ingresar RDM como ingresos y egresos a la vez. Tampoco se admiten valores menores a $50._x000a_" sqref="G151">
      <formula1>AND(OR(G151=0, G151&gt;50),G165=0)</formula1>
    </dataValidation>
    <dataValidation type="whole" operator="greaterThan" allowBlank="1" showInputMessage="1" showErrorMessage="1" sqref="D8:D12">
      <formula1>50</formula1>
    </dataValidation>
    <dataValidation type="whole" operator="greaterThan" showInputMessage="1" showErrorMessage="1" errorTitle="eee" error="Valores mayores a $50" sqref="D7">
      <formula1>50</formula1>
    </dataValidation>
    <dataValidation type="custom" operator="greaterThan" showInputMessage="1" showErrorMessage="1" errorTitle="eee" sqref="D56">
      <formula1>OR(D56=0, D56&lt;50)</formula1>
    </dataValidation>
    <dataValidation type="custom" operator="greaterThan" showInputMessage="1" showErrorMessage="1" errorTitle="eee" sqref="D57:D61">
      <formula1>OR(D57=0, D57&lt;0)</formula1>
    </dataValidation>
    <dataValidation type="custom" operator="greaterThan" showInputMessage="1" showErrorMessage="1" errorTitle="eee" sqref="G7:G140 D62:D155 G152:G164 G166:G181 G144:G150 D13:D55">
      <formula1>OR(D7=0, D7&gt;50)</formula1>
    </dataValidation>
    <dataValidation type="whole" allowBlank="1" showErrorMessage="1" errorTitle="Error de datos" error="Debe ingresar un valor entre 1 y 12" sqref="G1:G3">
      <formula1>1</formula1>
      <formula2>12</formula2>
    </dataValidation>
    <dataValidation allowBlank="1" errorTitle="Error de datos" error="Debe introducir una fecha válida" sqref="E3"/>
    <dataValidation allowBlank="1" sqref="G204"/>
    <dataValidation operator="greaterThanOrEqual" allowBlank="1" errorTitle="Error de datos" error="Debe ingresar un valor entero positivo" sqref="F6:F107 F203 C13:C47 C106:C153 F171 F174:F178 F180 F111:F119 C7:C10 F121:F140 F143:F169 C49:C62 C155 F109"/>
    <dataValidation type="custom" operator="greaterThan" showInputMessage="1" showErrorMessage="1" errorTitle="rdm2" error="No se admite ingresar a la vez RDM como ingresos y como egresos. Tampoco se admiten valores negattivos o positivos menores de 50" sqref="G165">
      <formula1>AND(OR(G165=0, G165&gt;50),G151=0)</formula1>
    </dataValidation>
  </dataValidations>
  <pageMargins left="0.7" right="0.7" top="0.75" bottom="0.75" header="0.3" footer="0.3"/>
  <ignoredErrors>
    <ignoredError sqref="E7:E181" numberStoredAsText="1"/>
    <ignoredError sqref="D8:D19 D22 D37:D46 D135:D137 G8:G17 G23 G28 G39:G43 G59 G77 G93 G155:G162" unlockedFormula="1"/>
  </ignoredErrors>
  <legacy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26"/>
  <sheetViews>
    <sheetView showGridLines="0" workbookViewId="0">
      <selection activeCell="F4" sqref="F4"/>
    </sheetView>
  </sheetViews>
  <sheetFormatPr baseColWidth="10" defaultColWidth="0" defaultRowHeight="15" zeroHeight="1" x14ac:dyDescent="0.25"/>
  <cols>
    <col min="1" max="1" width="3.7109375" style="1" customWidth="1"/>
    <col min="2" max="2" width="14.28515625" style="7" hidden="1" customWidth="1"/>
    <col min="3" max="3" width="58.28515625" style="58" customWidth="1"/>
    <col min="4" max="4" width="25.140625" style="58" customWidth="1"/>
    <col min="5" max="5" width="5.85546875" style="82" customWidth="1"/>
    <col min="6" max="6" width="57.28515625" style="58" customWidth="1"/>
    <col min="7" max="7" width="24.7109375" style="58" customWidth="1"/>
    <col min="8" max="8" width="5.42578125" style="5" customWidth="1"/>
    <col min="9" max="16384" width="0" style="5" hidden="1"/>
  </cols>
  <sheetData>
    <row r="1" spans="1:9" ht="15.75" x14ac:dyDescent="0.25">
      <c r="B1" s="2"/>
      <c r="C1" s="313" t="s">
        <v>0</v>
      </c>
      <c r="D1" s="314"/>
      <c r="E1" s="315" t="str">
        <f>[27]Presentacion!C2</f>
        <v>CASMER</v>
      </c>
      <c r="F1" s="315"/>
      <c r="G1" s="3"/>
      <c r="H1" s="4"/>
    </row>
    <row r="2" spans="1:9" ht="15.75" x14ac:dyDescent="0.25">
      <c r="B2" s="6"/>
      <c r="C2" s="313" t="s">
        <v>1</v>
      </c>
      <c r="D2" s="314"/>
      <c r="E2" s="315" t="str">
        <f>[27]Presentacion!C3</f>
        <v>Rivera</v>
      </c>
      <c r="F2" s="315"/>
      <c r="G2" s="3"/>
      <c r="H2" s="4"/>
    </row>
    <row r="3" spans="1:9" ht="15.75" x14ac:dyDescent="0.25">
      <c r="B3" s="6"/>
      <c r="C3" s="313" t="s">
        <v>2</v>
      </c>
      <c r="D3" s="316"/>
      <c r="E3" s="317" t="s">
        <v>3</v>
      </c>
      <c r="F3" s="317"/>
      <c r="G3" s="3"/>
      <c r="H3" s="4"/>
    </row>
    <row r="4" spans="1:9" ht="15.75" thickBot="1" x14ac:dyDescent="0.3">
      <c r="C4" s="287"/>
      <c r="D4" s="8"/>
      <c r="E4" s="9"/>
      <c r="F4" s="10"/>
      <c r="G4" s="11"/>
    </row>
    <row r="5" spans="1:9" ht="16.5" thickBot="1" x14ac:dyDescent="0.3">
      <c r="B5" s="12"/>
      <c r="C5" s="13" t="s">
        <v>4</v>
      </c>
      <c r="D5" s="284" t="s">
        <v>5</v>
      </c>
      <c r="E5" s="14"/>
      <c r="F5" s="13" t="s">
        <v>6</v>
      </c>
      <c r="G5" s="284" t="s">
        <v>5</v>
      </c>
      <c r="I5" s="15"/>
    </row>
    <row r="6" spans="1:9" ht="16.5" thickBot="1" x14ac:dyDescent="0.3">
      <c r="B6" s="12"/>
      <c r="C6" s="16" t="s">
        <v>7</v>
      </c>
      <c r="D6" s="290">
        <f>+[27]E.S.P.!D6</f>
        <v>2020</v>
      </c>
      <c r="E6" s="18"/>
      <c r="F6" s="16" t="s">
        <v>8</v>
      </c>
      <c r="G6" s="290">
        <f>+D6</f>
        <v>2020</v>
      </c>
      <c r="H6" s="15"/>
    </row>
    <row r="7" spans="1:9" x14ac:dyDescent="0.25">
      <c r="B7" s="6" t="s">
        <v>9</v>
      </c>
      <c r="C7" s="19" t="s">
        <v>10</v>
      </c>
      <c r="D7" s="20">
        <v>32113100</v>
      </c>
      <c r="E7" s="21" t="s">
        <v>11</v>
      </c>
      <c r="F7" s="22" t="s">
        <v>12</v>
      </c>
      <c r="G7" s="23">
        <v>3431055</v>
      </c>
    </row>
    <row r="8" spans="1:9" x14ac:dyDescent="0.25">
      <c r="B8" s="6" t="s">
        <v>13</v>
      </c>
      <c r="C8" s="19" t="s">
        <v>14</v>
      </c>
      <c r="D8" s="20">
        <v>44197986</v>
      </c>
      <c r="E8" s="21" t="s">
        <v>15</v>
      </c>
      <c r="F8" s="19" t="s">
        <v>16</v>
      </c>
      <c r="G8" s="24">
        <v>105780763</v>
      </c>
    </row>
    <row r="9" spans="1:9" x14ac:dyDescent="0.25">
      <c r="B9" s="6" t="s">
        <v>17</v>
      </c>
      <c r="C9" s="19" t="s">
        <v>18</v>
      </c>
      <c r="D9" s="20">
        <v>998047677</v>
      </c>
      <c r="E9" s="21" t="s">
        <v>19</v>
      </c>
      <c r="F9" s="19" t="s">
        <v>20</v>
      </c>
      <c r="G9" s="20">
        <v>15662590</v>
      </c>
    </row>
    <row r="10" spans="1:9" x14ac:dyDescent="0.25">
      <c r="B10" s="6" t="s">
        <v>21</v>
      </c>
      <c r="C10" s="19" t="s">
        <v>22</v>
      </c>
      <c r="D10" s="20">
        <v>100161010</v>
      </c>
      <c r="E10" s="21" t="s">
        <v>23</v>
      </c>
      <c r="F10" s="19" t="s">
        <v>24</v>
      </c>
      <c r="G10" s="20">
        <v>171956332</v>
      </c>
    </row>
    <row r="11" spans="1:9" x14ac:dyDescent="0.25">
      <c r="B11" s="6" t="s">
        <v>25</v>
      </c>
      <c r="C11" s="19" t="s">
        <v>26</v>
      </c>
      <c r="D11" s="20">
        <v>19622089</v>
      </c>
      <c r="E11" s="21" t="s">
        <v>27</v>
      </c>
      <c r="F11" s="19" t="s">
        <v>28</v>
      </c>
      <c r="G11" s="20">
        <v>14316855</v>
      </c>
    </row>
    <row r="12" spans="1:9" x14ac:dyDescent="0.25">
      <c r="B12" s="6" t="s">
        <v>29</v>
      </c>
      <c r="C12" s="19" t="s">
        <v>30</v>
      </c>
      <c r="D12" s="20">
        <v>28885385</v>
      </c>
      <c r="E12" s="21" t="s">
        <v>31</v>
      </c>
      <c r="F12" s="19" t="s">
        <v>32</v>
      </c>
      <c r="G12" s="20">
        <v>53054029</v>
      </c>
    </row>
    <row r="13" spans="1:9" x14ac:dyDescent="0.25">
      <c r="B13" s="6" t="s">
        <v>33</v>
      </c>
      <c r="C13" s="19" t="s">
        <v>34</v>
      </c>
      <c r="D13" s="20"/>
      <c r="E13" s="21" t="s">
        <v>35</v>
      </c>
      <c r="F13" s="19" t="s">
        <v>36</v>
      </c>
      <c r="G13" s="20">
        <v>4014486</v>
      </c>
    </row>
    <row r="14" spans="1:9" x14ac:dyDescent="0.25">
      <c r="A14" s="25"/>
      <c r="B14" s="6" t="s">
        <v>37</v>
      </c>
      <c r="C14" s="19" t="s">
        <v>38</v>
      </c>
      <c r="D14" s="20">
        <v>4135810</v>
      </c>
      <c r="E14" s="21" t="s">
        <v>39</v>
      </c>
      <c r="F14" s="19" t="s">
        <v>40</v>
      </c>
      <c r="G14" s="20">
        <v>171944232</v>
      </c>
    </row>
    <row r="15" spans="1:9" x14ac:dyDescent="0.25">
      <c r="B15" s="6" t="s">
        <v>41</v>
      </c>
      <c r="C15" s="26" t="s">
        <v>42</v>
      </c>
      <c r="D15" s="20"/>
      <c r="E15" s="21" t="s">
        <v>43</v>
      </c>
      <c r="F15" s="19" t="s">
        <v>44</v>
      </c>
      <c r="G15" s="20">
        <v>73124715</v>
      </c>
    </row>
    <row r="16" spans="1:9" x14ac:dyDescent="0.25">
      <c r="B16" s="6" t="s">
        <v>45</v>
      </c>
      <c r="C16" s="19" t="s">
        <v>46</v>
      </c>
      <c r="D16" s="20"/>
      <c r="E16" s="21" t="s">
        <v>47</v>
      </c>
      <c r="F16" s="19" t="s">
        <v>48</v>
      </c>
      <c r="G16" s="20">
        <v>93560119</v>
      </c>
    </row>
    <row r="17" spans="1:7" x14ac:dyDescent="0.25">
      <c r="B17" s="6" t="s">
        <v>49</v>
      </c>
      <c r="C17" s="19" t="s">
        <v>50</v>
      </c>
      <c r="D17" s="20"/>
      <c r="E17" s="21" t="s">
        <v>51</v>
      </c>
      <c r="F17" s="19" t="s">
        <v>52</v>
      </c>
      <c r="G17" s="20">
        <v>0</v>
      </c>
    </row>
    <row r="18" spans="1:7" x14ac:dyDescent="0.25">
      <c r="A18" s="25"/>
      <c r="B18" s="6" t="s">
        <v>53</v>
      </c>
      <c r="C18" s="19" t="s">
        <v>54</v>
      </c>
      <c r="D18" s="20">
        <v>6100476</v>
      </c>
      <c r="E18" s="21" t="s">
        <v>55</v>
      </c>
      <c r="F18" s="19" t="s">
        <v>56</v>
      </c>
      <c r="G18" s="27">
        <v>29789506</v>
      </c>
    </row>
    <row r="19" spans="1:7" ht="15.75" thickBot="1" x14ac:dyDescent="0.3">
      <c r="A19" s="25"/>
      <c r="B19" s="6" t="s">
        <v>57</v>
      </c>
      <c r="C19" s="19" t="s">
        <v>58</v>
      </c>
      <c r="D19" s="20">
        <v>51922923</v>
      </c>
      <c r="E19" s="21"/>
      <c r="F19" s="28" t="s">
        <v>59</v>
      </c>
      <c r="G19" s="29">
        <f>SUM(G7:G18)</f>
        <v>736634682</v>
      </c>
    </row>
    <row r="20" spans="1:7" ht="15.75" thickBot="1" x14ac:dyDescent="0.3">
      <c r="B20" s="6"/>
      <c r="C20" s="28" t="s">
        <v>60</v>
      </c>
      <c r="D20" s="29">
        <f>SUM(D7:D19)</f>
        <v>1285186456</v>
      </c>
      <c r="E20" s="21" t="s">
        <v>61</v>
      </c>
      <c r="F20" s="22" t="s">
        <v>62</v>
      </c>
      <c r="G20" s="23">
        <v>255896</v>
      </c>
    </row>
    <row r="21" spans="1:7" x14ac:dyDescent="0.25">
      <c r="B21" s="6"/>
      <c r="C21" s="30" t="s">
        <v>63</v>
      </c>
      <c r="D21" s="31">
        <f>SUM(D22:D28)</f>
        <v>7074836</v>
      </c>
      <c r="E21" s="21" t="s">
        <v>64</v>
      </c>
      <c r="F21" s="19" t="s">
        <v>65</v>
      </c>
      <c r="G21" s="20">
        <v>23055681</v>
      </c>
    </row>
    <row r="22" spans="1:7" x14ac:dyDescent="0.25">
      <c r="B22" s="6" t="s">
        <v>66</v>
      </c>
      <c r="C22" s="19" t="s">
        <v>67</v>
      </c>
      <c r="D22" s="20">
        <v>3975821</v>
      </c>
      <c r="E22" s="21" t="s">
        <v>68</v>
      </c>
      <c r="F22" s="19" t="s">
        <v>69</v>
      </c>
      <c r="G22" s="20">
        <v>2804399</v>
      </c>
    </row>
    <row r="23" spans="1:7" x14ac:dyDescent="0.25">
      <c r="B23" s="6" t="s">
        <v>70</v>
      </c>
      <c r="C23" s="19" t="s">
        <v>71</v>
      </c>
      <c r="D23" s="20">
        <v>392635</v>
      </c>
      <c r="E23" s="21" t="s">
        <v>72</v>
      </c>
      <c r="F23" s="19" t="s">
        <v>73</v>
      </c>
      <c r="G23" s="20">
        <f>12924338+7973+3528953</f>
        <v>16461264</v>
      </c>
    </row>
    <row r="24" spans="1:7" x14ac:dyDescent="0.25">
      <c r="B24" s="6" t="s">
        <v>74</v>
      </c>
      <c r="C24" s="19" t="s">
        <v>75</v>
      </c>
      <c r="D24" s="20">
        <v>409398</v>
      </c>
      <c r="E24" s="21" t="s">
        <v>76</v>
      </c>
      <c r="F24" s="19" t="s">
        <v>77</v>
      </c>
      <c r="G24" s="20">
        <v>0</v>
      </c>
    </row>
    <row r="25" spans="1:7" x14ac:dyDescent="0.25">
      <c r="B25" s="6" t="s">
        <v>78</v>
      </c>
      <c r="C25" s="19" t="s">
        <v>79</v>
      </c>
      <c r="D25" s="20">
        <v>1323924</v>
      </c>
      <c r="E25" s="21" t="s">
        <v>80</v>
      </c>
      <c r="F25" s="19" t="s">
        <v>81</v>
      </c>
      <c r="G25" s="20">
        <v>0</v>
      </c>
    </row>
    <row r="26" spans="1:7" x14ac:dyDescent="0.25">
      <c r="B26" s="6" t="s">
        <v>82</v>
      </c>
      <c r="C26" s="19" t="s">
        <v>83</v>
      </c>
      <c r="D26" s="20">
        <v>479840</v>
      </c>
      <c r="E26" s="21" t="s">
        <v>84</v>
      </c>
      <c r="F26" s="19" t="s">
        <v>85</v>
      </c>
      <c r="G26" s="27">
        <v>1833142</v>
      </c>
    </row>
    <row r="27" spans="1:7" ht="15.75" thickBot="1" x14ac:dyDescent="0.3">
      <c r="B27" s="6" t="s">
        <v>86</v>
      </c>
      <c r="C27" s="19" t="s">
        <v>87</v>
      </c>
      <c r="D27" s="20">
        <v>211479</v>
      </c>
      <c r="E27" s="21"/>
      <c r="F27" s="28" t="s">
        <v>88</v>
      </c>
      <c r="G27" s="29">
        <f>SUM(G20:G26)</f>
        <v>44410382</v>
      </c>
    </row>
    <row r="28" spans="1:7" x14ac:dyDescent="0.25">
      <c r="B28" s="6" t="s">
        <v>89</v>
      </c>
      <c r="C28" s="19" t="s">
        <v>90</v>
      </c>
      <c r="D28" s="20">
        <v>281739</v>
      </c>
      <c r="E28" s="21" t="s">
        <v>91</v>
      </c>
      <c r="F28" s="22" t="s">
        <v>92</v>
      </c>
      <c r="G28" s="23">
        <v>91708440</v>
      </c>
    </row>
    <row r="29" spans="1:7" x14ac:dyDescent="0.25">
      <c r="B29" s="6"/>
      <c r="C29" s="32" t="s">
        <v>93</v>
      </c>
      <c r="D29" s="31">
        <f>SUM(D30:D34)</f>
        <v>70659966</v>
      </c>
      <c r="E29" s="21" t="s">
        <v>94</v>
      </c>
      <c r="F29" s="19" t="s">
        <v>95</v>
      </c>
      <c r="G29" s="20">
        <v>48971201</v>
      </c>
    </row>
    <row r="30" spans="1:7" x14ac:dyDescent="0.25">
      <c r="B30" s="6" t="s">
        <v>96</v>
      </c>
      <c r="C30" s="19" t="s">
        <v>97</v>
      </c>
      <c r="D30" s="20">
        <v>56728486</v>
      </c>
      <c r="E30" s="21" t="s">
        <v>98</v>
      </c>
      <c r="F30" s="19" t="s">
        <v>99</v>
      </c>
      <c r="G30" s="20">
        <v>17093875</v>
      </c>
    </row>
    <row r="31" spans="1:7" x14ac:dyDescent="0.25">
      <c r="B31" s="6" t="s">
        <v>100</v>
      </c>
      <c r="C31" s="19" t="s">
        <v>101</v>
      </c>
      <c r="D31" s="20">
        <v>6072835</v>
      </c>
      <c r="E31" s="21" t="s">
        <v>102</v>
      </c>
      <c r="F31" s="19" t="s">
        <v>103</v>
      </c>
      <c r="G31" s="27">
        <v>6732056</v>
      </c>
    </row>
    <row r="32" spans="1:7" ht="15.75" thickBot="1" x14ac:dyDescent="0.3">
      <c r="B32" s="6" t="s">
        <v>104</v>
      </c>
      <c r="C32" s="19" t="s">
        <v>105</v>
      </c>
      <c r="D32" s="20">
        <v>4466505</v>
      </c>
      <c r="E32" s="21"/>
      <c r="F32" s="28" t="s">
        <v>106</v>
      </c>
      <c r="G32" s="29">
        <f>SUM(G28:G31)</f>
        <v>164505572</v>
      </c>
    </row>
    <row r="33" spans="2:7" x14ac:dyDescent="0.25">
      <c r="B33" s="6" t="s">
        <v>107</v>
      </c>
      <c r="C33" s="19" t="s">
        <v>108</v>
      </c>
      <c r="D33" s="20">
        <v>514407</v>
      </c>
      <c r="E33" s="21"/>
      <c r="F33" s="32" t="s">
        <v>109</v>
      </c>
      <c r="G33" s="31">
        <f>SUM(G34:G39)</f>
        <v>69720446</v>
      </c>
    </row>
    <row r="34" spans="2:7" x14ac:dyDescent="0.25">
      <c r="B34" s="6" t="s">
        <v>110</v>
      </c>
      <c r="C34" s="19" t="s">
        <v>111</v>
      </c>
      <c r="D34" s="20">
        <v>2877733</v>
      </c>
      <c r="E34" s="21" t="s">
        <v>112</v>
      </c>
      <c r="F34" s="19" t="s">
        <v>113</v>
      </c>
      <c r="G34" s="20">
        <v>3241720</v>
      </c>
    </row>
    <row r="35" spans="2:7" ht="15.75" thickBot="1" x14ac:dyDescent="0.3">
      <c r="B35" s="6"/>
      <c r="C35" s="28" t="s">
        <v>114</v>
      </c>
      <c r="D35" s="29">
        <f>+D21+D29</f>
        <v>77734802</v>
      </c>
      <c r="E35" s="21" t="s">
        <v>115</v>
      </c>
      <c r="F35" s="19" t="s">
        <v>116</v>
      </c>
      <c r="G35" s="20">
        <v>1736315</v>
      </c>
    </row>
    <row r="36" spans="2:7" x14ac:dyDescent="0.25">
      <c r="B36" s="6" t="s">
        <v>117</v>
      </c>
      <c r="C36" s="19" t="s">
        <v>118</v>
      </c>
      <c r="D36" s="20">
        <v>1113859</v>
      </c>
      <c r="E36" s="21" t="s">
        <v>119</v>
      </c>
      <c r="F36" s="19" t="s">
        <v>120</v>
      </c>
      <c r="G36" s="20">
        <v>1168180</v>
      </c>
    </row>
    <row r="37" spans="2:7" x14ac:dyDescent="0.25">
      <c r="B37" s="6" t="s">
        <v>121</v>
      </c>
      <c r="C37" s="19" t="s">
        <v>122</v>
      </c>
      <c r="D37" s="20">
        <v>5607125</v>
      </c>
      <c r="E37" s="21" t="s">
        <v>123</v>
      </c>
      <c r="F37" s="19" t="s">
        <v>124</v>
      </c>
      <c r="G37" s="20">
        <v>1936693</v>
      </c>
    </row>
    <row r="38" spans="2:7" x14ac:dyDescent="0.25">
      <c r="B38" s="6" t="s">
        <v>125</v>
      </c>
      <c r="C38" s="19" t="s">
        <v>126</v>
      </c>
      <c r="D38" s="20">
        <v>0</v>
      </c>
      <c r="E38" s="21" t="s">
        <v>127</v>
      </c>
      <c r="F38" s="19" t="s">
        <v>128</v>
      </c>
      <c r="G38" s="20">
        <v>3744705</v>
      </c>
    </row>
    <row r="39" spans="2:7" x14ac:dyDescent="0.25">
      <c r="B39" s="6" t="s">
        <v>129</v>
      </c>
      <c r="C39" s="19" t="s">
        <v>130</v>
      </c>
      <c r="D39" s="20">
        <v>0</v>
      </c>
      <c r="E39" s="21" t="s">
        <v>131</v>
      </c>
      <c r="F39" s="19" t="s">
        <v>132</v>
      </c>
      <c r="G39" s="20">
        <f>69720446-11827613</f>
        <v>57892833</v>
      </c>
    </row>
    <row r="40" spans="2:7" x14ac:dyDescent="0.25">
      <c r="B40" s="6" t="s">
        <v>133</v>
      </c>
      <c r="C40" s="19" t="s">
        <v>134</v>
      </c>
      <c r="D40" s="20">
        <v>2895942</v>
      </c>
      <c r="E40" s="21"/>
      <c r="F40" s="33" t="s">
        <v>135</v>
      </c>
      <c r="G40" s="34">
        <f>SUM(G41:G46)</f>
        <v>13012998</v>
      </c>
    </row>
    <row r="41" spans="2:7" x14ac:dyDescent="0.25">
      <c r="B41" s="6" t="s">
        <v>136</v>
      </c>
      <c r="C41" s="19" t="s">
        <v>137</v>
      </c>
      <c r="D41" s="20">
        <v>0</v>
      </c>
      <c r="E41" s="21" t="s">
        <v>138</v>
      </c>
      <c r="F41" s="19" t="s">
        <v>139</v>
      </c>
      <c r="G41" s="20">
        <v>39122</v>
      </c>
    </row>
    <row r="42" spans="2:7" x14ac:dyDescent="0.25">
      <c r="B42" s="6" t="s">
        <v>140</v>
      </c>
      <c r="C42" s="19" t="s">
        <v>141</v>
      </c>
      <c r="D42" s="20">
        <f>4061194+433218+762490+44721215+2</f>
        <v>49978119</v>
      </c>
      <c r="E42" s="21" t="s">
        <v>142</v>
      </c>
      <c r="F42" s="19" t="s">
        <v>143</v>
      </c>
      <c r="G42" s="20">
        <v>313282</v>
      </c>
    </row>
    <row r="43" spans="2:7" x14ac:dyDescent="0.25">
      <c r="B43" s="6" t="s">
        <v>144</v>
      </c>
      <c r="C43" s="19" t="s">
        <v>145</v>
      </c>
      <c r="D43" s="20">
        <v>0</v>
      </c>
      <c r="E43" s="21" t="s">
        <v>146</v>
      </c>
      <c r="F43" s="19" t="s">
        <v>147</v>
      </c>
      <c r="G43" s="20">
        <v>988709</v>
      </c>
    </row>
    <row r="44" spans="2:7" x14ac:dyDescent="0.25">
      <c r="B44" s="6" t="s">
        <v>148</v>
      </c>
      <c r="C44" s="19" t="s">
        <v>149</v>
      </c>
      <c r="D44" s="20">
        <v>0</v>
      </c>
      <c r="E44" s="21" t="s">
        <v>150</v>
      </c>
      <c r="F44" s="19" t="s">
        <v>151</v>
      </c>
      <c r="G44" s="20">
        <v>276716</v>
      </c>
    </row>
    <row r="45" spans="2:7" x14ac:dyDescent="0.25">
      <c r="B45" s="6" t="s">
        <v>152</v>
      </c>
      <c r="C45" s="19" t="s">
        <v>153</v>
      </c>
      <c r="D45" s="20">
        <v>2654588.36</v>
      </c>
      <c r="E45" s="21" t="s">
        <v>154</v>
      </c>
      <c r="F45" s="19" t="s">
        <v>155</v>
      </c>
      <c r="G45" s="20">
        <v>334065</v>
      </c>
    </row>
    <row r="46" spans="2:7" x14ac:dyDescent="0.25">
      <c r="B46" s="6" t="s">
        <v>156</v>
      </c>
      <c r="C46" s="19" t="s">
        <v>157</v>
      </c>
      <c r="D46" s="20">
        <v>2699208</v>
      </c>
      <c r="E46" s="21" t="s">
        <v>158</v>
      </c>
      <c r="F46" s="19" t="s">
        <v>159</v>
      </c>
      <c r="G46" s="20">
        <f>13012998-1951894</f>
        <v>11061104</v>
      </c>
    </row>
    <row r="47" spans="2:7" ht="15.75" thickBot="1" x14ac:dyDescent="0.3">
      <c r="B47" s="6"/>
      <c r="C47" s="28" t="s">
        <v>160</v>
      </c>
      <c r="D47" s="29">
        <f>SUM(D36:D46)</f>
        <v>64948841.359999999</v>
      </c>
      <c r="E47" s="21" t="s">
        <v>161</v>
      </c>
      <c r="F47" s="19" t="s">
        <v>162</v>
      </c>
      <c r="G47" s="27">
        <v>3662121</v>
      </c>
    </row>
    <row r="48" spans="2:7" ht="15.75" thickBot="1" x14ac:dyDescent="0.3">
      <c r="B48" s="6"/>
      <c r="C48" s="35" t="s">
        <v>163</v>
      </c>
      <c r="D48" s="36"/>
      <c r="E48" s="21"/>
      <c r="F48" s="28" t="s">
        <v>164</v>
      </c>
      <c r="G48" s="37">
        <f>+G33+G40+G47</f>
        <v>86395565</v>
      </c>
    </row>
    <row r="49" spans="2:7" x14ac:dyDescent="0.25">
      <c r="B49" s="6" t="s">
        <v>165</v>
      </c>
      <c r="C49" s="38" t="s">
        <v>166</v>
      </c>
      <c r="D49" s="39">
        <v>0</v>
      </c>
      <c r="E49" s="21" t="s">
        <v>167</v>
      </c>
      <c r="F49" s="22" t="s">
        <v>168</v>
      </c>
      <c r="G49" s="23">
        <v>2041</v>
      </c>
    </row>
    <row r="50" spans="2:7" x14ac:dyDescent="0.25">
      <c r="B50" s="6" t="s">
        <v>169</v>
      </c>
      <c r="C50" s="19" t="s">
        <v>163</v>
      </c>
      <c r="D50" s="20">
        <v>3856463.86</v>
      </c>
      <c r="E50" s="21" t="s">
        <v>170</v>
      </c>
      <c r="F50" s="19" t="s">
        <v>171</v>
      </c>
      <c r="G50" s="20">
        <v>40718434</v>
      </c>
    </row>
    <row r="51" spans="2:7" x14ac:dyDescent="0.25">
      <c r="B51" s="6" t="s">
        <v>172</v>
      </c>
      <c r="C51" s="19" t="s">
        <v>173</v>
      </c>
      <c r="D51" s="27">
        <v>17039.87</v>
      </c>
      <c r="E51" s="21" t="s">
        <v>174</v>
      </c>
      <c r="F51" s="19" t="s">
        <v>175</v>
      </c>
      <c r="G51" s="20">
        <v>3340234</v>
      </c>
    </row>
    <row r="52" spans="2:7" ht="15.75" thickBot="1" x14ac:dyDescent="0.3">
      <c r="B52" s="12"/>
      <c r="C52" s="28" t="s">
        <v>176</v>
      </c>
      <c r="D52" s="29">
        <f>SUM(D49:D51)</f>
        <v>3873503.73</v>
      </c>
      <c r="E52" s="21" t="s">
        <v>177</v>
      </c>
      <c r="F52" s="19" t="s">
        <v>178</v>
      </c>
      <c r="G52" s="20">
        <v>98877</v>
      </c>
    </row>
    <row r="53" spans="2:7" ht="15.75" thickBot="1" x14ac:dyDescent="0.3">
      <c r="B53" s="6"/>
      <c r="C53" s="40" t="s">
        <v>179</v>
      </c>
      <c r="D53" s="41">
        <f>D20+D35+D47+D52</f>
        <v>1431743603.0899999</v>
      </c>
      <c r="E53" s="21" t="s">
        <v>180</v>
      </c>
      <c r="F53" s="19" t="s">
        <v>181</v>
      </c>
      <c r="G53" s="20">
        <v>5712042</v>
      </c>
    </row>
    <row r="54" spans="2:7" x14ac:dyDescent="0.25">
      <c r="C54" s="42"/>
      <c r="D54" s="43"/>
      <c r="E54" s="21" t="s">
        <v>182</v>
      </c>
      <c r="F54" s="19" t="s">
        <v>183</v>
      </c>
      <c r="G54" s="20">
        <v>0</v>
      </c>
    </row>
    <row r="55" spans="2:7" x14ac:dyDescent="0.25">
      <c r="C55" s="44" t="s">
        <v>184</v>
      </c>
      <c r="D55" s="45"/>
      <c r="E55" s="21" t="s">
        <v>185</v>
      </c>
      <c r="F55" s="19" t="s">
        <v>186</v>
      </c>
      <c r="G55" s="20">
        <v>4924631</v>
      </c>
    </row>
    <row r="56" spans="2:7" x14ac:dyDescent="0.25">
      <c r="B56" s="6" t="s">
        <v>187</v>
      </c>
      <c r="C56" s="46" t="s">
        <v>188</v>
      </c>
      <c r="D56" s="20">
        <v>-4297553.1500000004</v>
      </c>
      <c r="E56" s="21" t="s">
        <v>189</v>
      </c>
      <c r="F56" s="19" t="s">
        <v>190</v>
      </c>
      <c r="G56" s="27">
        <v>2104288</v>
      </c>
    </row>
    <row r="57" spans="2:7" ht="15.75" thickBot="1" x14ac:dyDescent="0.3">
      <c r="B57" s="6" t="s">
        <v>191</v>
      </c>
      <c r="C57" s="46" t="s">
        <v>192</v>
      </c>
      <c r="D57" s="20"/>
      <c r="E57" s="21"/>
      <c r="F57" s="28" t="s">
        <v>193</v>
      </c>
      <c r="G57" s="29">
        <f>SUM(G49:G56)</f>
        <v>56900547</v>
      </c>
    </row>
    <row r="58" spans="2:7" x14ac:dyDescent="0.25">
      <c r="B58" s="6" t="s">
        <v>194</v>
      </c>
      <c r="C58" s="46" t="s">
        <v>195</v>
      </c>
      <c r="D58" s="20"/>
      <c r="E58" s="21" t="s">
        <v>196</v>
      </c>
      <c r="F58" s="22" t="s">
        <v>197</v>
      </c>
      <c r="G58" s="23">
        <v>0</v>
      </c>
    </row>
    <row r="59" spans="2:7" x14ac:dyDescent="0.25">
      <c r="B59" s="6" t="s">
        <v>198</v>
      </c>
      <c r="C59" s="19" t="s">
        <v>199</v>
      </c>
      <c r="D59" s="27">
        <v>-179569.75</v>
      </c>
      <c r="E59" s="21" t="s">
        <v>200</v>
      </c>
      <c r="F59" s="19" t="s">
        <v>201</v>
      </c>
      <c r="G59" s="20">
        <v>11207448</v>
      </c>
    </row>
    <row r="60" spans="2:7" ht="15.75" thickBot="1" x14ac:dyDescent="0.3">
      <c r="B60" s="6"/>
      <c r="C60" s="28" t="s">
        <v>202</v>
      </c>
      <c r="D60" s="29">
        <f>SUM(D56:D59)</f>
        <v>-4477122.9000000004</v>
      </c>
      <c r="E60" s="21" t="s">
        <v>203</v>
      </c>
      <c r="F60" s="19" t="s">
        <v>204</v>
      </c>
      <c r="G60" s="20">
        <v>3268292</v>
      </c>
    </row>
    <row r="61" spans="2:7" ht="16.5" thickBot="1" x14ac:dyDescent="0.3">
      <c r="B61" s="47"/>
      <c r="C61" s="48" t="s">
        <v>205</v>
      </c>
      <c r="D61" s="49">
        <f>D53+D60</f>
        <v>1427266480.1899998</v>
      </c>
      <c r="E61" s="21" t="s">
        <v>206</v>
      </c>
      <c r="F61" s="19" t="s">
        <v>207</v>
      </c>
      <c r="G61" s="20">
        <v>6236981</v>
      </c>
    </row>
    <row r="62" spans="2:7" x14ac:dyDescent="0.25">
      <c r="B62" s="50"/>
      <c r="C62" s="51"/>
      <c r="D62" s="51"/>
      <c r="E62" s="21" t="s">
        <v>208</v>
      </c>
      <c r="F62" s="19" t="s">
        <v>209</v>
      </c>
      <c r="G62" s="20">
        <v>0</v>
      </c>
    </row>
    <row r="63" spans="2:7" x14ac:dyDescent="0.25">
      <c r="B63" s="52"/>
      <c r="C63" s="53" t="s">
        <v>8</v>
      </c>
      <c r="D63" s="53"/>
      <c r="E63" s="21" t="s">
        <v>210</v>
      </c>
      <c r="F63" s="19" t="s">
        <v>211</v>
      </c>
      <c r="G63" s="20">
        <v>3974070</v>
      </c>
    </row>
    <row r="64" spans="2:7" x14ac:dyDescent="0.25">
      <c r="B64" s="54" t="s">
        <v>212</v>
      </c>
      <c r="C64" s="55" t="s">
        <v>213</v>
      </c>
      <c r="D64" s="55">
        <f>[27]Amortizaciones!D6</f>
        <v>7227968</v>
      </c>
      <c r="E64" s="21" t="s">
        <v>214</v>
      </c>
      <c r="F64" s="19" t="s">
        <v>215</v>
      </c>
      <c r="G64" s="20">
        <v>278695</v>
      </c>
    </row>
    <row r="65" spans="2:7" x14ac:dyDescent="0.25">
      <c r="B65" s="54" t="s">
        <v>216</v>
      </c>
      <c r="C65" s="55" t="s">
        <v>217</v>
      </c>
      <c r="D65" s="55">
        <f>[27]Amortizaciones!D7</f>
        <v>0</v>
      </c>
      <c r="E65" s="21" t="s">
        <v>218</v>
      </c>
      <c r="F65" s="19" t="s">
        <v>219</v>
      </c>
      <c r="G65" s="20">
        <v>497046</v>
      </c>
    </row>
    <row r="66" spans="2:7" x14ac:dyDescent="0.25">
      <c r="B66" s="54" t="s">
        <v>220</v>
      </c>
      <c r="C66" s="55" t="s">
        <v>221</v>
      </c>
      <c r="D66" s="55">
        <f>[27]Amortizaciones!D8</f>
        <v>6823592</v>
      </c>
      <c r="E66" s="21" t="s">
        <v>222</v>
      </c>
      <c r="F66" s="19" t="s">
        <v>223</v>
      </c>
      <c r="G66" s="20">
        <v>5778282</v>
      </c>
    </row>
    <row r="67" spans="2:7" x14ac:dyDescent="0.25">
      <c r="B67" s="54" t="s">
        <v>224</v>
      </c>
      <c r="C67" s="55" t="s">
        <v>225</v>
      </c>
      <c r="D67" s="55">
        <f>[27]Amortizaciones!D9</f>
        <v>0</v>
      </c>
      <c r="E67" s="21" t="s">
        <v>226</v>
      </c>
      <c r="F67" s="19" t="s">
        <v>227</v>
      </c>
      <c r="G67" s="20">
        <v>562897</v>
      </c>
    </row>
    <row r="68" spans="2:7" x14ac:dyDescent="0.25">
      <c r="B68" s="54" t="s">
        <v>228</v>
      </c>
      <c r="C68" s="55" t="s">
        <v>229</v>
      </c>
      <c r="D68" s="55">
        <f>[27]Amortizaciones!D10</f>
        <v>0</v>
      </c>
      <c r="E68" s="21" t="s">
        <v>230</v>
      </c>
      <c r="F68" s="19" t="s">
        <v>231</v>
      </c>
      <c r="G68" s="20">
        <v>0</v>
      </c>
    </row>
    <row r="69" spans="2:7" x14ac:dyDescent="0.25">
      <c r="B69" s="54" t="s">
        <v>232</v>
      </c>
      <c r="C69" s="55" t="s">
        <v>233</v>
      </c>
      <c r="D69" s="55">
        <f>[27]Amortizaciones!D11</f>
        <v>0</v>
      </c>
      <c r="E69" s="21" t="s">
        <v>234</v>
      </c>
      <c r="F69" s="19" t="s">
        <v>235</v>
      </c>
      <c r="G69" s="20">
        <v>2124674</v>
      </c>
    </row>
    <row r="70" spans="2:7" x14ac:dyDescent="0.25">
      <c r="B70" s="54" t="s">
        <v>236</v>
      </c>
      <c r="C70" s="55" t="s">
        <v>237</v>
      </c>
      <c r="D70" s="55">
        <f>[27]Amortizaciones!D12</f>
        <v>1222566</v>
      </c>
      <c r="E70" s="21" t="s">
        <v>238</v>
      </c>
      <c r="F70" s="19" t="s">
        <v>239</v>
      </c>
      <c r="G70" s="20">
        <v>612309</v>
      </c>
    </row>
    <row r="71" spans="2:7" x14ac:dyDescent="0.25">
      <c r="B71" s="54" t="s">
        <v>240</v>
      </c>
      <c r="C71" s="55" t="s">
        <v>241</v>
      </c>
      <c r="D71" s="55">
        <f>[27]Amortizaciones!D13</f>
        <v>1538962</v>
      </c>
      <c r="E71" s="21" t="s">
        <v>242</v>
      </c>
      <c r="F71" s="19" t="s">
        <v>243</v>
      </c>
      <c r="G71" s="20"/>
    </row>
    <row r="72" spans="2:7" x14ac:dyDescent="0.25">
      <c r="B72" s="54" t="s">
        <v>244</v>
      </c>
      <c r="C72" s="55" t="s">
        <v>245</v>
      </c>
      <c r="D72" s="55">
        <f>[27]Amortizaciones!D14</f>
        <v>1576876</v>
      </c>
      <c r="E72" s="21" t="s">
        <v>246</v>
      </c>
      <c r="F72" s="19" t="s">
        <v>247</v>
      </c>
      <c r="G72" s="20">
        <v>745677</v>
      </c>
    </row>
    <row r="73" spans="2:7" x14ac:dyDescent="0.25">
      <c r="B73" s="54" t="s">
        <v>248</v>
      </c>
      <c r="C73" s="55" t="s">
        <v>249</v>
      </c>
      <c r="D73" s="55">
        <f>[27]Amortizaciones!D15</f>
        <v>0</v>
      </c>
      <c r="E73" s="21" t="s">
        <v>250</v>
      </c>
      <c r="F73" s="19" t="s">
        <v>251</v>
      </c>
      <c r="G73" s="20">
        <v>0</v>
      </c>
    </row>
    <row r="74" spans="2:7" x14ac:dyDescent="0.25">
      <c r="B74" s="54" t="s">
        <v>252</v>
      </c>
      <c r="C74" s="55" t="s">
        <v>253</v>
      </c>
      <c r="D74" s="55">
        <f>[27]Amortizaciones!D16</f>
        <v>0</v>
      </c>
      <c r="E74" s="21" t="s">
        <v>254</v>
      </c>
      <c r="F74" s="19" t="s">
        <v>255</v>
      </c>
      <c r="G74" s="20">
        <v>140396</v>
      </c>
    </row>
    <row r="75" spans="2:7" x14ac:dyDescent="0.25">
      <c r="B75" s="54" t="s">
        <v>256</v>
      </c>
      <c r="C75" s="55" t="s">
        <v>257</v>
      </c>
      <c r="D75" s="55">
        <f>[27]Amortizaciones!D17</f>
        <v>0</v>
      </c>
      <c r="E75" s="21" t="s">
        <v>258</v>
      </c>
      <c r="F75" s="19" t="s">
        <v>259</v>
      </c>
      <c r="G75" s="20">
        <v>5365155</v>
      </c>
    </row>
    <row r="76" spans="2:7" x14ac:dyDescent="0.25">
      <c r="B76" s="54" t="s">
        <v>260</v>
      </c>
      <c r="C76" s="55" t="s">
        <v>261</v>
      </c>
      <c r="D76" s="55">
        <f>[27]Amortizaciones!D18</f>
        <v>0</v>
      </c>
      <c r="E76" s="21" t="s">
        <v>262</v>
      </c>
      <c r="F76" s="19" t="s">
        <v>263</v>
      </c>
      <c r="G76" s="20">
        <v>1250807</v>
      </c>
    </row>
    <row r="77" spans="2:7" x14ac:dyDescent="0.25">
      <c r="B77" s="54" t="s">
        <v>264</v>
      </c>
      <c r="C77" s="55" t="s">
        <v>265</v>
      </c>
      <c r="D77" s="55">
        <f>SUM(D64:D76)</f>
        <v>18389964</v>
      </c>
      <c r="E77" s="21" t="s">
        <v>266</v>
      </c>
      <c r="F77" s="19" t="s">
        <v>267</v>
      </c>
      <c r="G77" s="20">
        <f>32910929+21363+4833858.48</f>
        <v>37766150.480000004</v>
      </c>
    </row>
    <row r="78" spans="2:7" x14ac:dyDescent="0.25">
      <c r="B78" s="54"/>
      <c r="C78" s="55"/>
      <c r="D78" s="55"/>
      <c r="E78" s="21" t="s">
        <v>268</v>
      </c>
      <c r="F78" s="19" t="s">
        <v>269</v>
      </c>
      <c r="G78" s="27">
        <v>3235572</v>
      </c>
    </row>
    <row r="79" spans="2:7" ht="15.75" thickBot="1" x14ac:dyDescent="0.3">
      <c r="B79" s="54"/>
      <c r="C79" s="53" t="s">
        <v>270</v>
      </c>
      <c r="D79" s="56"/>
      <c r="E79" s="21"/>
      <c r="F79" s="28" t="s">
        <v>271</v>
      </c>
      <c r="G79" s="29">
        <f>SUM(G58:G78)</f>
        <v>83044451.480000004</v>
      </c>
    </row>
    <row r="80" spans="2:7" x14ac:dyDescent="0.25">
      <c r="B80" s="54" t="s">
        <v>272</v>
      </c>
      <c r="C80" s="55" t="s">
        <v>237</v>
      </c>
      <c r="D80" s="55">
        <f>[27]Amortizaciones!D22</f>
        <v>748728</v>
      </c>
      <c r="E80" s="21" t="s">
        <v>273</v>
      </c>
      <c r="F80" s="22" t="s">
        <v>274</v>
      </c>
      <c r="G80" s="23">
        <v>1591369.29</v>
      </c>
    </row>
    <row r="81" spans="2:7" x14ac:dyDescent="0.25">
      <c r="B81" s="54" t="s">
        <v>275</v>
      </c>
      <c r="C81" s="55" t="s">
        <v>241</v>
      </c>
      <c r="D81" s="55">
        <f>[27]Amortizaciones!D23</f>
        <v>0</v>
      </c>
      <c r="E81" s="21" t="s">
        <v>276</v>
      </c>
      <c r="F81" s="19" t="s">
        <v>277</v>
      </c>
      <c r="G81" s="20">
        <v>42642</v>
      </c>
    </row>
    <row r="82" spans="2:7" x14ac:dyDescent="0.25">
      <c r="B82" s="54" t="s">
        <v>278</v>
      </c>
      <c r="C82" s="55" t="s">
        <v>245</v>
      </c>
      <c r="D82" s="55">
        <f>[27]Amortizaciones!D24</f>
        <v>161641</v>
      </c>
      <c r="E82" s="21" t="s">
        <v>279</v>
      </c>
      <c r="F82" s="19" t="s">
        <v>280</v>
      </c>
      <c r="G82" s="20">
        <v>2610136</v>
      </c>
    </row>
    <row r="83" spans="2:7" x14ac:dyDescent="0.25">
      <c r="B83" s="54" t="s">
        <v>281</v>
      </c>
      <c r="C83" s="55" t="s">
        <v>249</v>
      </c>
      <c r="D83" s="55">
        <f>[27]Amortizaciones!D25</f>
        <v>427763</v>
      </c>
      <c r="E83" s="21" t="s">
        <v>282</v>
      </c>
      <c r="F83" s="19" t="s">
        <v>283</v>
      </c>
      <c r="G83" s="20">
        <v>1225256</v>
      </c>
    </row>
    <row r="84" spans="2:7" x14ac:dyDescent="0.25">
      <c r="B84" s="54" t="s">
        <v>284</v>
      </c>
      <c r="C84" s="55" t="s">
        <v>285</v>
      </c>
      <c r="D84" s="55">
        <v>0</v>
      </c>
      <c r="E84" s="21" t="s">
        <v>286</v>
      </c>
      <c r="F84" s="19" t="s">
        <v>287</v>
      </c>
      <c r="G84" s="20">
        <v>6607277</v>
      </c>
    </row>
    <row r="85" spans="2:7" x14ac:dyDescent="0.25">
      <c r="B85" s="54" t="s">
        <v>288</v>
      </c>
      <c r="C85" s="55" t="s">
        <v>289</v>
      </c>
      <c r="D85" s="55">
        <f>[27]Amortizaciones!D27</f>
        <v>0</v>
      </c>
      <c r="E85" s="21" t="s">
        <v>290</v>
      </c>
      <c r="F85" s="19" t="s">
        <v>291</v>
      </c>
      <c r="G85" s="20">
        <v>7519357</v>
      </c>
    </row>
    <row r="86" spans="2:7" x14ac:dyDescent="0.25">
      <c r="B86" s="54" t="s">
        <v>292</v>
      </c>
      <c r="C86" s="55" t="s">
        <v>293</v>
      </c>
      <c r="D86" s="55">
        <f>[27]Amortizaciones!D28</f>
        <v>0</v>
      </c>
      <c r="E86" s="21" t="s">
        <v>294</v>
      </c>
      <c r="F86" s="19" t="s">
        <v>295</v>
      </c>
      <c r="G86" s="20">
        <v>771270</v>
      </c>
    </row>
    <row r="87" spans="2:7" x14ac:dyDescent="0.25">
      <c r="B87" s="54" t="s">
        <v>296</v>
      </c>
      <c r="C87" s="55" t="s">
        <v>297</v>
      </c>
      <c r="D87" s="55">
        <f>[27]Amortizaciones!D29</f>
        <v>0</v>
      </c>
      <c r="E87" s="21" t="s">
        <v>298</v>
      </c>
      <c r="F87" s="19" t="s">
        <v>299</v>
      </c>
      <c r="G87" s="20">
        <v>388316</v>
      </c>
    </row>
    <row r="88" spans="2:7" x14ac:dyDescent="0.25">
      <c r="B88" s="54" t="s">
        <v>300</v>
      </c>
      <c r="C88" s="55" t="s">
        <v>301</v>
      </c>
      <c r="D88" s="55">
        <f>[27]Amortizaciones!D30</f>
        <v>430456</v>
      </c>
      <c r="E88" s="21" t="s">
        <v>302</v>
      </c>
      <c r="F88" s="19" t="s">
        <v>303</v>
      </c>
      <c r="G88" s="20">
        <v>1952477</v>
      </c>
    </row>
    <row r="89" spans="2:7" x14ac:dyDescent="0.25">
      <c r="B89" s="54" t="s">
        <v>304</v>
      </c>
      <c r="C89" s="55" t="s">
        <v>213</v>
      </c>
      <c r="D89" s="55">
        <f>[27]Amortizaciones!D31</f>
        <v>0</v>
      </c>
      <c r="E89" s="21" t="s">
        <v>305</v>
      </c>
      <c r="F89" s="19" t="s">
        <v>306</v>
      </c>
      <c r="G89" s="20">
        <v>2773131</v>
      </c>
    </row>
    <row r="90" spans="2:7" x14ac:dyDescent="0.25">
      <c r="B90" s="54" t="s">
        <v>307</v>
      </c>
      <c r="C90" s="55" t="s">
        <v>229</v>
      </c>
      <c r="D90" s="55">
        <f>[27]Amortizaciones!D32</f>
        <v>0</v>
      </c>
      <c r="E90" s="21" t="s">
        <v>308</v>
      </c>
      <c r="F90" s="19" t="s">
        <v>309</v>
      </c>
      <c r="G90" s="20">
        <v>5881345</v>
      </c>
    </row>
    <row r="91" spans="2:7" x14ac:dyDescent="0.25">
      <c r="B91" s="54" t="s">
        <v>310</v>
      </c>
      <c r="C91" s="55" t="s">
        <v>311</v>
      </c>
      <c r="D91" s="55">
        <f>SUM(D80:D90)</f>
        <v>1768588</v>
      </c>
      <c r="E91" s="52" t="s">
        <v>312</v>
      </c>
      <c r="F91" s="19" t="s">
        <v>313</v>
      </c>
      <c r="G91" s="20">
        <v>1726078</v>
      </c>
    </row>
    <row r="92" spans="2:7" x14ac:dyDescent="0.25">
      <c r="B92" s="54"/>
      <c r="C92" s="57" t="s">
        <v>314</v>
      </c>
      <c r="D92" s="55">
        <f>D77+D91</f>
        <v>20158552</v>
      </c>
      <c r="E92" s="52" t="s">
        <v>315</v>
      </c>
      <c r="F92" s="19" t="s">
        <v>316</v>
      </c>
      <c r="G92" s="20">
        <v>0</v>
      </c>
    </row>
    <row r="93" spans="2:7" x14ac:dyDescent="0.25">
      <c r="E93" s="52" t="s">
        <v>317</v>
      </c>
      <c r="F93" s="19" t="s">
        <v>318</v>
      </c>
      <c r="G93" s="20">
        <v>974689</v>
      </c>
    </row>
    <row r="94" spans="2:7" x14ac:dyDescent="0.25">
      <c r="E94" s="52" t="s">
        <v>319</v>
      </c>
      <c r="F94" s="19" t="s">
        <v>320</v>
      </c>
      <c r="G94" s="27">
        <v>1750483</v>
      </c>
    </row>
    <row r="95" spans="2:7" ht="13.5" customHeight="1" thickBot="1" x14ac:dyDescent="0.3">
      <c r="E95" s="21"/>
      <c r="F95" s="28" t="s">
        <v>321</v>
      </c>
      <c r="G95" s="29">
        <f>SUM(G80:G94)</f>
        <v>35813826.289999999</v>
      </c>
    </row>
    <row r="96" spans="2:7" x14ac:dyDescent="0.25">
      <c r="E96" s="52" t="s">
        <v>322</v>
      </c>
      <c r="F96" s="22" t="s">
        <v>323</v>
      </c>
      <c r="G96" s="23">
        <v>3890530</v>
      </c>
    </row>
    <row r="97" spans="2:7" x14ac:dyDescent="0.25">
      <c r="E97" s="52" t="s">
        <v>324</v>
      </c>
      <c r="F97" s="19" t="s">
        <v>325</v>
      </c>
      <c r="G97" s="20">
        <v>6360427</v>
      </c>
    </row>
    <row r="98" spans="2:7" x14ac:dyDescent="0.25">
      <c r="E98" s="52" t="s">
        <v>326</v>
      </c>
      <c r="F98" s="19" t="s">
        <v>327</v>
      </c>
      <c r="G98" s="20">
        <v>2298410</v>
      </c>
    </row>
    <row r="99" spans="2:7" x14ac:dyDescent="0.25">
      <c r="E99" s="52" t="s">
        <v>328</v>
      </c>
      <c r="F99" s="19" t="s">
        <v>329</v>
      </c>
      <c r="G99" s="20">
        <v>8743855</v>
      </c>
    </row>
    <row r="100" spans="2:7" x14ac:dyDescent="0.25">
      <c r="E100" s="52" t="s">
        <v>330</v>
      </c>
      <c r="F100" s="19" t="s">
        <v>331</v>
      </c>
      <c r="G100" s="27">
        <v>617305</v>
      </c>
    </row>
    <row r="101" spans="2:7" ht="15.75" thickBot="1" x14ac:dyDescent="0.3">
      <c r="E101" s="21"/>
      <c r="F101" s="28" t="s">
        <v>332</v>
      </c>
      <c r="G101" s="29">
        <f>SUM(G96:G100)</f>
        <v>21910527</v>
      </c>
    </row>
    <row r="102" spans="2:7" ht="15.75" thickBot="1" x14ac:dyDescent="0.3">
      <c r="E102" s="52"/>
      <c r="F102" s="59" t="s">
        <v>333</v>
      </c>
      <c r="G102" s="60">
        <f>[27]Amortizaciones!D19</f>
        <v>18389964</v>
      </c>
    </row>
    <row r="103" spans="2:7" x14ac:dyDescent="0.25">
      <c r="E103" s="52" t="s">
        <v>334</v>
      </c>
      <c r="F103" s="19" t="s">
        <v>335</v>
      </c>
      <c r="G103" s="23"/>
    </row>
    <row r="104" spans="2:7" x14ac:dyDescent="0.25">
      <c r="E104" s="52" t="s">
        <v>336</v>
      </c>
      <c r="F104" s="61" t="s">
        <v>337</v>
      </c>
      <c r="G104" s="20"/>
    </row>
    <row r="105" spans="2:7" ht="15.75" thickBot="1" x14ac:dyDescent="0.3">
      <c r="E105" s="21"/>
      <c r="F105" s="28" t="s">
        <v>338</v>
      </c>
      <c r="G105" s="29">
        <f>SUM(G103:G104)</f>
        <v>0</v>
      </c>
    </row>
    <row r="106" spans="2:7" ht="13.7" customHeight="1" thickBot="1" x14ac:dyDescent="0.3">
      <c r="B106" s="6"/>
      <c r="C106" s="62"/>
      <c r="D106" s="62"/>
      <c r="E106" s="52"/>
      <c r="F106" s="48" t="s">
        <v>339</v>
      </c>
      <c r="G106" s="49">
        <f>G19+G27+G32+G48+G57+G79+G95+G101+G102+G105</f>
        <v>1248005516.77</v>
      </c>
    </row>
    <row r="107" spans="2:7" ht="13.7" customHeight="1" x14ac:dyDescent="0.25">
      <c r="B107" s="6"/>
      <c r="C107" s="62"/>
      <c r="D107" s="62"/>
      <c r="E107" s="21"/>
      <c r="F107" s="63"/>
      <c r="G107" s="64"/>
    </row>
    <row r="108" spans="2:7" ht="13.7" customHeight="1" thickBot="1" x14ac:dyDescent="0.3">
      <c r="B108" s="6"/>
      <c r="C108" s="62"/>
      <c r="D108" s="62"/>
      <c r="E108" s="21"/>
    </row>
    <row r="109" spans="2:7" ht="13.7" customHeight="1" thickBot="1" x14ac:dyDescent="0.3">
      <c r="B109" s="6"/>
      <c r="C109" s="62"/>
      <c r="D109" s="62"/>
      <c r="E109" s="21"/>
      <c r="F109" s="13" t="s">
        <v>340</v>
      </c>
      <c r="G109" s="65">
        <f>D61-G106</f>
        <v>179260963.41999984</v>
      </c>
    </row>
    <row r="110" spans="2:7" ht="13.7" customHeight="1" thickBot="1" x14ac:dyDescent="0.3">
      <c r="B110" s="6"/>
      <c r="C110" s="62"/>
      <c r="D110" s="62"/>
      <c r="E110" s="21"/>
    </row>
    <row r="111" spans="2:7" ht="13.7" customHeight="1" thickBot="1" x14ac:dyDescent="0.3">
      <c r="C111" s="48" t="s">
        <v>270</v>
      </c>
      <c r="D111" s="17">
        <f>+[27]E.S.P.!D6</f>
        <v>2020</v>
      </c>
      <c r="E111" s="52"/>
      <c r="F111" s="48" t="s">
        <v>341</v>
      </c>
      <c r="G111" s="17">
        <f>+[27]E.S.P.!D6</f>
        <v>2020</v>
      </c>
    </row>
    <row r="112" spans="2:7" ht="13.7" customHeight="1" x14ac:dyDescent="0.25">
      <c r="B112" s="6" t="s">
        <v>342</v>
      </c>
      <c r="C112" s="66" t="s">
        <v>343</v>
      </c>
      <c r="D112" s="67">
        <v>4634031</v>
      </c>
      <c r="E112" s="21" t="s">
        <v>344</v>
      </c>
      <c r="F112" s="66" t="s">
        <v>309</v>
      </c>
      <c r="G112" s="67">
        <v>139541</v>
      </c>
    </row>
    <row r="113" spans="2:7" ht="13.7" customHeight="1" x14ac:dyDescent="0.25">
      <c r="B113" s="6" t="s">
        <v>345</v>
      </c>
      <c r="C113" s="68" t="s">
        <v>346</v>
      </c>
      <c r="D113" s="69">
        <v>51056185</v>
      </c>
      <c r="E113" s="21" t="s">
        <v>347</v>
      </c>
      <c r="F113" s="68" t="s">
        <v>348</v>
      </c>
      <c r="G113" s="69">
        <v>0</v>
      </c>
    </row>
    <row r="114" spans="2:7" ht="13.7" customHeight="1" x14ac:dyDescent="0.25">
      <c r="B114" s="6" t="s">
        <v>349</v>
      </c>
      <c r="C114" s="68" t="s">
        <v>48</v>
      </c>
      <c r="D114" s="69">
        <v>0</v>
      </c>
      <c r="E114" s="21" t="s">
        <v>350</v>
      </c>
      <c r="F114" s="68" t="s">
        <v>351</v>
      </c>
      <c r="G114" s="69">
        <v>0</v>
      </c>
    </row>
    <row r="115" spans="2:7" ht="13.7" customHeight="1" x14ac:dyDescent="0.25">
      <c r="B115" s="6" t="s">
        <v>352</v>
      </c>
      <c r="C115" s="68" t="s">
        <v>353</v>
      </c>
      <c r="D115" s="69">
        <v>226651</v>
      </c>
      <c r="E115" s="21" t="s">
        <v>354</v>
      </c>
      <c r="F115" s="68" t="s">
        <v>355</v>
      </c>
      <c r="G115" s="69">
        <v>104869</v>
      </c>
    </row>
    <row r="116" spans="2:7" ht="13.7" customHeight="1" x14ac:dyDescent="0.25">
      <c r="B116" s="6" t="s">
        <v>356</v>
      </c>
      <c r="C116" s="68" t="s">
        <v>357</v>
      </c>
      <c r="D116" s="69">
        <v>2569600</v>
      </c>
      <c r="E116" s="21" t="s">
        <v>358</v>
      </c>
      <c r="F116" s="68" t="s">
        <v>359</v>
      </c>
      <c r="G116" s="69">
        <v>0</v>
      </c>
    </row>
    <row r="117" spans="2:7" ht="13.7" customHeight="1" x14ac:dyDescent="0.25">
      <c r="B117" s="6" t="s">
        <v>360</v>
      </c>
      <c r="C117" s="68" t="s">
        <v>361</v>
      </c>
      <c r="D117" s="69">
        <v>0</v>
      </c>
      <c r="E117" s="21" t="s">
        <v>362</v>
      </c>
      <c r="F117" s="68" t="s">
        <v>363</v>
      </c>
      <c r="G117" s="69">
        <v>133004</v>
      </c>
    </row>
    <row r="118" spans="2:7" ht="13.7" customHeight="1" x14ac:dyDescent="0.25">
      <c r="B118" s="6" t="s">
        <v>364</v>
      </c>
      <c r="C118" s="68" t="s">
        <v>365</v>
      </c>
      <c r="D118" s="69">
        <v>0</v>
      </c>
      <c r="E118" s="21" t="s">
        <v>366</v>
      </c>
      <c r="F118" s="68" t="s">
        <v>367</v>
      </c>
      <c r="G118" s="69">
        <v>0</v>
      </c>
    </row>
    <row r="119" spans="2:7" ht="13.7" customHeight="1" x14ac:dyDescent="0.25">
      <c r="B119" s="6" t="s">
        <v>368</v>
      </c>
      <c r="C119" s="68" t="s">
        <v>369</v>
      </c>
      <c r="D119" s="69">
        <v>0</v>
      </c>
      <c r="E119" s="21" t="s">
        <v>370</v>
      </c>
      <c r="F119" s="68" t="s">
        <v>371</v>
      </c>
      <c r="G119" s="69">
        <v>0</v>
      </c>
    </row>
    <row r="120" spans="2:7" ht="13.7" customHeight="1" x14ac:dyDescent="0.25">
      <c r="B120" s="6" t="s">
        <v>372</v>
      </c>
      <c r="C120" s="68" t="s">
        <v>373</v>
      </c>
      <c r="D120" s="69">
        <v>0</v>
      </c>
      <c r="E120" s="21" t="s">
        <v>374</v>
      </c>
      <c r="F120" s="68" t="s">
        <v>375</v>
      </c>
      <c r="G120" s="69">
        <v>0</v>
      </c>
    </row>
    <row r="121" spans="2:7" ht="13.7" customHeight="1" x14ac:dyDescent="0.25">
      <c r="B121" s="6" t="s">
        <v>376</v>
      </c>
      <c r="C121" s="19" t="s">
        <v>377</v>
      </c>
      <c r="D121" s="69">
        <v>2518867</v>
      </c>
      <c r="E121" s="21" t="s">
        <v>378</v>
      </c>
      <c r="F121" s="68" t="s">
        <v>379</v>
      </c>
      <c r="G121" s="69">
        <v>249730</v>
      </c>
    </row>
    <row r="122" spans="2:7" ht="13.7" customHeight="1" thickBot="1" x14ac:dyDescent="0.3">
      <c r="B122" s="6"/>
      <c r="C122" s="28" t="s">
        <v>380</v>
      </c>
      <c r="D122" s="37">
        <f>SUM(D112:D121)</f>
        <v>61005334</v>
      </c>
      <c r="E122" s="21" t="s">
        <v>381</v>
      </c>
      <c r="F122" s="19" t="s">
        <v>382</v>
      </c>
      <c r="G122" s="20">
        <v>156861</v>
      </c>
    </row>
    <row r="123" spans="2:7" ht="13.7" customHeight="1" thickBot="1" x14ac:dyDescent="0.3">
      <c r="B123" s="6" t="s">
        <v>383</v>
      </c>
      <c r="C123" s="70" t="s">
        <v>309</v>
      </c>
      <c r="D123" s="67">
        <v>449194</v>
      </c>
      <c r="E123" s="52"/>
      <c r="F123" s="28" t="s">
        <v>384</v>
      </c>
      <c r="G123" s="37">
        <f>SUM(G112:G122)</f>
        <v>784005</v>
      </c>
    </row>
    <row r="124" spans="2:7" ht="13.7" customHeight="1" x14ac:dyDescent="0.25">
      <c r="B124" s="6" t="s">
        <v>385</v>
      </c>
      <c r="C124" s="68" t="s">
        <v>313</v>
      </c>
      <c r="D124" s="69">
        <v>0</v>
      </c>
      <c r="E124" s="21" t="s">
        <v>386</v>
      </c>
      <c r="F124" s="68" t="s">
        <v>387</v>
      </c>
      <c r="G124" s="69">
        <v>14953165</v>
      </c>
    </row>
    <row r="125" spans="2:7" ht="13.7" customHeight="1" x14ac:dyDescent="0.25">
      <c r="B125" s="6" t="s">
        <v>388</v>
      </c>
      <c r="C125" s="19" t="s">
        <v>389</v>
      </c>
      <c r="D125" s="69">
        <v>16928</v>
      </c>
      <c r="E125" s="21" t="s">
        <v>390</v>
      </c>
      <c r="F125" s="68" t="s">
        <v>391</v>
      </c>
      <c r="G125" s="69">
        <v>0</v>
      </c>
    </row>
    <row r="126" spans="2:7" ht="13.7" customHeight="1" thickBot="1" x14ac:dyDescent="0.3">
      <c r="B126" s="6"/>
      <c r="C126" s="28" t="s">
        <v>392</v>
      </c>
      <c r="D126" s="37">
        <f>SUM(D123:D125)</f>
        <v>466122</v>
      </c>
      <c r="E126" s="21" t="s">
        <v>393</v>
      </c>
      <c r="F126" s="68" t="s">
        <v>394</v>
      </c>
      <c r="G126" s="69">
        <v>0</v>
      </c>
    </row>
    <row r="127" spans="2:7" ht="13.7" customHeight="1" x14ac:dyDescent="0.25">
      <c r="B127" s="6" t="s">
        <v>395</v>
      </c>
      <c r="C127" s="66" t="s">
        <v>274</v>
      </c>
      <c r="D127" s="67">
        <v>1004713</v>
      </c>
      <c r="E127" s="21" t="s">
        <v>396</v>
      </c>
      <c r="F127" s="68" t="s">
        <v>397</v>
      </c>
      <c r="G127" s="69">
        <v>0</v>
      </c>
    </row>
    <row r="128" spans="2:7" ht="13.7" customHeight="1" x14ac:dyDescent="0.25">
      <c r="B128" s="6" t="s">
        <v>398</v>
      </c>
      <c r="C128" s="68" t="s">
        <v>399</v>
      </c>
      <c r="D128" s="69">
        <v>2552137</v>
      </c>
      <c r="E128" s="21" t="s">
        <v>400</v>
      </c>
      <c r="F128" s="68" t="s">
        <v>401</v>
      </c>
      <c r="G128" s="69">
        <v>0</v>
      </c>
    </row>
    <row r="129" spans="2:7" ht="13.7" customHeight="1" x14ac:dyDescent="0.25">
      <c r="B129" s="6" t="s">
        <v>402</v>
      </c>
      <c r="C129" s="68" t="s">
        <v>277</v>
      </c>
      <c r="D129" s="69">
        <v>101741</v>
      </c>
      <c r="E129" s="21" t="s">
        <v>403</v>
      </c>
      <c r="F129" s="68" t="s">
        <v>404</v>
      </c>
      <c r="G129" s="69">
        <v>1361271</v>
      </c>
    </row>
    <row r="130" spans="2:7" ht="13.7" customHeight="1" x14ac:dyDescent="0.25">
      <c r="B130" s="6" t="s">
        <v>405</v>
      </c>
      <c r="C130" s="68" t="s">
        <v>283</v>
      </c>
      <c r="D130" s="69">
        <v>279696</v>
      </c>
      <c r="E130" s="21" t="s">
        <v>406</v>
      </c>
      <c r="F130" s="68" t="s">
        <v>407</v>
      </c>
      <c r="G130" s="69">
        <v>0</v>
      </c>
    </row>
    <row r="131" spans="2:7" ht="13.7" customHeight="1" x14ac:dyDescent="0.25">
      <c r="B131" s="6" t="s">
        <v>408</v>
      </c>
      <c r="C131" s="68" t="s">
        <v>287</v>
      </c>
      <c r="D131" s="69">
        <v>291914</v>
      </c>
      <c r="E131" s="21" t="s">
        <v>409</v>
      </c>
      <c r="F131" s="68" t="s">
        <v>410</v>
      </c>
      <c r="G131" s="69">
        <v>0</v>
      </c>
    </row>
    <row r="132" spans="2:7" ht="13.7" customHeight="1" x14ac:dyDescent="0.25">
      <c r="B132" s="6" t="s">
        <v>411</v>
      </c>
      <c r="C132" s="68" t="s">
        <v>291</v>
      </c>
      <c r="D132" s="69">
        <v>274846</v>
      </c>
      <c r="E132" s="21" t="s">
        <v>412</v>
      </c>
      <c r="F132" s="68" t="s">
        <v>413</v>
      </c>
      <c r="G132" s="69">
        <v>0</v>
      </c>
    </row>
    <row r="133" spans="2:7" ht="13.7" customHeight="1" x14ac:dyDescent="0.25">
      <c r="B133" s="6" t="s">
        <v>414</v>
      </c>
      <c r="C133" s="68" t="s">
        <v>295</v>
      </c>
      <c r="D133" s="69">
        <v>118142</v>
      </c>
      <c r="E133" s="21" t="s">
        <v>415</v>
      </c>
      <c r="F133" s="68" t="s">
        <v>416</v>
      </c>
      <c r="G133" s="69">
        <v>0</v>
      </c>
    </row>
    <row r="134" spans="2:7" ht="13.7" customHeight="1" x14ac:dyDescent="0.25">
      <c r="B134" s="6" t="s">
        <v>417</v>
      </c>
      <c r="C134" s="68" t="s">
        <v>418</v>
      </c>
      <c r="D134" s="69">
        <v>3320328</v>
      </c>
      <c r="E134" s="21" t="s">
        <v>419</v>
      </c>
      <c r="F134" s="68" t="s">
        <v>420</v>
      </c>
      <c r="G134" s="69">
        <v>0</v>
      </c>
    </row>
    <row r="135" spans="2:7" ht="13.7" customHeight="1" x14ac:dyDescent="0.25">
      <c r="B135" s="6" t="s">
        <v>421</v>
      </c>
      <c r="C135" s="68" t="s">
        <v>422</v>
      </c>
      <c r="D135" s="69">
        <v>4048997</v>
      </c>
      <c r="E135" s="21" t="s">
        <v>423</v>
      </c>
      <c r="F135" s="68" t="s">
        <v>424</v>
      </c>
      <c r="G135" s="69">
        <v>0</v>
      </c>
    </row>
    <row r="136" spans="2:7" ht="13.7" customHeight="1" x14ac:dyDescent="0.25">
      <c r="B136" s="6" t="s">
        <v>425</v>
      </c>
      <c r="C136" s="68" t="s">
        <v>318</v>
      </c>
      <c r="D136" s="69">
        <v>7499074</v>
      </c>
      <c r="E136" s="21" t="s">
        <v>426</v>
      </c>
      <c r="F136" s="68" t="s">
        <v>427</v>
      </c>
      <c r="G136" s="69">
        <v>0</v>
      </c>
    </row>
    <row r="137" spans="2:7" ht="13.7" customHeight="1" x14ac:dyDescent="0.25">
      <c r="B137" s="6" t="s">
        <v>428</v>
      </c>
      <c r="C137" s="19" t="s">
        <v>320</v>
      </c>
      <c r="D137" s="71">
        <f>868489-16928-14375</f>
        <v>837186</v>
      </c>
      <c r="E137" s="21" t="s">
        <v>429</v>
      </c>
      <c r="F137" s="68" t="s">
        <v>430</v>
      </c>
      <c r="G137" s="69">
        <f>5568058-361189-114240-716036-192713-248027</f>
        <v>3935853</v>
      </c>
    </row>
    <row r="138" spans="2:7" ht="13.7" customHeight="1" thickBot="1" x14ac:dyDescent="0.3">
      <c r="B138" s="6"/>
      <c r="C138" s="28" t="s">
        <v>321</v>
      </c>
      <c r="D138" s="37">
        <f>SUM(D127:D137)</f>
        <v>20328774</v>
      </c>
      <c r="E138" s="21" t="s">
        <v>431</v>
      </c>
      <c r="F138" s="19" t="s">
        <v>432</v>
      </c>
      <c r="G138" s="20">
        <v>329597</v>
      </c>
    </row>
    <row r="139" spans="2:7" ht="13.7" customHeight="1" thickBot="1" x14ac:dyDescent="0.3">
      <c r="B139" s="6" t="s">
        <v>433</v>
      </c>
      <c r="C139" s="66" t="s">
        <v>327</v>
      </c>
      <c r="D139" s="67">
        <v>0</v>
      </c>
      <c r="E139" s="7"/>
      <c r="F139" s="28" t="s">
        <v>434</v>
      </c>
      <c r="G139" s="37">
        <f>SUM(G124:G138)</f>
        <v>20579886</v>
      </c>
    </row>
    <row r="140" spans="2:7" ht="13.7" customHeight="1" thickBot="1" x14ac:dyDescent="0.3">
      <c r="B140" s="6" t="s">
        <v>435</v>
      </c>
      <c r="C140" s="68" t="s">
        <v>329</v>
      </c>
      <c r="D140" s="69">
        <v>1703912</v>
      </c>
      <c r="E140" s="7"/>
      <c r="F140" s="48" t="s">
        <v>436</v>
      </c>
      <c r="G140" s="72">
        <f>G123-G139</f>
        <v>-19795881</v>
      </c>
    </row>
    <row r="141" spans="2:7" ht="13.7" customHeight="1" x14ac:dyDescent="0.25">
      <c r="B141" s="6" t="s">
        <v>437</v>
      </c>
      <c r="C141" s="19" t="s">
        <v>331</v>
      </c>
      <c r="D141" s="71">
        <f>52171-19380</f>
        <v>32791</v>
      </c>
      <c r="E141" s="73"/>
    </row>
    <row r="142" spans="2:7" ht="13.7" customHeight="1" thickBot="1" x14ac:dyDescent="0.3">
      <c r="B142" s="6"/>
      <c r="C142" s="28" t="s">
        <v>332</v>
      </c>
      <c r="D142" s="37">
        <f>SUM(D139:D141)</f>
        <v>1736703</v>
      </c>
      <c r="E142" s="73"/>
    </row>
    <row r="143" spans="2:7" ht="13.7" customHeight="1" thickBot="1" x14ac:dyDescent="0.3">
      <c r="B143" s="6"/>
      <c r="C143" s="59" t="s">
        <v>438</v>
      </c>
      <c r="D143" s="74">
        <f>[27]Amortizaciones!D33</f>
        <v>1768588</v>
      </c>
      <c r="E143" s="21"/>
      <c r="F143" s="48" t="s">
        <v>439</v>
      </c>
      <c r="G143" s="17">
        <f>+[27]E.S.P.!D6</f>
        <v>2020</v>
      </c>
    </row>
    <row r="144" spans="2:7" ht="13.7" customHeight="1" x14ac:dyDescent="0.25">
      <c r="B144" s="6" t="s">
        <v>440</v>
      </c>
      <c r="C144" s="66" t="s">
        <v>441</v>
      </c>
      <c r="D144" s="67">
        <f>716036+361189</f>
        <v>1077225</v>
      </c>
      <c r="E144" s="21" t="s">
        <v>442</v>
      </c>
      <c r="F144" s="66" t="s">
        <v>443</v>
      </c>
      <c r="G144" s="67">
        <v>9684190</v>
      </c>
    </row>
    <row r="145" spans="2:7" ht="13.7" customHeight="1" x14ac:dyDescent="0.25">
      <c r="B145" s="6" t="s">
        <v>444</v>
      </c>
      <c r="C145" s="68" t="s">
        <v>445</v>
      </c>
      <c r="D145" s="69">
        <f>114240+192713+248027</f>
        <v>554980</v>
      </c>
      <c r="E145" s="21" t="s">
        <v>446</v>
      </c>
      <c r="F145" s="68" t="s">
        <v>447</v>
      </c>
      <c r="G145" s="69">
        <v>4452832</v>
      </c>
    </row>
    <row r="146" spans="2:7" ht="13.7" customHeight="1" x14ac:dyDescent="0.25">
      <c r="B146" s="6" t="s">
        <v>448</v>
      </c>
      <c r="C146" s="75" t="s">
        <v>449</v>
      </c>
      <c r="D146" s="69"/>
      <c r="E146" s="21" t="s">
        <v>450</v>
      </c>
      <c r="F146" s="68" t="s">
        <v>451</v>
      </c>
      <c r="G146" s="69">
        <v>298698</v>
      </c>
    </row>
    <row r="147" spans="2:7" ht="13.7" customHeight="1" x14ac:dyDescent="0.25">
      <c r="B147" s="6" t="s">
        <v>452</v>
      </c>
      <c r="C147" s="19" t="s">
        <v>453</v>
      </c>
      <c r="D147" s="71">
        <v>19380</v>
      </c>
      <c r="E147" s="21" t="s">
        <v>454</v>
      </c>
      <c r="F147" s="68" t="s">
        <v>455</v>
      </c>
      <c r="G147" s="69">
        <v>1295837</v>
      </c>
    </row>
    <row r="148" spans="2:7" ht="13.7" customHeight="1" thickBot="1" x14ac:dyDescent="0.3">
      <c r="B148" s="6"/>
      <c r="C148" s="28" t="s">
        <v>456</v>
      </c>
      <c r="D148" s="37">
        <f>SUM(D144:D147)</f>
        <v>1651585</v>
      </c>
      <c r="E148" s="21" t="s">
        <v>457</v>
      </c>
      <c r="F148" s="68" t="s">
        <v>458</v>
      </c>
      <c r="G148" s="69">
        <v>0</v>
      </c>
    </row>
    <row r="149" spans="2:7" ht="13.7" customHeight="1" x14ac:dyDescent="0.25">
      <c r="B149" s="6" t="s">
        <v>459</v>
      </c>
      <c r="C149" s="66" t="s">
        <v>460</v>
      </c>
      <c r="D149" s="67">
        <f>1212442-1815.18</f>
        <v>1210626.82</v>
      </c>
      <c r="E149" s="21" t="s">
        <v>461</v>
      </c>
      <c r="F149" s="68" t="s">
        <v>462</v>
      </c>
      <c r="G149" s="69">
        <v>0</v>
      </c>
    </row>
    <row r="150" spans="2:7" ht="13.7" customHeight="1" x14ac:dyDescent="0.25">
      <c r="B150" s="6" t="s">
        <v>463</v>
      </c>
      <c r="C150" s="68" t="s">
        <v>464</v>
      </c>
      <c r="D150" s="69">
        <v>0</v>
      </c>
      <c r="E150" s="21" t="s">
        <v>465</v>
      </c>
      <c r="F150" s="68" t="s">
        <v>466</v>
      </c>
      <c r="G150" s="69">
        <v>0</v>
      </c>
    </row>
    <row r="151" spans="2:7" ht="13.7" customHeight="1" x14ac:dyDescent="0.25">
      <c r="B151" s="6" t="s">
        <v>467</v>
      </c>
      <c r="C151" s="19" t="s">
        <v>468</v>
      </c>
      <c r="D151" s="71">
        <v>14376</v>
      </c>
      <c r="E151" s="21" t="s">
        <v>469</v>
      </c>
      <c r="F151" s="68" t="s">
        <v>470</v>
      </c>
      <c r="G151" s="69">
        <v>0</v>
      </c>
    </row>
    <row r="152" spans="2:7" ht="13.7" customHeight="1" thickBot="1" x14ac:dyDescent="0.3">
      <c r="B152" s="6"/>
      <c r="C152" s="28" t="s">
        <v>471</v>
      </c>
      <c r="D152" s="37">
        <f>SUM(D149:D151)</f>
        <v>1225002.82</v>
      </c>
      <c r="E152" s="21" t="s">
        <v>472</v>
      </c>
      <c r="F152" s="68" t="s">
        <v>473</v>
      </c>
      <c r="G152" s="69">
        <v>1248752</v>
      </c>
    </row>
    <row r="153" spans="2:7" ht="13.7" customHeight="1" thickBot="1" x14ac:dyDescent="0.3">
      <c r="B153" s="6"/>
      <c r="C153" s="48" t="s">
        <v>474</v>
      </c>
      <c r="D153" s="76">
        <f>D122+D126+D138+D142+D143+D148+D152</f>
        <v>88182108.819999993</v>
      </c>
      <c r="E153" s="21" t="s">
        <v>475</v>
      </c>
      <c r="F153" s="19" t="s">
        <v>476</v>
      </c>
      <c r="G153" s="20">
        <v>386767</v>
      </c>
    </row>
    <row r="154" spans="2:7" ht="13.7" customHeight="1" thickBot="1" x14ac:dyDescent="0.3">
      <c r="B154" s="6"/>
      <c r="E154" s="21"/>
      <c r="F154" s="28" t="s">
        <v>477</v>
      </c>
      <c r="G154" s="37">
        <f>SUM(G144:G153)</f>
        <v>17367076</v>
      </c>
    </row>
    <row r="155" spans="2:7" ht="13.7" customHeight="1" thickBot="1" x14ac:dyDescent="0.3">
      <c r="B155" s="6"/>
      <c r="C155" s="77" t="s">
        <v>478</v>
      </c>
      <c r="D155" s="65">
        <f>G109-D153</f>
        <v>91078854.599999845</v>
      </c>
      <c r="E155" s="21" t="s">
        <v>479</v>
      </c>
      <c r="F155" s="66" t="s">
        <v>480</v>
      </c>
      <c r="G155" s="67">
        <v>207152</v>
      </c>
    </row>
    <row r="156" spans="2:7" ht="13.7" customHeight="1" x14ac:dyDescent="0.25">
      <c r="E156" s="21" t="s">
        <v>481</v>
      </c>
      <c r="F156" s="68" t="s">
        <v>482</v>
      </c>
      <c r="G156" s="69">
        <v>0</v>
      </c>
    </row>
    <row r="157" spans="2:7" ht="13.7" customHeight="1" x14ac:dyDescent="0.25">
      <c r="E157" s="21" t="s">
        <v>483</v>
      </c>
      <c r="F157" s="68" t="s">
        <v>484</v>
      </c>
      <c r="G157" s="69">
        <v>0</v>
      </c>
    </row>
    <row r="158" spans="2:7" ht="13.7" customHeight="1" x14ac:dyDescent="0.25">
      <c r="E158" s="21" t="s">
        <v>485</v>
      </c>
      <c r="F158" s="68" t="s">
        <v>486</v>
      </c>
      <c r="G158" s="69">
        <v>0</v>
      </c>
    </row>
    <row r="159" spans="2:7" ht="13.7" customHeight="1" x14ac:dyDescent="0.25">
      <c r="E159" s="21" t="s">
        <v>487</v>
      </c>
      <c r="F159" s="68" t="s">
        <v>488</v>
      </c>
      <c r="G159" s="69">
        <v>0</v>
      </c>
    </row>
    <row r="160" spans="2:7" ht="13.7" customHeight="1" x14ac:dyDescent="0.25">
      <c r="E160" s="21" t="s">
        <v>489</v>
      </c>
      <c r="F160" s="68" t="s">
        <v>490</v>
      </c>
      <c r="G160" s="69">
        <v>0</v>
      </c>
    </row>
    <row r="161" spans="5:7" ht="13.7" customHeight="1" x14ac:dyDescent="0.25">
      <c r="E161" s="21" t="s">
        <v>491</v>
      </c>
      <c r="F161" s="68" t="s">
        <v>492</v>
      </c>
      <c r="G161" s="69">
        <v>7773</v>
      </c>
    </row>
    <row r="162" spans="5:7" ht="13.7" customHeight="1" x14ac:dyDescent="0.25">
      <c r="E162" s="21" t="s">
        <v>493</v>
      </c>
      <c r="F162" s="68" t="s">
        <v>494</v>
      </c>
      <c r="G162" s="69">
        <v>0</v>
      </c>
    </row>
    <row r="163" spans="5:7" ht="13.7" customHeight="1" x14ac:dyDescent="0.25">
      <c r="E163" s="21" t="s">
        <v>495</v>
      </c>
      <c r="F163" s="68" t="s">
        <v>496</v>
      </c>
      <c r="G163" s="69">
        <v>0</v>
      </c>
    </row>
    <row r="164" spans="5:7" ht="13.7" customHeight="1" x14ac:dyDescent="0.25">
      <c r="E164" s="21" t="s">
        <v>497</v>
      </c>
      <c r="F164" s="68" t="s">
        <v>498</v>
      </c>
      <c r="G164" s="69">
        <v>0</v>
      </c>
    </row>
    <row r="165" spans="5:7" ht="13.7" customHeight="1" x14ac:dyDescent="0.25">
      <c r="E165" s="21" t="s">
        <v>499</v>
      </c>
      <c r="F165" s="68" t="s">
        <v>500</v>
      </c>
      <c r="G165" s="69">
        <v>6351112</v>
      </c>
    </row>
    <row r="166" spans="5:7" ht="13.7" customHeight="1" x14ac:dyDescent="0.25">
      <c r="E166" s="21" t="s">
        <v>501</v>
      </c>
      <c r="F166" s="68" t="s">
        <v>502</v>
      </c>
      <c r="G166" s="69">
        <v>4060365</v>
      </c>
    </row>
    <row r="167" spans="5:7" ht="13.7" customHeight="1" x14ac:dyDescent="0.25">
      <c r="E167" s="21" t="s">
        <v>503</v>
      </c>
      <c r="F167" s="19" t="s">
        <v>504</v>
      </c>
      <c r="G167" s="20">
        <v>53071</v>
      </c>
    </row>
    <row r="168" spans="5:7" ht="13.7" customHeight="1" thickBot="1" x14ac:dyDescent="0.3">
      <c r="E168" s="21"/>
      <c r="F168" s="28" t="s">
        <v>505</v>
      </c>
      <c r="G168" s="37">
        <f>SUM(G155:G167)</f>
        <v>10679473</v>
      </c>
    </row>
    <row r="169" spans="5:7" ht="13.7" customHeight="1" thickBot="1" x14ac:dyDescent="0.3">
      <c r="E169" s="21"/>
      <c r="F169" s="48" t="s">
        <v>506</v>
      </c>
      <c r="G169" s="72">
        <f>G154-G168</f>
        <v>6687603</v>
      </c>
    </row>
    <row r="170" spans="5:7" ht="13.7" customHeight="1" thickBot="1" x14ac:dyDescent="0.3">
      <c r="E170" s="21"/>
      <c r="F170" s="78"/>
      <c r="G170" s="78"/>
    </row>
    <row r="171" spans="5:7" ht="13.7" customHeight="1" thickBot="1" x14ac:dyDescent="0.3">
      <c r="E171" s="21"/>
      <c r="F171" s="77" t="s">
        <v>507</v>
      </c>
      <c r="G171" s="79"/>
    </row>
    <row r="172" spans="5:7" ht="13.7" customHeight="1" thickBot="1" x14ac:dyDescent="0.3">
      <c r="E172" s="21"/>
      <c r="F172" s="80"/>
      <c r="G172" s="81">
        <f>+D155+G140+G169</f>
        <v>77970576.599999845</v>
      </c>
    </row>
    <row r="173" spans="5:7" ht="13.7" customHeight="1" thickBot="1" x14ac:dyDescent="0.3">
      <c r="E173" s="21"/>
      <c r="F173" s="5"/>
      <c r="G173" s="5"/>
    </row>
    <row r="174" spans="5:7" ht="13.7" customHeight="1" thickBot="1" x14ac:dyDescent="0.3">
      <c r="E174" s="21"/>
      <c r="F174" s="48" t="s">
        <v>508</v>
      </c>
      <c r="G174" s="17">
        <f>+G143</f>
        <v>2020</v>
      </c>
    </row>
    <row r="175" spans="5:7" ht="13.7" customHeight="1" x14ac:dyDescent="0.25">
      <c r="E175" s="21"/>
      <c r="F175" s="66" t="s">
        <v>509</v>
      </c>
      <c r="G175" s="67"/>
    </row>
    <row r="176" spans="5:7" ht="13.7" customHeight="1" x14ac:dyDescent="0.25">
      <c r="E176" s="21"/>
      <c r="F176" s="68" t="s">
        <v>510</v>
      </c>
      <c r="G176" s="69"/>
    </row>
    <row r="177" spans="1:8" ht="13.7" customHeight="1" thickBot="1" x14ac:dyDescent="0.3">
      <c r="F177" s="68" t="s">
        <v>511</v>
      </c>
      <c r="G177" s="69"/>
    </row>
    <row r="178" spans="1:8" ht="13.7" customHeight="1" thickBot="1" x14ac:dyDescent="0.3">
      <c r="F178" s="48" t="s">
        <v>512</v>
      </c>
      <c r="G178" s="72">
        <f>SUM(G175:G177)</f>
        <v>0</v>
      </c>
    </row>
    <row r="179" spans="1:8" ht="13.7" customHeight="1" thickBot="1" x14ac:dyDescent="0.3"/>
    <row r="180" spans="1:8" ht="13.7" customHeight="1" thickBot="1" x14ac:dyDescent="0.3">
      <c r="F180" s="77" t="s">
        <v>513</v>
      </c>
      <c r="G180" s="79"/>
    </row>
    <row r="181" spans="1:8" ht="13.7" customHeight="1" thickBot="1" x14ac:dyDescent="0.3">
      <c r="F181" s="83"/>
      <c r="G181" s="81">
        <f>+G172+G178</f>
        <v>77970576.599999845</v>
      </c>
    </row>
    <row r="182" spans="1:8" ht="13.7" customHeight="1" x14ac:dyDescent="0.25"/>
    <row r="183" spans="1:8" ht="13.5" customHeight="1" x14ac:dyDescent="0.25"/>
    <row r="184" spans="1:8" ht="13.7" customHeight="1" x14ac:dyDescent="0.25">
      <c r="E184" s="84"/>
      <c r="F184" s="84"/>
      <c r="G184" s="84"/>
      <c r="H184" s="84"/>
    </row>
    <row r="185" spans="1:8" s="84" customFormat="1" ht="13.7" customHeight="1" x14ac:dyDescent="0.25">
      <c r="A185" s="85"/>
      <c r="E185" s="82"/>
      <c r="F185" s="86"/>
      <c r="G185" s="86"/>
    </row>
    <row r="186" spans="1:8" s="84" customFormat="1" ht="12.75" x14ac:dyDescent="0.25">
      <c r="A186" s="85"/>
      <c r="E186" s="82"/>
      <c r="F186" s="86"/>
      <c r="G186" s="86"/>
    </row>
    <row r="187" spans="1:8" s="84" customFormat="1" ht="12.75" hidden="1" x14ac:dyDescent="0.25">
      <c r="A187" s="85"/>
      <c r="E187" s="82"/>
      <c r="F187" s="86"/>
      <c r="G187" s="86"/>
    </row>
    <row r="188" spans="1:8" s="84" customFormat="1" ht="12.75" hidden="1" x14ac:dyDescent="0.25">
      <c r="A188" s="85"/>
      <c r="E188" s="82"/>
      <c r="F188" s="86"/>
      <c r="G188" s="86"/>
    </row>
    <row r="189" spans="1:8" s="84" customFormat="1" ht="12.75" hidden="1" x14ac:dyDescent="0.25">
      <c r="A189" s="85"/>
      <c r="E189" s="82"/>
      <c r="F189" s="86"/>
      <c r="G189" s="86"/>
    </row>
    <row r="190" spans="1:8" s="84" customFormat="1" ht="12.75" hidden="1" x14ac:dyDescent="0.25">
      <c r="A190" s="85"/>
      <c r="E190" s="82"/>
      <c r="F190" s="86"/>
      <c r="G190" s="86"/>
    </row>
    <row r="191" spans="1:8" s="84" customFormat="1" ht="12.75" hidden="1" x14ac:dyDescent="0.25">
      <c r="A191" s="85"/>
      <c r="E191" s="82"/>
      <c r="F191" s="86"/>
      <c r="G191" s="86"/>
    </row>
    <row r="192" spans="1:8" s="84" customFormat="1" ht="12.75" hidden="1" x14ac:dyDescent="0.25">
      <c r="A192" s="85"/>
      <c r="E192" s="82"/>
      <c r="F192" s="86"/>
      <c r="G192" s="86"/>
    </row>
    <row r="193" spans="5:7" s="84" customFormat="1" ht="12.75" hidden="1" x14ac:dyDescent="0.25">
      <c r="E193" s="82"/>
      <c r="F193" s="86"/>
      <c r="G193" s="86"/>
    </row>
    <row r="194" spans="5:7" s="84" customFormat="1" ht="12.75" hidden="1" x14ac:dyDescent="0.25">
      <c r="E194" s="82"/>
      <c r="F194" s="86"/>
      <c r="G194" s="86"/>
    </row>
    <row r="195" spans="5:7" s="84" customFormat="1" ht="12.75" hidden="1" x14ac:dyDescent="0.25">
      <c r="E195" s="82"/>
      <c r="F195" s="86"/>
      <c r="G195" s="86"/>
    </row>
    <row r="196" spans="5:7" s="84" customFormat="1" ht="12.75" hidden="1" x14ac:dyDescent="0.25">
      <c r="E196" s="82"/>
      <c r="F196" s="86"/>
      <c r="G196" s="86"/>
    </row>
    <row r="197" spans="5:7" s="84" customFormat="1" ht="12.75" hidden="1" x14ac:dyDescent="0.25">
      <c r="E197" s="82"/>
      <c r="F197" s="86"/>
      <c r="G197" s="86"/>
    </row>
    <row r="198" spans="5:7" s="84" customFormat="1" ht="12.75" hidden="1" x14ac:dyDescent="0.25">
      <c r="E198" s="82"/>
      <c r="F198" s="86"/>
      <c r="G198" s="86"/>
    </row>
    <row r="199" spans="5:7" s="84" customFormat="1" ht="12.75" hidden="1" x14ac:dyDescent="0.25">
      <c r="E199" s="82"/>
      <c r="F199" s="86"/>
      <c r="G199" s="86"/>
    </row>
    <row r="200" spans="5:7" s="84" customFormat="1" ht="12.75" hidden="1" x14ac:dyDescent="0.25">
      <c r="E200" s="82"/>
      <c r="F200" s="86"/>
      <c r="G200" s="86"/>
    </row>
    <row r="201" spans="5:7" s="84" customFormat="1" ht="12.75" hidden="1" x14ac:dyDescent="0.25">
      <c r="E201" s="82"/>
      <c r="F201" s="86"/>
      <c r="G201" s="86"/>
    </row>
    <row r="202" spans="5:7" s="84" customFormat="1" ht="12.75" hidden="1" x14ac:dyDescent="0.25">
      <c r="E202" s="82"/>
      <c r="F202" s="86"/>
      <c r="G202" s="86"/>
    </row>
    <row r="203" spans="5:7" s="84" customFormat="1" ht="12.75" hidden="1" x14ac:dyDescent="0.25">
      <c r="E203" s="82"/>
      <c r="F203" s="86"/>
      <c r="G203" s="86"/>
    </row>
    <row r="204" spans="5:7" s="84" customFormat="1" ht="12.75" hidden="1" x14ac:dyDescent="0.25">
      <c r="E204" s="82"/>
      <c r="F204" s="86"/>
      <c r="G204" s="86"/>
    </row>
    <row r="205" spans="5:7" s="84" customFormat="1" ht="12.75" hidden="1" x14ac:dyDescent="0.25">
      <c r="E205" s="82"/>
      <c r="F205" s="86"/>
      <c r="G205" s="86"/>
    </row>
    <row r="206" spans="5:7" s="84" customFormat="1" ht="12.75" hidden="1" x14ac:dyDescent="0.25">
      <c r="E206" s="82"/>
      <c r="F206" s="86"/>
      <c r="G206" s="86"/>
    </row>
    <row r="207" spans="5:7" s="84" customFormat="1" ht="12.75" hidden="1" x14ac:dyDescent="0.25">
      <c r="E207" s="82"/>
      <c r="F207" s="86"/>
      <c r="G207" s="86"/>
    </row>
    <row r="208" spans="5:7" s="84" customFormat="1" ht="12.75" hidden="1" x14ac:dyDescent="0.25">
      <c r="E208" s="82"/>
      <c r="F208" s="86"/>
      <c r="G208" s="86"/>
    </row>
    <row r="209" spans="3:8" s="84" customFormat="1" ht="12.75" hidden="1" x14ac:dyDescent="0.25">
      <c r="E209" s="82"/>
      <c r="F209" s="86"/>
      <c r="G209" s="86"/>
    </row>
    <row r="210" spans="3:8" s="84" customFormat="1" ht="12.75" hidden="1" x14ac:dyDescent="0.25">
      <c r="E210" s="82"/>
      <c r="F210" s="86"/>
      <c r="G210" s="86"/>
    </row>
    <row r="211" spans="3:8" s="84" customFormat="1" ht="12.75" hidden="1" x14ac:dyDescent="0.25">
      <c r="E211" s="82"/>
      <c r="F211" s="86"/>
      <c r="G211" s="86"/>
    </row>
    <row r="212" spans="3:8" s="84" customFormat="1" ht="12.75" hidden="1" x14ac:dyDescent="0.25">
      <c r="E212" s="82"/>
      <c r="F212" s="86"/>
      <c r="G212" s="86"/>
    </row>
    <row r="213" spans="3:8" s="84" customFormat="1" ht="12.75" hidden="1" x14ac:dyDescent="0.25">
      <c r="E213" s="82"/>
      <c r="F213" s="86"/>
      <c r="G213" s="86"/>
    </row>
    <row r="214" spans="3:8" s="84" customFormat="1" hidden="1" x14ac:dyDescent="0.25">
      <c r="E214" s="82"/>
      <c r="F214" s="87"/>
      <c r="G214" s="58"/>
      <c r="H214" s="5"/>
    </row>
    <row r="215" spans="3:8" hidden="1" x14ac:dyDescent="0.25">
      <c r="C215" s="86"/>
      <c r="D215" s="86"/>
      <c r="F215" s="87"/>
    </row>
    <row r="216" spans="3:8" hidden="1" x14ac:dyDescent="0.25"/>
    <row r="217" spans="3:8" hidden="1" x14ac:dyDescent="0.25"/>
    <row r="218" spans="3:8" hidden="1" x14ac:dyDescent="0.25"/>
    <row r="219" spans="3:8" hidden="1" x14ac:dyDescent="0.25"/>
    <row r="220" spans="3:8" hidden="1" x14ac:dyDescent="0.25"/>
    <row r="221" spans="3:8" hidden="1" x14ac:dyDescent="0.25"/>
    <row r="222" spans="3:8" hidden="1" x14ac:dyDescent="0.25"/>
    <row r="223" spans="3:8" hidden="1" x14ac:dyDescent="0.25"/>
    <row r="224" spans="3:8"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sheetData>
  <mergeCells count="6">
    <mergeCell ref="C1:D1"/>
    <mergeCell ref="E1:F1"/>
    <mergeCell ref="C2:D2"/>
    <mergeCell ref="E2:F2"/>
    <mergeCell ref="C3:D3"/>
    <mergeCell ref="E3:F3"/>
  </mergeCells>
  <conditionalFormatting sqref="D7:D12">
    <cfRule type="cellIs" dxfId="97" priority="2" stopIfTrue="1" operator="greaterThan">
      <formula>50</formula>
    </cfRule>
    <cfRule type="cellIs" dxfId="96" priority="11" stopIfTrue="1" operator="equal">
      <formula>0</formula>
    </cfRule>
  </conditionalFormatting>
  <conditionalFormatting sqref="D7:D61">
    <cfRule type="cellIs" dxfId="95" priority="9" stopIfTrue="1" operator="between">
      <formula>-0.1</formula>
      <formula>-50</formula>
    </cfRule>
    <cfRule type="cellIs" dxfId="94" priority="10" stopIfTrue="1" operator="between">
      <formula>0.1</formula>
      <formula>50</formula>
    </cfRule>
  </conditionalFormatting>
  <conditionalFormatting sqref="G152:G181 G7:G150">
    <cfRule type="cellIs" dxfId="93" priority="7" stopIfTrue="1" operator="between">
      <formula>-0.1</formula>
      <formula>-50</formula>
    </cfRule>
    <cfRule type="cellIs" dxfId="92" priority="8" stopIfTrue="1" operator="between">
      <formula>0.1</formula>
      <formula>50</formula>
    </cfRule>
  </conditionalFormatting>
  <conditionalFormatting sqref="D111:D155">
    <cfRule type="cellIs" dxfId="91" priority="5" stopIfTrue="1" operator="between">
      <formula>-0.1</formula>
      <formula>-50</formula>
    </cfRule>
    <cfRule type="cellIs" dxfId="90" priority="6" stopIfTrue="1" operator="between">
      <formula>0.1</formula>
      <formula>50</formula>
    </cfRule>
  </conditionalFormatting>
  <conditionalFormatting sqref="G165">
    <cfRule type="expression" dxfId="89" priority="4" stopIfTrue="1">
      <formula>AND($G$165&gt;0,$G$151&gt;0)</formula>
    </cfRule>
  </conditionalFormatting>
  <conditionalFormatting sqref="G151">
    <cfRule type="expression" dxfId="88" priority="1" stopIfTrue="1">
      <formula>AND($G$151&gt;0,$G$165&gt;0)</formula>
    </cfRule>
  </conditionalFormatting>
  <dataValidations count="11">
    <dataValidation type="custom" operator="greaterThan" showInputMessage="1" showErrorMessage="1" errorTitle="RDM" error="No se admite ingresar RDM como ingresos y egresos a la vez. Tampoco se admiten valores menores a $50._x000a_" sqref="G151">
      <formula1>AND(OR(G151=0, G151&gt;50),G165=0)</formula1>
    </dataValidation>
    <dataValidation type="whole" operator="greaterThan" allowBlank="1" showInputMessage="1" showErrorMessage="1" sqref="D8:D12">
      <formula1>50</formula1>
    </dataValidation>
    <dataValidation type="whole" operator="greaterThan" showInputMessage="1" showErrorMessage="1" errorTitle="eee" error="Valores mayores a $50" sqref="D7">
      <formula1>50</formula1>
    </dataValidation>
    <dataValidation type="custom" operator="greaterThan" showInputMessage="1" showErrorMessage="1" errorTitle="eee" sqref="D56">
      <formula1>OR(D56=0, D56&lt;50)</formula1>
    </dataValidation>
    <dataValidation type="custom" operator="greaterThan" showInputMessage="1" showErrorMessage="1" errorTitle="eee" sqref="D57:D61">
      <formula1>OR(D57=0, D57&lt;0)</formula1>
    </dataValidation>
    <dataValidation type="custom" operator="greaterThan" showInputMessage="1" showErrorMessage="1" errorTitle="eee" sqref="G7:G140 D62:D155 G152:G164 G166:G181 G144:G150 D13:D55">
      <formula1>OR(D7=0, D7&gt;50)</formula1>
    </dataValidation>
    <dataValidation type="whole" allowBlank="1" showErrorMessage="1" errorTitle="Error de datos" error="Debe ingresar un valor entre 1 y 12" sqref="G1:G3">
      <formula1>1</formula1>
      <formula2>12</formula2>
    </dataValidation>
    <dataValidation allowBlank="1" errorTitle="Error de datos" error="Debe introducir una fecha válida" sqref="E3"/>
    <dataValidation allowBlank="1" sqref="G204"/>
    <dataValidation operator="greaterThanOrEqual" allowBlank="1" errorTitle="Error de datos" error="Debe ingresar un valor entero positivo" sqref="F6:F107 F203 C13:C47 C106:C153 F171 F174:F178 F180 F111:F119 C7:C10 F121:F140 F143:F169 C49:C62 C155 F109"/>
    <dataValidation type="custom" operator="greaterThan" showInputMessage="1" showErrorMessage="1" errorTitle="rdm2" error="No se admite ingresar a la vez RDM como ingresos y como egresos. Tampoco se admiten valores negattivos o positivos menores de 50" sqref="G165">
      <formula1>AND(OR(G165=0, G165&gt;50),G151=0)</formula1>
    </dataValidation>
  </dataValidations>
  <pageMargins left="0.7" right="0.7" top="0.75" bottom="0.75" header="0.3" footer="0.3"/>
  <ignoredErrors>
    <ignoredError sqref="E7:E181" numberStoredAsText="1"/>
    <ignoredError sqref="D42 D137 D141 D144:D145 D149 G23 G39 G46 G77 G137" unlockedFormula="1"/>
  </ignoredErrors>
  <legacyDrawing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15"/>
  <sheetViews>
    <sheetView showGridLines="0" workbookViewId="0">
      <selection activeCell="F4" sqref="F4"/>
    </sheetView>
  </sheetViews>
  <sheetFormatPr baseColWidth="10" defaultColWidth="0" defaultRowHeight="15" zeroHeight="1" x14ac:dyDescent="0.25"/>
  <cols>
    <col min="1" max="1" width="3.7109375" style="1" customWidth="1"/>
    <col min="2" max="2" width="14.28515625" style="7" hidden="1" customWidth="1"/>
    <col min="3" max="3" width="58.42578125" style="58" customWidth="1"/>
    <col min="4" max="4" width="25.140625" style="58" customWidth="1"/>
    <col min="5" max="5" width="5.85546875" style="82" customWidth="1"/>
    <col min="6" max="6" width="57.28515625" style="58" customWidth="1"/>
    <col min="7" max="7" width="24.7109375" style="58" customWidth="1"/>
    <col min="8" max="8" width="5.42578125" style="5" customWidth="1"/>
    <col min="9" max="16384" width="0" style="5" hidden="1"/>
  </cols>
  <sheetData>
    <row r="1" spans="1:9" ht="15.75" x14ac:dyDescent="0.25">
      <c r="B1" s="2"/>
      <c r="C1" s="313" t="s">
        <v>0</v>
      </c>
      <c r="D1" s="314"/>
      <c r="E1" s="315" t="str">
        <f>[28]Presentacion!C2</f>
        <v>COMERI</v>
      </c>
      <c r="F1" s="315"/>
      <c r="G1" s="3"/>
      <c r="H1" s="4"/>
    </row>
    <row r="2" spans="1:9" ht="15.75" x14ac:dyDescent="0.25">
      <c r="B2" s="6"/>
      <c r="C2" s="313" t="s">
        <v>1</v>
      </c>
      <c r="D2" s="314"/>
      <c r="E2" s="315" t="str">
        <f>[28]Presentacion!C3</f>
        <v>Rivera</v>
      </c>
      <c r="F2" s="315"/>
      <c r="G2" s="3"/>
      <c r="H2" s="4"/>
    </row>
    <row r="3" spans="1:9" ht="15.75" x14ac:dyDescent="0.25">
      <c r="B3" s="6"/>
      <c r="C3" s="313" t="s">
        <v>2</v>
      </c>
      <c r="D3" s="316"/>
      <c r="E3" s="317" t="s">
        <v>3</v>
      </c>
      <c r="F3" s="317"/>
      <c r="G3" s="3"/>
      <c r="H3" s="4"/>
    </row>
    <row r="4" spans="1:9" ht="15.75" thickBot="1" x14ac:dyDescent="0.3">
      <c r="C4" s="287"/>
      <c r="D4" s="8"/>
      <c r="E4" s="9"/>
      <c r="F4" s="10"/>
      <c r="G4" s="11"/>
    </row>
    <row r="5" spans="1:9" ht="16.5" thickBot="1" x14ac:dyDescent="0.3">
      <c r="B5" s="12"/>
      <c r="C5" s="13" t="s">
        <v>4</v>
      </c>
      <c r="D5" s="284" t="s">
        <v>5</v>
      </c>
      <c r="E5" s="14"/>
      <c r="F5" s="13" t="s">
        <v>6</v>
      </c>
      <c r="G5" s="284" t="s">
        <v>5</v>
      </c>
      <c r="I5" s="15"/>
    </row>
    <row r="6" spans="1:9" ht="16.5" thickBot="1" x14ac:dyDescent="0.3">
      <c r="B6" s="12"/>
      <c r="C6" s="16" t="s">
        <v>7</v>
      </c>
      <c r="D6" s="290">
        <f>+[28]E.S.P.!D6</f>
        <v>2020</v>
      </c>
      <c r="E6" s="18"/>
      <c r="F6" s="16" t="s">
        <v>8</v>
      </c>
      <c r="G6" s="290">
        <f>+D6</f>
        <v>2020</v>
      </c>
      <c r="H6" s="15"/>
    </row>
    <row r="7" spans="1:9" x14ac:dyDescent="0.25">
      <c r="B7" s="6" t="s">
        <v>9</v>
      </c>
      <c r="C7" s="19" t="s">
        <v>10</v>
      </c>
      <c r="D7" s="20">
        <v>12576448</v>
      </c>
      <c r="E7" s="21" t="s">
        <v>11</v>
      </c>
      <c r="F7" s="22" t="s">
        <v>12</v>
      </c>
      <c r="G7" s="23">
        <v>7925161</v>
      </c>
    </row>
    <row r="8" spans="1:9" x14ac:dyDescent="0.25">
      <c r="B8" s="6" t="s">
        <v>13</v>
      </c>
      <c r="C8" s="19" t="s">
        <v>14</v>
      </c>
      <c r="D8" s="20">
        <f>36031992+35345</f>
        <v>36067337</v>
      </c>
      <c r="E8" s="21" t="s">
        <v>15</v>
      </c>
      <c r="F8" s="19" t="s">
        <v>16</v>
      </c>
      <c r="G8" s="24">
        <v>34253684</v>
      </c>
    </row>
    <row r="9" spans="1:9" x14ac:dyDescent="0.25">
      <c r="B9" s="6" t="s">
        <v>17</v>
      </c>
      <c r="C9" s="19" t="s">
        <v>18</v>
      </c>
      <c r="D9" s="20">
        <f>330379847+81654957+190549563</f>
        <v>602584367</v>
      </c>
      <c r="E9" s="21" t="s">
        <v>19</v>
      </c>
      <c r="F9" s="19" t="s">
        <v>20</v>
      </c>
      <c r="G9" s="20"/>
    </row>
    <row r="10" spans="1:9" x14ac:dyDescent="0.25">
      <c r="B10" s="6" t="s">
        <v>21</v>
      </c>
      <c r="C10" s="19" t="s">
        <v>22</v>
      </c>
      <c r="D10" s="20">
        <v>48402961</v>
      </c>
      <c r="E10" s="21" t="s">
        <v>23</v>
      </c>
      <c r="F10" s="19" t="s">
        <v>24</v>
      </c>
      <c r="G10" s="20">
        <v>69875306</v>
      </c>
    </row>
    <row r="11" spans="1:9" x14ac:dyDescent="0.25">
      <c r="B11" s="6" t="s">
        <v>25</v>
      </c>
      <c r="C11" s="19" t="s">
        <v>26</v>
      </c>
      <c r="D11" s="20">
        <v>10551682</v>
      </c>
      <c r="E11" s="21" t="s">
        <v>27</v>
      </c>
      <c r="F11" s="19" t="s">
        <v>28</v>
      </c>
      <c r="G11" s="20"/>
    </row>
    <row r="12" spans="1:9" x14ac:dyDescent="0.25">
      <c r="B12" s="6" t="s">
        <v>29</v>
      </c>
      <c r="C12" s="19" t="s">
        <v>30</v>
      </c>
      <c r="D12" s="20">
        <v>16849760</v>
      </c>
      <c r="E12" s="21" t="s">
        <v>31</v>
      </c>
      <c r="F12" s="19" t="s">
        <v>32</v>
      </c>
      <c r="G12" s="20">
        <v>55575431</v>
      </c>
    </row>
    <row r="13" spans="1:9" x14ac:dyDescent="0.25">
      <c r="B13" s="6" t="s">
        <v>33</v>
      </c>
      <c r="C13" s="19" t="s">
        <v>34</v>
      </c>
      <c r="D13" s="20">
        <v>3604872</v>
      </c>
      <c r="E13" s="21" t="s">
        <v>35</v>
      </c>
      <c r="F13" s="19" t="s">
        <v>36</v>
      </c>
      <c r="G13" s="20"/>
    </row>
    <row r="14" spans="1:9" x14ac:dyDescent="0.25">
      <c r="A14" s="25"/>
      <c r="B14" s="6" t="s">
        <v>37</v>
      </c>
      <c r="C14" s="19" t="s">
        <v>38</v>
      </c>
      <c r="D14" s="20"/>
      <c r="E14" s="21" t="s">
        <v>39</v>
      </c>
      <c r="F14" s="19" t="s">
        <v>40</v>
      </c>
      <c r="G14" s="20">
        <v>93001609</v>
      </c>
    </row>
    <row r="15" spans="1:9" x14ac:dyDescent="0.25">
      <c r="B15" s="6" t="s">
        <v>41</v>
      </c>
      <c r="C15" s="26" t="s">
        <v>42</v>
      </c>
      <c r="D15" s="20"/>
      <c r="E15" s="21" t="s">
        <v>43</v>
      </c>
      <c r="F15" s="19" t="s">
        <v>44</v>
      </c>
      <c r="G15" s="20"/>
    </row>
    <row r="16" spans="1:9" x14ac:dyDescent="0.25">
      <c r="B16" s="6" t="s">
        <v>45</v>
      </c>
      <c r="C16" s="19" t="s">
        <v>46</v>
      </c>
      <c r="D16" s="20"/>
      <c r="E16" s="21" t="s">
        <v>47</v>
      </c>
      <c r="F16" s="19" t="s">
        <v>48</v>
      </c>
      <c r="G16" s="20">
        <f>53866504+388143</f>
        <v>54254647</v>
      </c>
    </row>
    <row r="17" spans="1:7" x14ac:dyDescent="0.25">
      <c r="B17" s="6" t="s">
        <v>49</v>
      </c>
      <c r="C17" s="19" t="s">
        <v>50</v>
      </c>
      <c r="D17" s="20"/>
      <c r="E17" s="21" t="s">
        <v>51</v>
      </c>
      <c r="F17" s="19" t="s">
        <v>52</v>
      </c>
      <c r="G17" s="20"/>
    </row>
    <row r="18" spans="1:7" x14ac:dyDescent="0.25">
      <c r="A18" s="25"/>
      <c r="B18" s="6" t="s">
        <v>53</v>
      </c>
      <c r="C18" s="19" t="s">
        <v>54</v>
      </c>
      <c r="D18" s="20">
        <v>6081079</v>
      </c>
      <c r="E18" s="21" t="s">
        <v>55</v>
      </c>
      <c r="F18" s="19" t="s">
        <v>56</v>
      </c>
      <c r="G18" s="27">
        <v>14368248</v>
      </c>
    </row>
    <row r="19" spans="1:7" ht="15.75" thickBot="1" x14ac:dyDescent="0.3">
      <c r="A19" s="25"/>
      <c r="B19" s="6" t="s">
        <v>57</v>
      </c>
      <c r="C19" s="19" t="s">
        <v>58</v>
      </c>
      <c r="D19" s="20">
        <v>33616484</v>
      </c>
      <c r="E19" s="21"/>
      <c r="F19" s="28" t="s">
        <v>59</v>
      </c>
      <c r="G19" s="29">
        <f>SUM(G7:G18)</f>
        <v>329254086</v>
      </c>
    </row>
    <row r="20" spans="1:7" ht="15.75" thickBot="1" x14ac:dyDescent="0.3">
      <c r="B20" s="6"/>
      <c r="C20" s="28" t="s">
        <v>60</v>
      </c>
      <c r="D20" s="29">
        <f>SUM(D7:D19)</f>
        <v>770334990</v>
      </c>
      <c r="E20" s="21" t="s">
        <v>61</v>
      </c>
      <c r="F20" s="22" t="s">
        <v>62</v>
      </c>
      <c r="G20" s="23">
        <v>339714</v>
      </c>
    </row>
    <row r="21" spans="1:7" x14ac:dyDescent="0.25">
      <c r="B21" s="6"/>
      <c r="C21" s="30" t="s">
        <v>63</v>
      </c>
      <c r="D21" s="31">
        <f>SUM(D22:D28)</f>
        <v>2026401</v>
      </c>
      <c r="E21" s="21" t="s">
        <v>64</v>
      </c>
      <c r="F21" s="19" t="s">
        <v>65</v>
      </c>
      <c r="G21" s="20">
        <v>4429449</v>
      </c>
    </row>
    <row r="22" spans="1:7" x14ac:dyDescent="0.25">
      <c r="B22" s="6" t="s">
        <v>66</v>
      </c>
      <c r="C22" s="19" t="s">
        <v>67</v>
      </c>
      <c r="D22" s="20">
        <v>527083</v>
      </c>
      <c r="E22" s="21" t="s">
        <v>68</v>
      </c>
      <c r="F22" s="19" t="s">
        <v>69</v>
      </c>
      <c r="G22" s="20">
        <f>2310777+235148</f>
        <v>2545925</v>
      </c>
    </row>
    <row r="23" spans="1:7" x14ac:dyDescent="0.25">
      <c r="B23" s="6" t="s">
        <v>70</v>
      </c>
      <c r="C23" s="19" t="s">
        <v>71</v>
      </c>
      <c r="D23" s="20">
        <v>21532</v>
      </c>
      <c r="E23" s="21" t="s">
        <v>72</v>
      </c>
      <c r="F23" s="19" t="s">
        <v>73</v>
      </c>
      <c r="G23" s="20">
        <v>3998572</v>
      </c>
    </row>
    <row r="24" spans="1:7" x14ac:dyDescent="0.25">
      <c r="B24" s="6" t="s">
        <v>74</v>
      </c>
      <c r="C24" s="19" t="s">
        <v>75</v>
      </c>
      <c r="D24" s="20">
        <v>180152</v>
      </c>
      <c r="E24" s="21" t="s">
        <v>76</v>
      </c>
      <c r="F24" s="19" t="s">
        <v>77</v>
      </c>
      <c r="G24" s="20"/>
    </row>
    <row r="25" spans="1:7" x14ac:dyDescent="0.25">
      <c r="B25" s="6" t="s">
        <v>78</v>
      </c>
      <c r="C25" s="19" t="s">
        <v>79</v>
      </c>
      <c r="D25" s="20"/>
      <c r="E25" s="21" t="s">
        <v>80</v>
      </c>
      <c r="F25" s="19" t="s">
        <v>81</v>
      </c>
      <c r="G25" s="20"/>
    </row>
    <row r="26" spans="1:7" x14ac:dyDescent="0.25">
      <c r="B26" s="6" t="s">
        <v>82</v>
      </c>
      <c r="C26" s="19" t="s">
        <v>83</v>
      </c>
      <c r="D26" s="20">
        <v>356</v>
      </c>
      <c r="E26" s="21" t="s">
        <v>84</v>
      </c>
      <c r="F26" s="19" t="s">
        <v>85</v>
      </c>
      <c r="G26" s="27">
        <v>516243</v>
      </c>
    </row>
    <row r="27" spans="1:7" ht="15.75" thickBot="1" x14ac:dyDescent="0.3">
      <c r="B27" s="6" t="s">
        <v>86</v>
      </c>
      <c r="C27" s="19" t="s">
        <v>87</v>
      </c>
      <c r="D27" s="20">
        <f>1206268+2580</f>
        <v>1208848</v>
      </c>
      <c r="E27" s="21"/>
      <c r="F27" s="28" t="s">
        <v>88</v>
      </c>
      <c r="G27" s="29">
        <f>SUM(G20:G26)</f>
        <v>11829903</v>
      </c>
    </row>
    <row r="28" spans="1:7" x14ac:dyDescent="0.25">
      <c r="B28" s="6" t="s">
        <v>89</v>
      </c>
      <c r="C28" s="19" t="s">
        <v>90</v>
      </c>
      <c r="D28" s="20">
        <v>88430</v>
      </c>
      <c r="E28" s="21" t="s">
        <v>91</v>
      </c>
      <c r="F28" s="22" t="s">
        <v>92</v>
      </c>
      <c r="G28" s="23">
        <v>82936618</v>
      </c>
    </row>
    <row r="29" spans="1:7" x14ac:dyDescent="0.25">
      <c r="B29" s="6"/>
      <c r="C29" s="32" t="s">
        <v>93</v>
      </c>
      <c r="D29" s="31">
        <f>SUM(D30:D34)</f>
        <v>42046987</v>
      </c>
      <c r="E29" s="21" t="s">
        <v>94</v>
      </c>
      <c r="F29" s="19" t="s">
        <v>95</v>
      </c>
      <c r="G29" s="20">
        <v>54570654</v>
      </c>
    </row>
    <row r="30" spans="1:7" x14ac:dyDescent="0.25">
      <c r="B30" s="6" t="s">
        <v>96</v>
      </c>
      <c r="C30" s="19" t="s">
        <v>97</v>
      </c>
      <c r="D30" s="20">
        <f>25259821+7975445+110020</f>
        <v>33345286</v>
      </c>
      <c r="E30" s="21" t="s">
        <v>98</v>
      </c>
      <c r="F30" s="19" t="s">
        <v>99</v>
      </c>
      <c r="G30" s="20">
        <v>8119926</v>
      </c>
    </row>
    <row r="31" spans="1:7" x14ac:dyDescent="0.25">
      <c r="B31" s="6" t="s">
        <v>100</v>
      </c>
      <c r="C31" s="19" t="s">
        <v>101</v>
      </c>
      <c r="D31" s="20"/>
      <c r="E31" s="21" t="s">
        <v>102</v>
      </c>
      <c r="F31" s="19" t="s">
        <v>103</v>
      </c>
      <c r="G31" s="27">
        <v>6644972</v>
      </c>
    </row>
    <row r="32" spans="1:7" ht="15.75" thickBot="1" x14ac:dyDescent="0.3">
      <c r="B32" s="6" t="s">
        <v>104</v>
      </c>
      <c r="C32" s="19" t="s">
        <v>105</v>
      </c>
      <c r="D32" s="20">
        <v>5232532</v>
      </c>
      <c r="E32" s="21"/>
      <c r="F32" s="28" t="s">
        <v>106</v>
      </c>
      <c r="G32" s="29">
        <f>SUM(G28:G31)</f>
        <v>152272170</v>
      </c>
    </row>
    <row r="33" spans="2:7" x14ac:dyDescent="0.25">
      <c r="B33" s="6" t="s">
        <v>107</v>
      </c>
      <c r="C33" s="19" t="s">
        <v>108</v>
      </c>
      <c r="D33" s="20">
        <f>1437813+196476</f>
        <v>1634289</v>
      </c>
      <c r="E33" s="21"/>
      <c r="F33" s="32" t="s">
        <v>109</v>
      </c>
      <c r="G33" s="31">
        <f>SUM(G34:G39)</f>
        <v>39247739</v>
      </c>
    </row>
    <row r="34" spans="2:7" x14ac:dyDescent="0.25">
      <c r="B34" s="6" t="s">
        <v>110</v>
      </c>
      <c r="C34" s="19" t="s">
        <v>111</v>
      </c>
      <c r="D34" s="20">
        <v>1834880</v>
      </c>
      <c r="E34" s="21" t="s">
        <v>112</v>
      </c>
      <c r="F34" s="19" t="s">
        <v>113</v>
      </c>
      <c r="G34" s="20"/>
    </row>
    <row r="35" spans="2:7" ht="15.75" thickBot="1" x14ac:dyDescent="0.3">
      <c r="B35" s="6"/>
      <c r="C35" s="28" t="s">
        <v>114</v>
      </c>
      <c r="D35" s="29">
        <f>+D21+D29</f>
        <v>44073388</v>
      </c>
      <c r="E35" s="21" t="s">
        <v>115</v>
      </c>
      <c r="F35" s="19" t="s">
        <v>116</v>
      </c>
      <c r="G35" s="20"/>
    </row>
    <row r="36" spans="2:7" x14ac:dyDescent="0.25">
      <c r="B36" s="6" t="s">
        <v>117</v>
      </c>
      <c r="C36" s="19" t="s">
        <v>118</v>
      </c>
      <c r="D36" s="20">
        <v>2289258</v>
      </c>
      <c r="E36" s="21" t="s">
        <v>119</v>
      </c>
      <c r="F36" s="19" t="s">
        <v>120</v>
      </c>
      <c r="G36" s="20"/>
    </row>
    <row r="37" spans="2:7" x14ac:dyDescent="0.25">
      <c r="B37" s="6" t="s">
        <v>121</v>
      </c>
      <c r="C37" s="19" t="s">
        <v>122</v>
      </c>
      <c r="D37" s="20">
        <v>10927914</v>
      </c>
      <c r="E37" s="21" t="s">
        <v>123</v>
      </c>
      <c r="F37" s="19" t="s">
        <v>124</v>
      </c>
      <c r="G37" s="20"/>
    </row>
    <row r="38" spans="2:7" x14ac:dyDescent="0.25">
      <c r="B38" s="6" t="s">
        <v>125</v>
      </c>
      <c r="C38" s="19" t="s">
        <v>126</v>
      </c>
      <c r="D38" s="20"/>
      <c r="E38" s="21" t="s">
        <v>127</v>
      </c>
      <c r="F38" s="19" t="s">
        <v>128</v>
      </c>
      <c r="G38" s="20"/>
    </row>
    <row r="39" spans="2:7" x14ac:dyDescent="0.25">
      <c r="B39" s="6" t="s">
        <v>129</v>
      </c>
      <c r="C39" s="19" t="s">
        <v>130</v>
      </c>
      <c r="D39" s="20"/>
      <c r="E39" s="21" t="s">
        <v>131</v>
      </c>
      <c r="F39" s="19" t="s">
        <v>132</v>
      </c>
      <c r="G39" s="20">
        <v>39247739</v>
      </c>
    </row>
    <row r="40" spans="2:7" x14ac:dyDescent="0.25">
      <c r="B40" s="6" t="s">
        <v>133</v>
      </c>
      <c r="C40" s="19" t="s">
        <v>134</v>
      </c>
      <c r="D40" s="20">
        <v>6797937</v>
      </c>
      <c r="E40" s="21"/>
      <c r="F40" s="33" t="s">
        <v>135</v>
      </c>
      <c r="G40" s="34">
        <f>SUM(G41:G46)</f>
        <v>5560774</v>
      </c>
    </row>
    <row r="41" spans="2:7" x14ac:dyDescent="0.25">
      <c r="B41" s="6" t="s">
        <v>136</v>
      </c>
      <c r="C41" s="19" t="s">
        <v>137</v>
      </c>
      <c r="D41" s="20"/>
      <c r="E41" s="21" t="s">
        <v>138</v>
      </c>
      <c r="F41" s="19" t="s">
        <v>139</v>
      </c>
      <c r="G41" s="20"/>
    </row>
    <row r="42" spans="2:7" x14ac:dyDescent="0.25">
      <c r="B42" s="6" t="s">
        <v>140</v>
      </c>
      <c r="C42" s="19" t="s">
        <v>141</v>
      </c>
      <c r="D42" s="20">
        <f>56143324-3025963</f>
        <v>53117361</v>
      </c>
      <c r="E42" s="21" t="s">
        <v>142</v>
      </c>
      <c r="F42" s="19" t="s">
        <v>143</v>
      </c>
      <c r="G42" s="20"/>
    </row>
    <row r="43" spans="2:7" x14ac:dyDescent="0.25">
      <c r="B43" s="6" t="s">
        <v>144</v>
      </c>
      <c r="C43" s="19" t="s">
        <v>145</v>
      </c>
      <c r="D43" s="20"/>
      <c r="E43" s="21" t="s">
        <v>146</v>
      </c>
      <c r="F43" s="19" t="s">
        <v>147</v>
      </c>
      <c r="G43" s="20"/>
    </row>
    <row r="44" spans="2:7" x14ac:dyDescent="0.25">
      <c r="B44" s="6" t="s">
        <v>148</v>
      </c>
      <c r="C44" s="19" t="s">
        <v>149</v>
      </c>
      <c r="D44" s="20"/>
      <c r="E44" s="21" t="s">
        <v>150</v>
      </c>
      <c r="F44" s="19" t="s">
        <v>151</v>
      </c>
      <c r="G44" s="20"/>
    </row>
    <row r="45" spans="2:7" x14ac:dyDescent="0.25">
      <c r="B45" s="6" t="s">
        <v>152</v>
      </c>
      <c r="C45" s="19" t="s">
        <v>153</v>
      </c>
      <c r="D45" s="20"/>
      <c r="E45" s="21" t="s">
        <v>154</v>
      </c>
      <c r="F45" s="19" t="s">
        <v>155</v>
      </c>
      <c r="G45" s="20"/>
    </row>
    <row r="46" spans="2:7" x14ac:dyDescent="0.25">
      <c r="B46" s="6" t="s">
        <v>156</v>
      </c>
      <c r="C46" s="19" t="s">
        <v>157</v>
      </c>
      <c r="D46" s="20">
        <v>3025963</v>
      </c>
      <c r="E46" s="21" t="s">
        <v>158</v>
      </c>
      <c r="F46" s="19" t="s">
        <v>159</v>
      </c>
      <c r="G46" s="20">
        <v>5560774</v>
      </c>
    </row>
    <row r="47" spans="2:7" ht="15.75" thickBot="1" x14ac:dyDescent="0.3">
      <c r="B47" s="6"/>
      <c r="C47" s="28" t="s">
        <v>160</v>
      </c>
      <c r="D47" s="29">
        <f>SUM(D36:D46)</f>
        <v>76158433</v>
      </c>
      <c r="E47" s="21" t="s">
        <v>161</v>
      </c>
      <c r="F47" s="19" t="s">
        <v>162</v>
      </c>
      <c r="G47" s="27">
        <v>2044613</v>
      </c>
    </row>
    <row r="48" spans="2:7" ht="15.75" thickBot="1" x14ac:dyDescent="0.3">
      <c r="B48" s="6"/>
      <c r="C48" s="35" t="s">
        <v>163</v>
      </c>
      <c r="D48" s="36"/>
      <c r="E48" s="21"/>
      <c r="F48" s="28" t="s">
        <v>164</v>
      </c>
      <c r="G48" s="37">
        <f>+G33+G40+G47</f>
        <v>46853126</v>
      </c>
    </row>
    <row r="49" spans="2:7" x14ac:dyDescent="0.25">
      <c r="B49" s="6" t="s">
        <v>165</v>
      </c>
      <c r="C49" s="38" t="s">
        <v>166</v>
      </c>
      <c r="D49" s="39"/>
      <c r="E49" s="21" t="s">
        <v>167</v>
      </c>
      <c r="F49" s="22" t="s">
        <v>168</v>
      </c>
      <c r="G49" s="23">
        <v>1349667</v>
      </c>
    </row>
    <row r="50" spans="2:7" x14ac:dyDescent="0.25">
      <c r="B50" s="6" t="s">
        <v>169</v>
      </c>
      <c r="C50" s="19" t="s">
        <v>163</v>
      </c>
      <c r="D50" s="20"/>
      <c r="E50" s="21" t="s">
        <v>170</v>
      </c>
      <c r="F50" s="19" t="s">
        <v>171</v>
      </c>
      <c r="G50" s="20">
        <v>12598391</v>
      </c>
    </row>
    <row r="51" spans="2:7" x14ac:dyDescent="0.25">
      <c r="B51" s="6" t="s">
        <v>172</v>
      </c>
      <c r="C51" s="19" t="s">
        <v>173</v>
      </c>
      <c r="D51" s="27"/>
      <c r="E51" s="21" t="s">
        <v>174</v>
      </c>
      <c r="F51" s="19" t="s">
        <v>175</v>
      </c>
      <c r="G51" s="20"/>
    </row>
    <row r="52" spans="2:7" ht="15.75" thickBot="1" x14ac:dyDescent="0.3">
      <c r="B52" s="12"/>
      <c r="C52" s="28" t="s">
        <v>176</v>
      </c>
      <c r="D52" s="29">
        <f>SUM(D49:D51)</f>
        <v>0</v>
      </c>
      <c r="E52" s="21" t="s">
        <v>177</v>
      </c>
      <c r="F52" s="19" t="s">
        <v>178</v>
      </c>
      <c r="G52" s="20">
        <v>614145</v>
      </c>
    </row>
    <row r="53" spans="2:7" ht="15.75" thickBot="1" x14ac:dyDescent="0.3">
      <c r="B53" s="6"/>
      <c r="C53" s="40" t="s">
        <v>179</v>
      </c>
      <c r="D53" s="41">
        <f>D20+D35+D47+D52</f>
        <v>890566811</v>
      </c>
      <c r="E53" s="21" t="s">
        <v>180</v>
      </c>
      <c r="F53" s="19" t="s">
        <v>181</v>
      </c>
      <c r="G53" s="20">
        <v>2749032</v>
      </c>
    </row>
    <row r="54" spans="2:7" x14ac:dyDescent="0.25">
      <c r="C54" s="42"/>
      <c r="D54" s="43"/>
      <c r="E54" s="21" t="s">
        <v>182</v>
      </c>
      <c r="F54" s="19" t="s">
        <v>183</v>
      </c>
      <c r="G54" s="20">
        <v>95754</v>
      </c>
    </row>
    <row r="55" spans="2:7" x14ac:dyDescent="0.25">
      <c r="C55" s="44" t="s">
        <v>184</v>
      </c>
      <c r="D55" s="45"/>
      <c r="E55" s="21" t="s">
        <v>185</v>
      </c>
      <c r="F55" s="19" t="s">
        <v>186</v>
      </c>
      <c r="G55" s="20">
        <f>41361+197597+645033+501234+296051+10322+1883146+158466+730213+2448+6409+1383092</f>
        <v>5855372</v>
      </c>
    </row>
    <row r="56" spans="2:7" x14ac:dyDescent="0.25">
      <c r="B56" s="6" t="s">
        <v>187</v>
      </c>
      <c r="C56" s="46" t="s">
        <v>188</v>
      </c>
      <c r="D56" s="20"/>
      <c r="E56" s="21" t="s">
        <v>189</v>
      </c>
      <c r="F56" s="19" t="s">
        <v>190</v>
      </c>
      <c r="G56" s="27">
        <v>1061461</v>
      </c>
    </row>
    <row r="57" spans="2:7" ht="15.75" thickBot="1" x14ac:dyDescent="0.3">
      <c r="B57" s="6" t="s">
        <v>191</v>
      </c>
      <c r="C57" s="46" t="s">
        <v>192</v>
      </c>
      <c r="D57" s="20"/>
      <c r="E57" s="21"/>
      <c r="F57" s="28" t="s">
        <v>193</v>
      </c>
      <c r="G57" s="29">
        <f>SUM(G49:G56)</f>
        <v>24323822</v>
      </c>
    </row>
    <row r="58" spans="2:7" x14ac:dyDescent="0.25">
      <c r="B58" s="6" t="s">
        <v>194</v>
      </c>
      <c r="C58" s="46" t="s">
        <v>195</v>
      </c>
      <c r="D58" s="20"/>
      <c r="E58" s="21" t="s">
        <v>196</v>
      </c>
      <c r="F58" s="22" t="s">
        <v>197</v>
      </c>
      <c r="G58" s="23">
        <v>126851400</v>
      </c>
    </row>
    <row r="59" spans="2:7" x14ac:dyDescent="0.25">
      <c r="B59" s="6" t="s">
        <v>198</v>
      </c>
      <c r="C59" s="19" t="s">
        <v>199</v>
      </c>
      <c r="D59" s="27"/>
      <c r="E59" s="21" t="s">
        <v>200</v>
      </c>
      <c r="F59" s="19" t="s">
        <v>201</v>
      </c>
      <c r="G59" s="20">
        <v>2353561</v>
      </c>
    </row>
    <row r="60" spans="2:7" ht="15.75" thickBot="1" x14ac:dyDescent="0.3">
      <c r="B60" s="6"/>
      <c r="C60" s="28" t="s">
        <v>202</v>
      </c>
      <c r="D60" s="29">
        <f>SUM(D56:D59)</f>
        <v>0</v>
      </c>
      <c r="E60" s="21" t="s">
        <v>203</v>
      </c>
      <c r="F60" s="19" t="s">
        <v>204</v>
      </c>
      <c r="G60" s="20">
        <v>188969</v>
      </c>
    </row>
    <row r="61" spans="2:7" ht="16.5" thickBot="1" x14ac:dyDescent="0.3">
      <c r="B61" s="47"/>
      <c r="C61" s="48" t="s">
        <v>205</v>
      </c>
      <c r="D61" s="49">
        <f>D53+D60</f>
        <v>890566811</v>
      </c>
      <c r="E61" s="21" t="s">
        <v>206</v>
      </c>
      <c r="F61" s="19" t="s">
        <v>207</v>
      </c>
      <c r="G61" s="20">
        <v>1127313</v>
      </c>
    </row>
    <row r="62" spans="2:7" x14ac:dyDescent="0.25">
      <c r="B62" s="50"/>
      <c r="C62" s="51"/>
      <c r="D62" s="51"/>
      <c r="E62" s="21" t="s">
        <v>208</v>
      </c>
      <c r="F62" s="19" t="s">
        <v>209</v>
      </c>
      <c r="G62" s="20">
        <v>3070576</v>
      </c>
    </row>
    <row r="63" spans="2:7" x14ac:dyDescent="0.25">
      <c r="B63" s="52"/>
      <c r="C63" s="53" t="s">
        <v>8</v>
      </c>
      <c r="D63" s="53"/>
      <c r="E63" s="21" t="s">
        <v>210</v>
      </c>
      <c r="F63" s="19" t="s">
        <v>211</v>
      </c>
      <c r="G63" s="20">
        <v>3081624</v>
      </c>
    </row>
    <row r="64" spans="2:7" x14ac:dyDescent="0.25">
      <c r="B64" s="54" t="s">
        <v>212</v>
      </c>
      <c r="C64" s="55" t="s">
        <v>213</v>
      </c>
      <c r="D64" s="55">
        <f>[28]Amortizaciones!D6</f>
        <v>1914217</v>
      </c>
      <c r="E64" s="21" t="s">
        <v>214</v>
      </c>
      <c r="F64" s="19" t="s">
        <v>215</v>
      </c>
      <c r="G64" s="20">
        <v>6212029</v>
      </c>
    </row>
    <row r="65" spans="2:7" x14ac:dyDescent="0.25">
      <c r="B65" s="54" t="s">
        <v>216</v>
      </c>
      <c r="C65" s="55" t="s">
        <v>217</v>
      </c>
      <c r="D65" s="55">
        <f>[28]Amortizaciones!D7</f>
        <v>0</v>
      </c>
      <c r="E65" s="21" t="s">
        <v>218</v>
      </c>
      <c r="F65" s="19" t="s">
        <v>219</v>
      </c>
      <c r="G65" s="20">
        <v>102501</v>
      </c>
    </row>
    <row r="66" spans="2:7" x14ac:dyDescent="0.25">
      <c r="B66" s="54" t="s">
        <v>220</v>
      </c>
      <c r="C66" s="55" t="s">
        <v>221</v>
      </c>
      <c r="D66" s="55">
        <f>[28]Amortizaciones!D8</f>
        <v>6015067</v>
      </c>
      <c r="E66" s="21" t="s">
        <v>222</v>
      </c>
      <c r="F66" s="19" t="s">
        <v>223</v>
      </c>
      <c r="G66" s="20">
        <v>2481465</v>
      </c>
    </row>
    <row r="67" spans="2:7" x14ac:dyDescent="0.25">
      <c r="B67" s="54" t="s">
        <v>224</v>
      </c>
      <c r="C67" s="55" t="s">
        <v>225</v>
      </c>
      <c r="D67" s="55">
        <f>[28]Amortizaciones!D9</f>
        <v>0</v>
      </c>
      <c r="E67" s="21" t="s">
        <v>226</v>
      </c>
      <c r="F67" s="19" t="s">
        <v>227</v>
      </c>
      <c r="G67" s="20">
        <v>4095756</v>
      </c>
    </row>
    <row r="68" spans="2:7" x14ac:dyDescent="0.25">
      <c r="B68" s="54" t="s">
        <v>228</v>
      </c>
      <c r="C68" s="55" t="s">
        <v>229</v>
      </c>
      <c r="D68" s="55">
        <f>[28]Amortizaciones!D10</f>
        <v>231684</v>
      </c>
      <c r="E68" s="21" t="s">
        <v>230</v>
      </c>
      <c r="F68" s="19" t="s">
        <v>231</v>
      </c>
      <c r="G68" s="20">
        <v>118726</v>
      </c>
    </row>
    <row r="69" spans="2:7" x14ac:dyDescent="0.25">
      <c r="B69" s="54" t="s">
        <v>232</v>
      </c>
      <c r="C69" s="55" t="s">
        <v>233</v>
      </c>
      <c r="D69" s="55">
        <f>[28]Amortizaciones!D11</f>
        <v>0</v>
      </c>
      <c r="E69" s="21" t="s">
        <v>234</v>
      </c>
      <c r="F69" s="19" t="s">
        <v>235</v>
      </c>
      <c r="G69" s="20">
        <v>202600</v>
      </c>
    </row>
    <row r="70" spans="2:7" x14ac:dyDescent="0.25">
      <c r="B70" s="54" t="s">
        <v>236</v>
      </c>
      <c r="C70" s="55" t="s">
        <v>237</v>
      </c>
      <c r="D70" s="55">
        <f>[28]Amortizaciones!D12</f>
        <v>0</v>
      </c>
      <c r="E70" s="21" t="s">
        <v>238</v>
      </c>
      <c r="F70" s="19" t="s">
        <v>239</v>
      </c>
      <c r="G70" s="20"/>
    </row>
    <row r="71" spans="2:7" x14ac:dyDescent="0.25">
      <c r="B71" s="54" t="s">
        <v>240</v>
      </c>
      <c r="C71" s="55" t="s">
        <v>241</v>
      </c>
      <c r="D71" s="55">
        <f>[28]Amortizaciones!D13</f>
        <v>1272184</v>
      </c>
      <c r="E71" s="21" t="s">
        <v>242</v>
      </c>
      <c r="F71" s="19" t="s">
        <v>243</v>
      </c>
      <c r="G71" s="20"/>
    </row>
    <row r="72" spans="2:7" x14ac:dyDescent="0.25">
      <c r="B72" s="54" t="s">
        <v>244</v>
      </c>
      <c r="C72" s="55" t="s">
        <v>245</v>
      </c>
      <c r="D72" s="55">
        <f>[28]Amortizaciones!D14</f>
        <v>1301730</v>
      </c>
      <c r="E72" s="21" t="s">
        <v>246</v>
      </c>
      <c r="F72" s="19" t="s">
        <v>247</v>
      </c>
      <c r="G72" s="20">
        <v>75364</v>
      </c>
    </row>
    <row r="73" spans="2:7" x14ac:dyDescent="0.25">
      <c r="B73" s="54" t="s">
        <v>248</v>
      </c>
      <c r="C73" s="55" t="s">
        <v>249</v>
      </c>
      <c r="D73" s="55">
        <f>[28]Amortizaciones!D15</f>
        <v>0</v>
      </c>
      <c r="E73" s="21" t="s">
        <v>250</v>
      </c>
      <c r="F73" s="19" t="s">
        <v>251</v>
      </c>
      <c r="G73" s="20"/>
    </row>
    <row r="74" spans="2:7" x14ac:dyDescent="0.25">
      <c r="B74" s="54" t="s">
        <v>252</v>
      </c>
      <c r="C74" s="55" t="s">
        <v>253</v>
      </c>
      <c r="D74" s="55">
        <f>[28]Amortizaciones!D16</f>
        <v>0</v>
      </c>
      <c r="E74" s="21" t="s">
        <v>254</v>
      </c>
      <c r="F74" s="19" t="s">
        <v>255</v>
      </c>
      <c r="G74" s="20"/>
    </row>
    <row r="75" spans="2:7" x14ac:dyDescent="0.25">
      <c r="B75" s="54" t="s">
        <v>256</v>
      </c>
      <c r="C75" s="55" t="s">
        <v>257</v>
      </c>
      <c r="D75" s="55">
        <f>[28]Amortizaciones!D17</f>
        <v>0</v>
      </c>
      <c r="E75" s="21" t="s">
        <v>258</v>
      </c>
      <c r="F75" s="19" t="s">
        <v>259</v>
      </c>
      <c r="G75" s="20">
        <v>2645202</v>
      </c>
    </row>
    <row r="76" spans="2:7" x14ac:dyDescent="0.25">
      <c r="B76" s="54" t="s">
        <v>260</v>
      </c>
      <c r="C76" s="55" t="s">
        <v>261</v>
      </c>
      <c r="D76" s="55">
        <f>[28]Amortizaciones!D18</f>
        <v>0</v>
      </c>
      <c r="E76" s="21" t="s">
        <v>262</v>
      </c>
      <c r="F76" s="19" t="s">
        <v>263</v>
      </c>
      <c r="G76" s="20">
        <v>86740</v>
      </c>
    </row>
    <row r="77" spans="2:7" x14ac:dyDescent="0.25">
      <c r="B77" s="54" t="s">
        <v>264</v>
      </c>
      <c r="C77" s="55" t="s">
        <v>265</v>
      </c>
      <c r="D77" s="55">
        <f>SUM(D64:D76)</f>
        <v>10734882</v>
      </c>
      <c r="E77" s="21" t="s">
        <v>266</v>
      </c>
      <c r="F77" s="19" t="s">
        <v>267</v>
      </c>
      <c r="G77" s="20">
        <f>2196583+11227+119914+463316+553284+3882770+1819726</f>
        <v>9046820</v>
      </c>
    </row>
    <row r="78" spans="2:7" x14ac:dyDescent="0.25">
      <c r="B78" s="54"/>
      <c r="C78" s="55"/>
      <c r="D78" s="55"/>
      <c r="E78" s="21" t="s">
        <v>268</v>
      </c>
      <c r="F78" s="19" t="s">
        <v>269</v>
      </c>
      <c r="G78" s="27">
        <v>7380229</v>
      </c>
    </row>
    <row r="79" spans="2:7" ht="15.75" thickBot="1" x14ac:dyDescent="0.3">
      <c r="B79" s="54"/>
      <c r="C79" s="53" t="s">
        <v>270</v>
      </c>
      <c r="D79" s="56"/>
      <c r="E79" s="21"/>
      <c r="F79" s="28" t="s">
        <v>271</v>
      </c>
      <c r="G79" s="29">
        <f>SUM(G58:G78)</f>
        <v>169120875</v>
      </c>
    </row>
    <row r="80" spans="2:7" x14ac:dyDescent="0.25">
      <c r="B80" s="54" t="s">
        <v>272</v>
      </c>
      <c r="C80" s="55" t="s">
        <v>237</v>
      </c>
      <c r="D80" s="55">
        <f>[28]Amortizaciones!D22</f>
        <v>0</v>
      </c>
      <c r="E80" s="21" t="s">
        <v>273</v>
      </c>
      <c r="F80" s="22" t="s">
        <v>274</v>
      </c>
      <c r="G80" s="23">
        <v>4031731</v>
      </c>
    </row>
    <row r="81" spans="2:7" x14ac:dyDescent="0.25">
      <c r="B81" s="54" t="s">
        <v>275</v>
      </c>
      <c r="C81" s="55" t="s">
        <v>241</v>
      </c>
      <c r="D81" s="55">
        <f>[28]Amortizaciones!D23</f>
        <v>0</v>
      </c>
      <c r="E81" s="21" t="s">
        <v>276</v>
      </c>
      <c r="F81" s="19" t="s">
        <v>277</v>
      </c>
      <c r="G81" s="20">
        <v>1696265</v>
      </c>
    </row>
    <row r="82" spans="2:7" x14ac:dyDescent="0.25">
      <c r="B82" s="54" t="s">
        <v>278</v>
      </c>
      <c r="C82" s="55" t="s">
        <v>245</v>
      </c>
      <c r="D82" s="55">
        <f>[28]Amortizaciones!D24</f>
        <v>0</v>
      </c>
      <c r="E82" s="21" t="s">
        <v>279</v>
      </c>
      <c r="F82" s="19" t="s">
        <v>280</v>
      </c>
      <c r="G82" s="20">
        <v>2363295</v>
      </c>
    </row>
    <row r="83" spans="2:7" x14ac:dyDescent="0.25">
      <c r="B83" s="54" t="s">
        <v>281</v>
      </c>
      <c r="C83" s="55" t="s">
        <v>249</v>
      </c>
      <c r="D83" s="55">
        <f>[28]Amortizaciones!D25</f>
        <v>0</v>
      </c>
      <c r="E83" s="21" t="s">
        <v>282</v>
      </c>
      <c r="F83" s="19" t="s">
        <v>283</v>
      </c>
      <c r="G83" s="20">
        <v>1064692</v>
      </c>
    </row>
    <row r="84" spans="2:7" x14ac:dyDescent="0.25">
      <c r="B84" s="54" t="s">
        <v>284</v>
      </c>
      <c r="C84" s="55" t="s">
        <v>285</v>
      </c>
      <c r="D84" s="55">
        <v>0</v>
      </c>
      <c r="E84" s="21" t="s">
        <v>286</v>
      </c>
      <c r="F84" s="19" t="s">
        <v>287</v>
      </c>
      <c r="G84" s="20">
        <v>4361187</v>
      </c>
    </row>
    <row r="85" spans="2:7" x14ac:dyDescent="0.25">
      <c r="B85" s="54" t="s">
        <v>288</v>
      </c>
      <c r="C85" s="55" t="s">
        <v>289</v>
      </c>
      <c r="D85" s="55">
        <f>[28]Amortizaciones!D27</f>
        <v>0</v>
      </c>
      <c r="E85" s="21" t="s">
        <v>290</v>
      </c>
      <c r="F85" s="19" t="s">
        <v>291</v>
      </c>
      <c r="G85" s="20">
        <v>1591832</v>
      </c>
    </row>
    <row r="86" spans="2:7" x14ac:dyDescent="0.25">
      <c r="B86" s="54" t="s">
        <v>292</v>
      </c>
      <c r="C86" s="55" t="s">
        <v>293</v>
      </c>
      <c r="D86" s="55">
        <f>[28]Amortizaciones!D28</f>
        <v>0</v>
      </c>
      <c r="E86" s="21" t="s">
        <v>294</v>
      </c>
      <c r="F86" s="19" t="s">
        <v>295</v>
      </c>
      <c r="G86" s="20">
        <v>538313</v>
      </c>
    </row>
    <row r="87" spans="2:7" x14ac:dyDescent="0.25">
      <c r="B87" s="54" t="s">
        <v>296</v>
      </c>
      <c r="C87" s="55" t="s">
        <v>297</v>
      </c>
      <c r="D87" s="55">
        <f>[28]Amortizaciones!D29</f>
        <v>0</v>
      </c>
      <c r="E87" s="21" t="s">
        <v>298</v>
      </c>
      <c r="F87" s="19" t="s">
        <v>299</v>
      </c>
      <c r="G87" s="20">
        <v>889915</v>
      </c>
    </row>
    <row r="88" spans="2:7" x14ac:dyDescent="0.25">
      <c r="B88" s="54" t="s">
        <v>300</v>
      </c>
      <c r="C88" s="55" t="s">
        <v>301</v>
      </c>
      <c r="D88" s="55">
        <f>[28]Amortizaciones!D30</f>
        <v>580494</v>
      </c>
      <c r="E88" s="21" t="s">
        <v>302</v>
      </c>
      <c r="F88" s="19" t="s">
        <v>303</v>
      </c>
      <c r="G88" s="20">
        <v>883680</v>
      </c>
    </row>
    <row r="89" spans="2:7" x14ac:dyDescent="0.25">
      <c r="B89" s="54" t="s">
        <v>304</v>
      </c>
      <c r="C89" s="55" t="s">
        <v>213</v>
      </c>
      <c r="D89" s="55">
        <f>[28]Amortizaciones!D31</f>
        <v>0</v>
      </c>
      <c r="E89" s="21" t="s">
        <v>305</v>
      </c>
      <c r="F89" s="19" t="s">
        <v>306</v>
      </c>
      <c r="G89" s="20">
        <v>2032120</v>
      </c>
    </row>
    <row r="90" spans="2:7" x14ac:dyDescent="0.25">
      <c r="B90" s="54" t="s">
        <v>307</v>
      </c>
      <c r="C90" s="55" t="s">
        <v>229</v>
      </c>
      <c r="D90" s="55">
        <f>[28]Amortizaciones!D32</f>
        <v>0</v>
      </c>
      <c r="E90" s="21" t="s">
        <v>308</v>
      </c>
      <c r="F90" s="19" t="s">
        <v>309</v>
      </c>
      <c r="G90" s="20">
        <v>20564032</v>
      </c>
    </row>
    <row r="91" spans="2:7" x14ac:dyDescent="0.25">
      <c r="B91" s="54" t="s">
        <v>310</v>
      </c>
      <c r="C91" s="55" t="s">
        <v>311</v>
      </c>
      <c r="D91" s="55">
        <f>SUM(D80:D90)</f>
        <v>580494</v>
      </c>
      <c r="E91" s="52" t="s">
        <v>312</v>
      </c>
      <c r="F91" s="19" t="s">
        <v>313</v>
      </c>
      <c r="G91" s="20"/>
    </row>
    <row r="92" spans="2:7" x14ac:dyDescent="0.25">
      <c r="B92" s="54"/>
      <c r="C92" s="57" t="s">
        <v>314</v>
      </c>
      <c r="D92" s="55">
        <f>D77+D91</f>
        <v>11315376</v>
      </c>
      <c r="E92" s="52" t="s">
        <v>315</v>
      </c>
      <c r="F92" s="19" t="s">
        <v>316</v>
      </c>
      <c r="G92" s="20"/>
    </row>
    <row r="93" spans="2:7" x14ac:dyDescent="0.25">
      <c r="E93" s="52" t="s">
        <v>317</v>
      </c>
      <c r="F93" s="19" t="s">
        <v>318</v>
      </c>
      <c r="G93" s="20">
        <f>272291+1843805+1</f>
        <v>2116097</v>
      </c>
    </row>
    <row r="94" spans="2:7" x14ac:dyDescent="0.25">
      <c r="E94" s="52" t="s">
        <v>319</v>
      </c>
      <c r="F94" s="19" t="s">
        <v>320</v>
      </c>
      <c r="G94" s="27">
        <v>1922537</v>
      </c>
    </row>
    <row r="95" spans="2:7" ht="13.5" customHeight="1" thickBot="1" x14ac:dyDescent="0.3">
      <c r="E95" s="21"/>
      <c r="F95" s="28" t="s">
        <v>321</v>
      </c>
      <c r="G95" s="29">
        <f>SUM(G80:G94)</f>
        <v>44055696</v>
      </c>
    </row>
    <row r="96" spans="2:7" x14ac:dyDescent="0.25">
      <c r="E96" s="52" t="s">
        <v>322</v>
      </c>
      <c r="F96" s="22" t="s">
        <v>323</v>
      </c>
      <c r="G96" s="23">
        <v>552352.12</v>
      </c>
    </row>
    <row r="97" spans="2:7" x14ac:dyDescent="0.25">
      <c r="E97" s="52" t="s">
        <v>324</v>
      </c>
      <c r="F97" s="19" t="s">
        <v>325</v>
      </c>
      <c r="G97" s="20">
        <v>2256727</v>
      </c>
    </row>
    <row r="98" spans="2:7" x14ac:dyDescent="0.25">
      <c r="E98" s="52" t="s">
        <v>326</v>
      </c>
      <c r="F98" s="19" t="s">
        <v>327</v>
      </c>
      <c r="G98" s="20">
        <v>1856448</v>
      </c>
    </row>
    <row r="99" spans="2:7" x14ac:dyDescent="0.25">
      <c r="E99" s="52" t="s">
        <v>328</v>
      </c>
      <c r="F99" s="19" t="s">
        <v>329</v>
      </c>
      <c r="G99" s="20">
        <f>2431603+1098514</f>
        <v>3530117</v>
      </c>
    </row>
    <row r="100" spans="2:7" x14ac:dyDescent="0.25">
      <c r="E100" s="52" t="s">
        <v>330</v>
      </c>
      <c r="F100" s="19" t="s">
        <v>331</v>
      </c>
      <c r="G100" s="27">
        <v>372951</v>
      </c>
    </row>
    <row r="101" spans="2:7" ht="15.75" thickBot="1" x14ac:dyDescent="0.3">
      <c r="E101" s="21"/>
      <c r="F101" s="28" t="s">
        <v>332</v>
      </c>
      <c r="G101" s="29">
        <f>SUM(G96:G100)</f>
        <v>8568595.120000001</v>
      </c>
    </row>
    <row r="102" spans="2:7" ht="15.75" thickBot="1" x14ac:dyDescent="0.3">
      <c r="E102" s="52"/>
      <c r="F102" s="59" t="s">
        <v>333</v>
      </c>
      <c r="G102" s="60">
        <f>[28]Amortizaciones!D19</f>
        <v>10734882</v>
      </c>
    </row>
    <row r="103" spans="2:7" x14ac:dyDescent="0.25">
      <c r="E103" s="52" t="s">
        <v>334</v>
      </c>
      <c r="F103" s="19" t="s">
        <v>335</v>
      </c>
      <c r="G103" s="23"/>
    </row>
    <row r="104" spans="2:7" x14ac:dyDescent="0.25">
      <c r="E104" s="52" t="s">
        <v>336</v>
      </c>
      <c r="F104" s="61" t="s">
        <v>337</v>
      </c>
      <c r="G104" s="20"/>
    </row>
    <row r="105" spans="2:7" ht="15.75" thickBot="1" x14ac:dyDescent="0.3">
      <c r="E105" s="21"/>
      <c r="F105" s="28" t="s">
        <v>338</v>
      </c>
      <c r="G105" s="29">
        <f>SUM(G103:G104)</f>
        <v>0</v>
      </c>
    </row>
    <row r="106" spans="2:7" ht="13.7" customHeight="1" thickBot="1" x14ac:dyDescent="0.3">
      <c r="B106" s="6"/>
      <c r="C106" s="62"/>
      <c r="D106" s="62"/>
      <c r="E106" s="52"/>
      <c r="F106" s="48" t="s">
        <v>339</v>
      </c>
      <c r="G106" s="49">
        <f>G19+G27+G32+G48+G57+G79+G95+G101+G102+G105</f>
        <v>797013155.12</v>
      </c>
    </row>
    <row r="107" spans="2:7" ht="13.7" customHeight="1" x14ac:dyDescent="0.25">
      <c r="B107" s="6"/>
      <c r="C107" s="62"/>
      <c r="D107" s="62"/>
      <c r="E107" s="21"/>
      <c r="F107" s="63"/>
      <c r="G107" s="64"/>
    </row>
    <row r="108" spans="2:7" ht="13.7" customHeight="1" thickBot="1" x14ac:dyDescent="0.3">
      <c r="B108" s="6"/>
      <c r="C108" s="62"/>
      <c r="D108" s="62"/>
      <c r="E108" s="21"/>
    </row>
    <row r="109" spans="2:7" ht="13.7" customHeight="1" thickBot="1" x14ac:dyDescent="0.3">
      <c r="B109" s="6"/>
      <c r="C109" s="62"/>
      <c r="D109" s="62"/>
      <c r="E109" s="21"/>
      <c r="F109" s="13" t="s">
        <v>340</v>
      </c>
      <c r="G109" s="65">
        <f>D61-G106</f>
        <v>93553655.879999995</v>
      </c>
    </row>
    <row r="110" spans="2:7" ht="13.7" customHeight="1" thickBot="1" x14ac:dyDescent="0.3">
      <c r="B110" s="6"/>
      <c r="C110" s="62"/>
      <c r="D110" s="62"/>
      <c r="E110" s="21"/>
    </row>
    <row r="111" spans="2:7" ht="13.7" customHeight="1" thickBot="1" x14ac:dyDescent="0.3">
      <c r="C111" s="48" t="s">
        <v>270</v>
      </c>
      <c r="D111" s="17">
        <f>+[28]E.S.P.!D6</f>
        <v>2020</v>
      </c>
      <c r="E111" s="52"/>
      <c r="F111" s="48" t="s">
        <v>341</v>
      </c>
      <c r="G111" s="17">
        <f>+[28]E.S.P.!D6</f>
        <v>2020</v>
      </c>
    </row>
    <row r="112" spans="2:7" ht="13.7" customHeight="1" x14ac:dyDescent="0.25">
      <c r="B112" s="6" t="s">
        <v>342</v>
      </c>
      <c r="C112" s="66" t="s">
        <v>343</v>
      </c>
      <c r="D112" s="67">
        <v>11858004</v>
      </c>
      <c r="E112" s="21" t="s">
        <v>344</v>
      </c>
      <c r="F112" s="66" t="s">
        <v>309</v>
      </c>
      <c r="G112" s="67"/>
    </row>
    <row r="113" spans="2:7" ht="13.7" customHeight="1" x14ac:dyDescent="0.25">
      <c r="B113" s="6" t="s">
        <v>345</v>
      </c>
      <c r="C113" s="68" t="s">
        <v>346</v>
      </c>
      <c r="D113" s="69">
        <v>65872804</v>
      </c>
      <c r="E113" s="21" t="s">
        <v>347</v>
      </c>
      <c r="F113" s="68" t="s">
        <v>348</v>
      </c>
      <c r="G113" s="69"/>
    </row>
    <row r="114" spans="2:7" ht="13.7" customHeight="1" x14ac:dyDescent="0.25">
      <c r="B114" s="6" t="s">
        <v>349</v>
      </c>
      <c r="C114" s="68" t="s">
        <v>48</v>
      </c>
      <c r="D114" s="69"/>
      <c r="E114" s="21" t="s">
        <v>350</v>
      </c>
      <c r="F114" s="68" t="s">
        <v>351</v>
      </c>
      <c r="G114" s="69"/>
    </row>
    <row r="115" spans="2:7" ht="13.7" customHeight="1" x14ac:dyDescent="0.25">
      <c r="B115" s="6" t="s">
        <v>352</v>
      </c>
      <c r="C115" s="68" t="s">
        <v>353</v>
      </c>
      <c r="D115" s="69">
        <v>513149</v>
      </c>
      <c r="E115" s="21" t="s">
        <v>354</v>
      </c>
      <c r="F115" s="68" t="s">
        <v>355</v>
      </c>
      <c r="G115" s="69"/>
    </row>
    <row r="116" spans="2:7" ht="13.7" customHeight="1" x14ac:dyDescent="0.25">
      <c r="B116" s="6" t="s">
        <v>356</v>
      </c>
      <c r="C116" s="68" t="s">
        <v>357</v>
      </c>
      <c r="D116" s="69">
        <v>2811504</v>
      </c>
      <c r="E116" s="21" t="s">
        <v>358</v>
      </c>
      <c r="F116" s="68" t="s">
        <v>359</v>
      </c>
      <c r="G116" s="69"/>
    </row>
    <row r="117" spans="2:7" ht="13.7" customHeight="1" x14ac:dyDescent="0.25">
      <c r="B117" s="6" t="s">
        <v>360</v>
      </c>
      <c r="C117" s="68" t="s">
        <v>361</v>
      </c>
      <c r="D117" s="69">
        <v>2296498</v>
      </c>
      <c r="E117" s="21" t="s">
        <v>362</v>
      </c>
      <c r="F117" s="68" t="s">
        <v>363</v>
      </c>
      <c r="G117" s="69">
        <v>331812</v>
      </c>
    </row>
    <row r="118" spans="2:7" ht="13.7" customHeight="1" x14ac:dyDescent="0.25">
      <c r="B118" s="6" t="s">
        <v>364</v>
      </c>
      <c r="C118" s="68" t="s">
        <v>365</v>
      </c>
      <c r="D118" s="69"/>
      <c r="E118" s="21" t="s">
        <v>366</v>
      </c>
      <c r="F118" s="68" t="s">
        <v>367</v>
      </c>
      <c r="G118" s="69"/>
    </row>
    <row r="119" spans="2:7" ht="13.7" customHeight="1" x14ac:dyDescent="0.25">
      <c r="B119" s="6" t="s">
        <v>368</v>
      </c>
      <c r="C119" s="68" t="s">
        <v>369</v>
      </c>
      <c r="D119" s="69">
        <v>2932540</v>
      </c>
      <c r="E119" s="21" t="s">
        <v>370</v>
      </c>
      <c r="F119" s="68" t="s">
        <v>371</v>
      </c>
      <c r="G119" s="69"/>
    </row>
    <row r="120" spans="2:7" ht="13.7" customHeight="1" x14ac:dyDescent="0.25">
      <c r="B120" s="6" t="s">
        <v>372</v>
      </c>
      <c r="C120" s="68" t="s">
        <v>373</v>
      </c>
      <c r="D120" s="69"/>
      <c r="E120" s="21" t="s">
        <v>374</v>
      </c>
      <c r="F120" s="68" t="s">
        <v>375</v>
      </c>
      <c r="G120" s="69"/>
    </row>
    <row r="121" spans="2:7" ht="13.7" customHeight="1" x14ac:dyDescent="0.25">
      <c r="B121" s="6" t="s">
        <v>376</v>
      </c>
      <c r="C121" s="19" t="s">
        <v>377</v>
      </c>
      <c r="D121" s="69">
        <v>3937164</v>
      </c>
      <c r="E121" s="21" t="s">
        <v>378</v>
      </c>
      <c r="F121" s="68" t="s">
        <v>379</v>
      </c>
      <c r="G121" s="69">
        <f>298740+6744928</f>
        <v>7043668</v>
      </c>
    </row>
    <row r="122" spans="2:7" ht="13.7" customHeight="1" thickBot="1" x14ac:dyDescent="0.3">
      <c r="B122" s="6"/>
      <c r="C122" s="28" t="s">
        <v>380</v>
      </c>
      <c r="D122" s="37">
        <f>SUM(D112:D121)</f>
        <v>90221663</v>
      </c>
      <c r="E122" s="21" t="s">
        <v>381</v>
      </c>
      <c r="F122" s="19" t="s">
        <v>382</v>
      </c>
      <c r="G122" s="20">
        <v>336544</v>
      </c>
    </row>
    <row r="123" spans="2:7" ht="13.7" customHeight="1" thickBot="1" x14ac:dyDescent="0.3">
      <c r="B123" s="6" t="s">
        <v>383</v>
      </c>
      <c r="C123" s="70" t="s">
        <v>309</v>
      </c>
      <c r="D123" s="67"/>
      <c r="E123" s="52"/>
      <c r="F123" s="28" t="s">
        <v>384</v>
      </c>
      <c r="G123" s="37">
        <f>SUM(G112:G122)</f>
        <v>7712024</v>
      </c>
    </row>
    <row r="124" spans="2:7" ht="13.7" customHeight="1" x14ac:dyDescent="0.25">
      <c r="B124" s="6" t="s">
        <v>385</v>
      </c>
      <c r="C124" s="68" t="s">
        <v>313</v>
      </c>
      <c r="D124" s="69"/>
      <c r="E124" s="21" t="s">
        <v>386</v>
      </c>
      <c r="F124" s="68" t="s">
        <v>387</v>
      </c>
      <c r="G124" s="69"/>
    </row>
    <row r="125" spans="2:7" ht="13.7" customHeight="1" x14ac:dyDescent="0.25">
      <c r="B125" s="6" t="s">
        <v>388</v>
      </c>
      <c r="C125" s="19" t="s">
        <v>389</v>
      </c>
      <c r="D125" s="69"/>
      <c r="E125" s="21" t="s">
        <v>390</v>
      </c>
      <c r="F125" s="68" t="s">
        <v>391</v>
      </c>
      <c r="G125" s="69">
        <v>1800</v>
      </c>
    </row>
    <row r="126" spans="2:7" ht="13.7" customHeight="1" thickBot="1" x14ac:dyDescent="0.3">
      <c r="B126" s="6"/>
      <c r="C126" s="28" t="s">
        <v>392</v>
      </c>
      <c r="D126" s="37">
        <f>SUM(D123:D125)</f>
        <v>0</v>
      </c>
      <c r="E126" s="21" t="s">
        <v>393</v>
      </c>
      <c r="F126" s="68" t="s">
        <v>394</v>
      </c>
      <c r="G126" s="69"/>
    </row>
    <row r="127" spans="2:7" ht="13.7" customHeight="1" x14ac:dyDescent="0.25">
      <c r="B127" s="6" t="s">
        <v>395</v>
      </c>
      <c r="C127" s="66" t="s">
        <v>274</v>
      </c>
      <c r="D127" s="67">
        <v>3986906</v>
      </c>
      <c r="E127" s="21" t="s">
        <v>396</v>
      </c>
      <c r="F127" s="68" t="s">
        <v>397</v>
      </c>
      <c r="G127" s="69"/>
    </row>
    <row r="128" spans="2:7" ht="13.7" customHeight="1" x14ac:dyDescent="0.25">
      <c r="B128" s="6" t="s">
        <v>398</v>
      </c>
      <c r="C128" s="68" t="s">
        <v>399</v>
      </c>
      <c r="D128" s="69">
        <v>265113</v>
      </c>
      <c r="E128" s="21" t="s">
        <v>400</v>
      </c>
      <c r="F128" s="68" t="s">
        <v>401</v>
      </c>
      <c r="G128" s="69"/>
    </row>
    <row r="129" spans="2:7" ht="13.7" customHeight="1" x14ac:dyDescent="0.25">
      <c r="B129" s="6" t="s">
        <v>402</v>
      </c>
      <c r="C129" s="68" t="s">
        <v>277</v>
      </c>
      <c r="D129" s="69"/>
      <c r="E129" s="21" t="s">
        <v>403</v>
      </c>
      <c r="F129" s="68" t="s">
        <v>404</v>
      </c>
      <c r="G129" s="69"/>
    </row>
    <row r="130" spans="2:7" ht="13.7" customHeight="1" x14ac:dyDescent="0.25">
      <c r="B130" s="6" t="s">
        <v>405</v>
      </c>
      <c r="C130" s="68" t="s">
        <v>283</v>
      </c>
      <c r="D130" s="69"/>
      <c r="E130" s="21" t="s">
        <v>406</v>
      </c>
      <c r="F130" s="68" t="s">
        <v>407</v>
      </c>
      <c r="G130" s="69"/>
    </row>
    <row r="131" spans="2:7" ht="13.7" customHeight="1" x14ac:dyDescent="0.25">
      <c r="B131" s="6" t="s">
        <v>408</v>
      </c>
      <c r="C131" s="68" t="s">
        <v>287</v>
      </c>
      <c r="D131" s="69"/>
      <c r="E131" s="21" t="s">
        <v>409</v>
      </c>
      <c r="F131" s="68" t="s">
        <v>410</v>
      </c>
      <c r="G131" s="69"/>
    </row>
    <row r="132" spans="2:7" ht="13.7" customHeight="1" x14ac:dyDescent="0.25">
      <c r="B132" s="6" t="s">
        <v>411</v>
      </c>
      <c r="C132" s="68" t="s">
        <v>291</v>
      </c>
      <c r="D132" s="69"/>
      <c r="E132" s="21" t="s">
        <v>412</v>
      </c>
      <c r="F132" s="68" t="s">
        <v>413</v>
      </c>
      <c r="G132" s="69"/>
    </row>
    <row r="133" spans="2:7" ht="13.7" customHeight="1" x14ac:dyDescent="0.25">
      <c r="B133" s="6" t="s">
        <v>414</v>
      </c>
      <c r="C133" s="68" t="s">
        <v>295</v>
      </c>
      <c r="D133" s="69"/>
      <c r="E133" s="21" t="s">
        <v>415</v>
      </c>
      <c r="F133" s="68" t="s">
        <v>416</v>
      </c>
      <c r="G133" s="69">
        <v>278565</v>
      </c>
    </row>
    <row r="134" spans="2:7" ht="13.7" customHeight="1" x14ac:dyDescent="0.25">
      <c r="B134" s="6" t="s">
        <v>417</v>
      </c>
      <c r="C134" s="68" t="s">
        <v>418</v>
      </c>
      <c r="D134" s="69">
        <v>3974575</v>
      </c>
      <c r="E134" s="21" t="s">
        <v>419</v>
      </c>
      <c r="F134" s="68" t="s">
        <v>420</v>
      </c>
      <c r="G134" s="69">
        <v>85558</v>
      </c>
    </row>
    <row r="135" spans="2:7" ht="13.7" customHeight="1" x14ac:dyDescent="0.25">
      <c r="B135" s="6" t="s">
        <v>421</v>
      </c>
      <c r="C135" s="68" t="s">
        <v>422</v>
      </c>
      <c r="D135" s="69">
        <v>11580852</v>
      </c>
      <c r="E135" s="21" t="s">
        <v>423</v>
      </c>
      <c r="F135" s="68" t="s">
        <v>424</v>
      </c>
      <c r="G135" s="69"/>
    </row>
    <row r="136" spans="2:7" ht="13.7" customHeight="1" x14ac:dyDescent="0.25">
      <c r="B136" s="6" t="s">
        <v>425</v>
      </c>
      <c r="C136" s="68" t="s">
        <v>318</v>
      </c>
      <c r="D136" s="69">
        <f>1358581+67199-15398</f>
        <v>1410382</v>
      </c>
      <c r="E136" s="21" t="s">
        <v>426</v>
      </c>
      <c r="F136" s="68" t="s">
        <v>427</v>
      </c>
      <c r="G136" s="69">
        <v>108661</v>
      </c>
    </row>
    <row r="137" spans="2:7" ht="13.7" customHeight="1" x14ac:dyDescent="0.25">
      <c r="B137" s="6" t="s">
        <v>428</v>
      </c>
      <c r="C137" s="19" t="s">
        <v>320</v>
      </c>
      <c r="D137" s="71">
        <v>968171</v>
      </c>
      <c r="E137" s="21" t="s">
        <v>429</v>
      </c>
      <c r="F137" s="68" t="s">
        <v>430</v>
      </c>
      <c r="G137" s="69">
        <f>51615+87182</f>
        <v>138797</v>
      </c>
    </row>
    <row r="138" spans="2:7" ht="13.7" customHeight="1" thickBot="1" x14ac:dyDescent="0.3">
      <c r="B138" s="6"/>
      <c r="C138" s="28" t="s">
        <v>321</v>
      </c>
      <c r="D138" s="37">
        <f>SUM(D127:D137)</f>
        <v>22185999</v>
      </c>
      <c r="E138" s="21" t="s">
        <v>431</v>
      </c>
      <c r="F138" s="19" t="s">
        <v>432</v>
      </c>
      <c r="G138" s="20">
        <v>27988</v>
      </c>
    </row>
    <row r="139" spans="2:7" ht="13.7" customHeight="1" thickBot="1" x14ac:dyDescent="0.3">
      <c r="B139" s="6" t="s">
        <v>433</v>
      </c>
      <c r="C139" s="66" t="s">
        <v>327</v>
      </c>
      <c r="D139" s="67"/>
      <c r="E139" s="7"/>
      <c r="F139" s="28" t="s">
        <v>434</v>
      </c>
      <c r="G139" s="37">
        <f>SUM(G124:G138)</f>
        <v>641369</v>
      </c>
    </row>
    <row r="140" spans="2:7" ht="13.7" customHeight="1" thickBot="1" x14ac:dyDescent="0.3">
      <c r="B140" s="6" t="s">
        <v>435</v>
      </c>
      <c r="C140" s="68" t="s">
        <v>329</v>
      </c>
      <c r="D140" s="69">
        <v>212611</v>
      </c>
      <c r="E140" s="7"/>
      <c r="F140" s="48" t="s">
        <v>436</v>
      </c>
      <c r="G140" s="72">
        <f>G123-G139</f>
        <v>7070655</v>
      </c>
    </row>
    <row r="141" spans="2:7" ht="13.7" customHeight="1" x14ac:dyDescent="0.25">
      <c r="B141" s="6" t="s">
        <v>437</v>
      </c>
      <c r="C141" s="19" t="s">
        <v>331</v>
      </c>
      <c r="D141" s="71">
        <v>9701</v>
      </c>
      <c r="E141" s="73"/>
    </row>
    <row r="142" spans="2:7" ht="13.7" customHeight="1" thickBot="1" x14ac:dyDescent="0.3">
      <c r="B142" s="6"/>
      <c r="C142" s="28" t="s">
        <v>332</v>
      </c>
      <c r="D142" s="37">
        <f>SUM(D139:D141)</f>
        <v>222312</v>
      </c>
      <c r="E142" s="73"/>
    </row>
    <row r="143" spans="2:7" ht="13.7" customHeight="1" thickBot="1" x14ac:dyDescent="0.3">
      <c r="B143" s="6"/>
      <c r="C143" s="59" t="s">
        <v>438</v>
      </c>
      <c r="D143" s="74">
        <f>[28]Amortizaciones!D33</f>
        <v>580494</v>
      </c>
      <c r="E143" s="21"/>
      <c r="F143" s="48" t="s">
        <v>439</v>
      </c>
      <c r="G143" s="17">
        <f>+[28]E.S.P.!D6</f>
        <v>2020</v>
      </c>
    </row>
    <row r="144" spans="2:7" ht="13.7" customHeight="1" x14ac:dyDescent="0.25">
      <c r="B144" s="6" t="s">
        <v>440</v>
      </c>
      <c r="C144" s="66" t="s">
        <v>441</v>
      </c>
      <c r="D144" s="67">
        <v>198131</v>
      </c>
      <c r="E144" s="21" t="s">
        <v>442</v>
      </c>
      <c r="F144" s="66" t="s">
        <v>443</v>
      </c>
      <c r="G144" s="67">
        <v>10193</v>
      </c>
    </row>
    <row r="145" spans="2:7" ht="13.7" customHeight="1" x14ac:dyDescent="0.25">
      <c r="B145" s="6" t="s">
        <v>444</v>
      </c>
      <c r="C145" s="68" t="s">
        <v>445</v>
      </c>
      <c r="D145" s="69"/>
      <c r="E145" s="21" t="s">
        <v>446</v>
      </c>
      <c r="F145" s="68" t="s">
        <v>447</v>
      </c>
      <c r="G145" s="69">
        <v>11050367</v>
      </c>
    </row>
    <row r="146" spans="2:7" ht="13.7" customHeight="1" x14ac:dyDescent="0.25">
      <c r="B146" s="6" t="s">
        <v>448</v>
      </c>
      <c r="C146" s="75" t="s">
        <v>449</v>
      </c>
      <c r="D146" s="69"/>
      <c r="E146" s="21" t="s">
        <v>450</v>
      </c>
      <c r="F146" s="68" t="s">
        <v>451</v>
      </c>
      <c r="G146" s="69">
        <v>1118930</v>
      </c>
    </row>
    <row r="147" spans="2:7" ht="13.7" customHeight="1" x14ac:dyDescent="0.25">
      <c r="B147" s="6" t="s">
        <v>452</v>
      </c>
      <c r="C147" s="19" t="s">
        <v>453</v>
      </c>
      <c r="D147" s="71">
        <v>23677</v>
      </c>
      <c r="E147" s="21" t="s">
        <v>454</v>
      </c>
      <c r="F147" s="68" t="s">
        <v>455</v>
      </c>
      <c r="G147" s="69"/>
    </row>
    <row r="148" spans="2:7" ht="13.7" customHeight="1" thickBot="1" x14ac:dyDescent="0.3">
      <c r="B148" s="6"/>
      <c r="C148" s="28" t="s">
        <v>456</v>
      </c>
      <c r="D148" s="37">
        <f>SUM(D144:D147)</f>
        <v>221808</v>
      </c>
      <c r="E148" s="21" t="s">
        <v>457</v>
      </c>
      <c r="F148" s="68" t="s">
        <v>458</v>
      </c>
      <c r="G148" s="69"/>
    </row>
    <row r="149" spans="2:7" ht="13.7" customHeight="1" x14ac:dyDescent="0.25">
      <c r="B149" s="6" t="s">
        <v>459</v>
      </c>
      <c r="C149" s="66" t="s">
        <v>460</v>
      </c>
      <c r="D149" s="67">
        <v>2455044</v>
      </c>
      <c r="E149" s="21" t="s">
        <v>461</v>
      </c>
      <c r="F149" s="68" t="s">
        <v>462</v>
      </c>
      <c r="G149" s="69"/>
    </row>
    <row r="150" spans="2:7" ht="13.7" customHeight="1" x14ac:dyDescent="0.25">
      <c r="B150" s="6" t="s">
        <v>463</v>
      </c>
      <c r="C150" s="68" t="s">
        <v>464</v>
      </c>
      <c r="D150" s="69">
        <v>320755</v>
      </c>
      <c r="E150" s="21" t="s">
        <v>465</v>
      </c>
      <c r="F150" s="68" t="s">
        <v>466</v>
      </c>
      <c r="G150" s="69"/>
    </row>
    <row r="151" spans="2:7" ht="13.7" customHeight="1" x14ac:dyDescent="0.25">
      <c r="B151" s="6" t="s">
        <v>467</v>
      </c>
      <c r="C151" s="19" t="s">
        <v>468</v>
      </c>
      <c r="D151" s="71">
        <v>133412</v>
      </c>
      <c r="E151" s="21" t="s">
        <v>469</v>
      </c>
      <c r="F151" s="68" t="s">
        <v>470</v>
      </c>
      <c r="G151" s="69">
        <v>12073325</v>
      </c>
    </row>
    <row r="152" spans="2:7" ht="13.7" customHeight="1" thickBot="1" x14ac:dyDescent="0.3">
      <c r="B152" s="6"/>
      <c r="C152" s="28" t="s">
        <v>471</v>
      </c>
      <c r="D152" s="37">
        <f>SUM(D149:D151)</f>
        <v>2909211</v>
      </c>
      <c r="E152" s="21" t="s">
        <v>472</v>
      </c>
      <c r="F152" s="68" t="s">
        <v>473</v>
      </c>
      <c r="G152" s="69">
        <v>197213</v>
      </c>
    </row>
    <row r="153" spans="2:7" ht="13.7" customHeight="1" thickBot="1" x14ac:dyDescent="0.3">
      <c r="B153" s="6"/>
      <c r="C153" s="48" t="s">
        <v>474</v>
      </c>
      <c r="D153" s="76">
        <f>D122+D126+D138+D142+D143+D148+D152</f>
        <v>116341487</v>
      </c>
      <c r="E153" s="21" t="s">
        <v>475</v>
      </c>
      <c r="F153" s="19" t="s">
        <v>476</v>
      </c>
      <c r="G153" s="20">
        <v>60521</v>
      </c>
    </row>
    <row r="154" spans="2:7" ht="13.7" customHeight="1" thickBot="1" x14ac:dyDescent="0.3">
      <c r="B154" s="6"/>
      <c r="E154" s="21"/>
      <c r="F154" s="28" t="s">
        <v>477</v>
      </c>
      <c r="G154" s="37">
        <f>SUM(G144:G153)</f>
        <v>24510549</v>
      </c>
    </row>
    <row r="155" spans="2:7" ht="13.7" customHeight="1" thickBot="1" x14ac:dyDescent="0.3">
      <c r="B155" s="6"/>
      <c r="C155" s="77" t="s">
        <v>478</v>
      </c>
      <c r="D155" s="65">
        <f>G109-D153</f>
        <v>-22787831.120000005</v>
      </c>
      <c r="E155" s="21" t="s">
        <v>479</v>
      </c>
      <c r="F155" s="66" t="s">
        <v>480</v>
      </c>
      <c r="G155" s="67">
        <v>3184100</v>
      </c>
    </row>
    <row r="156" spans="2:7" ht="13.7" customHeight="1" x14ac:dyDescent="0.25">
      <c r="E156" s="21" t="s">
        <v>481</v>
      </c>
      <c r="F156" s="68" t="s">
        <v>482</v>
      </c>
      <c r="G156" s="69">
        <v>9936046</v>
      </c>
    </row>
    <row r="157" spans="2:7" ht="13.7" customHeight="1" x14ac:dyDescent="0.25">
      <c r="E157" s="21" t="s">
        <v>483</v>
      </c>
      <c r="F157" s="68" t="s">
        <v>484</v>
      </c>
      <c r="G157" s="69"/>
    </row>
    <row r="158" spans="2:7" ht="13.7" customHeight="1" x14ac:dyDescent="0.25">
      <c r="E158" s="21" t="s">
        <v>485</v>
      </c>
      <c r="F158" s="68" t="s">
        <v>486</v>
      </c>
      <c r="G158" s="69"/>
    </row>
    <row r="159" spans="2:7" ht="13.7" customHeight="1" x14ac:dyDescent="0.25">
      <c r="E159" s="21" t="s">
        <v>487</v>
      </c>
      <c r="F159" s="68" t="s">
        <v>488</v>
      </c>
      <c r="G159" s="69">
        <v>2514</v>
      </c>
    </row>
    <row r="160" spans="2:7" ht="13.7" customHeight="1" x14ac:dyDescent="0.25">
      <c r="E160" s="21" t="s">
        <v>489</v>
      </c>
      <c r="F160" s="68" t="s">
        <v>490</v>
      </c>
      <c r="G160" s="69">
        <v>33667</v>
      </c>
    </row>
    <row r="161" spans="5:7" ht="13.7" customHeight="1" x14ac:dyDescent="0.25">
      <c r="E161" s="21" t="s">
        <v>491</v>
      </c>
      <c r="F161" s="68" t="s">
        <v>492</v>
      </c>
      <c r="G161" s="69">
        <v>385423</v>
      </c>
    </row>
    <row r="162" spans="5:7" ht="13.7" customHeight="1" x14ac:dyDescent="0.25">
      <c r="E162" s="21" t="s">
        <v>493</v>
      </c>
      <c r="F162" s="68" t="s">
        <v>494</v>
      </c>
      <c r="G162" s="69"/>
    </row>
    <row r="163" spans="5:7" ht="13.7" customHeight="1" x14ac:dyDescent="0.25">
      <c r="E163" s="21" t="s">
        <v>495</v>
      </c>
      <c r="F163" s="68" t="s">
        <v>496</v>
      </c>
      <c r="G163" s="69"/>
    </row>
    <row r="164" spans="5:7" ht="13.7" customHeight="1" x14ac:dyDescent="0.25">
      <c r="E164" s="21" t="s">
        <v>497</v>
      </c>
      <c r="F164" s="68" t="s">
        <v>498</v>
      </c>
      <c r="G164" s="69"/>
    </row>
    <row r="165" spans="5:7" ht="13.7" customHeight="1" x14ac:dyDescent="0.25">
      <c r="E165" s="21" t="s">
        <v>499</v>
      </c>
      <c r="F165" s="68" t="s">
        <v>500</v>
      </c>
      <c r="G165" s="69"/>
    </row>
    <row r="166" spans="5:7" ht="13.7" customHeight="1" x14ac:dyDescent="0.25">
      <c r="E166" s="21" t="s">
        <v>501</v>
      </c>
      <c r="F166" s="68" t="s">
        <v>502</v>
      </c>
      <c r="G166" s="69">
        <f>55703+98109+101698</f>
        <v>255510</v>
      </c>
    </row>
    <row r="167" spans="5:7" ht="13.7" customHeight="1" x14ac:dyDescent="0.25">
      <c r="E167" s="21" t="s">
        <v>503</v>
      </c>
      <c r="F167" s="19" t="s">
        <v>504</v>
      </c>
      <c r="G167" s="20">
        <v>176188</v>
      </c>
    </row>
    <row r="168" spans="5:7" ht="13.7" customHeight="1" thickBot="1" x14ac:dyDescent="0.3">
      <c r="E168" s="21"/>
      <c r="F168" s="28" t="s">
        <v>505</v>
      </c>
      <c r="G168" s="37">
        <f>SUM(G155:G167)</f>
        <v>13973448</v>
      </c>
    </row>
    <row r="169" spans="5:7" ht="13.7" customHeight="1" thickBot="1" x14ac:dyDescent="0.3">
      <c r="E169" s="21"/>
      <c r="F169" s="48" t="s">
        <v>506</v>
      </c>
      <c r="G169" s="72">
        <f>G154-G168</f>
        <v>10537101</v>
      </c>
    </row>
    <row r="170" spans="5:7" ht="13.7" customHeight="1" thickBot="1" x14ac:dyDescent="0.3">
      <c r="E170" s="21"/>
      <c r="F170" s="78"/>
      <c r="G170" s="78"/>
    </row>
    <row r="171" spans="5:7" ht="13.7" customHeight="1" thickBot="1" x14ac:dyDescent="0.3">
      <c r="E171" s="21"/>
      <c r="F171" s="77" t="s">
        <v>507</v>
      </c>
      <c r="G171" s="79"/>
    </row>
    <row r="172" spans="5:7" ht="13.7" customHeight="1" thickBot="1" x14ac:dyDescent="0.3">
      <c r="E172" s="21"/>
      <c r="F172" s="80"/>
      <c r="G172" s="81">
        <f>+D155+G140+G169</f>
        <v>-5180075.1200000048</v>
      </c>
    </row>
    <row r="173" spans="5:7" ht="13.7" customHeight="1" thickBot="1" x14ac:dyDescent="0.3">
      <c r="E173" s="21"/>
      <c r="F173" s="5"/>
      <c r="G173" s="5"/>
    </row>
    <row r="174" spans="5:7" ht="13.7" customHeight="1" thickBot="1" x14ac:dyDescent="0.3">
      <c r="E174" s="21"/>
      <c r="F174" s="48" t="s">
        <v>508</v>
      </c>
      <c r="G174" s="17">
        <f>+G143</f>
        <v>2020</v>
      </c>
    </row>
    <row r="175" spans="5:7" ht="13.7" customHeight="1" x14ac:dyDescent="0.25">
      <c r="E175" s="21"/>
      <c r="F175" s="66" t="s">
        <v>509</v>
      </c>
      <c r="G175" s="67"/>
    </row>
    <row r="176" spans="5:7" ht="13.7" customHeight="1" x14ac:dyDescent="0.25">
      <c r="E176" s="21"/>
      <c r="F176" s="68" t="s">
        <v>510</v>
      </c>
      <c r="G176" s="69"/>
    </row>
    <row r="177" spans="1:8" ht="13.7" customHeight="1" thickBot="1" x14ac:dyDescent="0.3">
      <c r="F177" s="68" t="s">
        <v>511</v>
      </c>
      <c r="G177" s="69"/>
    </row>
    <row r="178" spans="1:8" ht="13.7" customHeight="1" thickBot="1" x14ac:dyDescent="0.3">
      <c r="F178" s="48" t="s">
        <v>512</v>
      </c>
      <c r="G178" s="72">
        <f>SUM(G175:G177)</f>
        <v>0</v>
      </c>
    </row>
    <row r="179" spans="1:8" ht="13.7" customHeight="1" thickBot="1" x14ac:dyDescent="0.3"/>
    <row r="180" spans="1:8" ht="13.7" customHeight="1" thickBot="1" x14ac:dyDescent="0.3">
      <c r="F180" s="77" t="s">
        <v>513</v>
      </c>
      <c r="G180" s="79"/>
    </row>
    <row r="181" spans="1:8" ht="13.7" customHeight="1" thickBot="1" x14ac:dyDescent="0.3">
      <c r="F181" s="83"/>
      <c r="G181" s="81">
        <f>+G172+G178</f>
        <v>-5180075.1200000048</v>
      </c>
    </row>
    <row r="182" spans="1:8" ht="13.7" customHeight="1" x14ac:dyDescent="0.25"/>
    <row r="183" spans="1:8" ht="13.5" customHeight="1" x14ac:dyDescent="0.25"/>
    <row r="184" spans="1:8" ht="13.7" customHeight="1" x14ac:dyDescent="0.25">
      <c r="E184" s="84"/>
      <c r="F184" s="84"/>
      <c r="G184" s="84"/>
      <c r="H184" s="84"/>
    </row>
    <row r="185" spans="1:8" s="84" customFormat="1" ht="13.7" customHeight="1" x14ac:dyDescent="0.25">
      <c r="A185" s="85"/>
      <c r="E185" s="82"/>
      <c r="F185" s="86"/>
      <c r="G185" s="86"/>
    </row>
    <row r="186" spans="1:8" s="84" customFormat="1" ht="12.75" x14ac:dyDescent="0.25">
      <c r="A186" s="85"/>
      <c r="E186" s="82"/>
      <c r="F186" s="86"/>
      <c r="G186" s="86"/>
    </row>
    <row r="187" spans="1:8" s="84" customFormat="1" ht="12.75" hidden="1" x14ac:dyDescent="0.25">
      <c r="A187" s="85"/>
      <c r="E187" s="82"/>
      <c r="F187" s="86"/>
      <c r="G187" s="86"/>
    </row>
    <row r="188" spans="1:8" s="84" customFormat="1" ht="12.75" hidden="1" x14ac:dyDescent="0.25">
      <c r="A188" s="85"/>
      <c r="E188" s="82"/>
      <c r="F188" s="86"/>
      <c r="G188" s="86"/>
    </row>
    <row r="189" spans="1:8" s="84" customFormat="1" ht="12.75" hidden="1" x14ac:dyDescent="0.25">
      <c r="A189" s="85"/>
      <c r="E189" s="82"/>
      <c r="F189" s="86"/>
      <c r="G189" s="86"/>
    </row>
    <row r="190" spans="1:8" s="84" customFormat="1" ht="12.75" hidden="1" x14ac:dyDescent="0.25">
      <c r="A190" s="85"/>
      <c r="E190" s="82"/>
      <c r="F190" s="86"/>
      <c r="G190" s="86"/>
    </row>
    <row r="191" spans="1:8" s="84" customFormat="1" ht="12.75" hidden="1" x14ac:dyDescent="0.25">
      <c r="A191" s="85"/>
      <c r="E191" s="82"/>
      <c r="F191" s="86"/>
      <c r="G191" s="86"/>
    </row>
    <row r="192" spans="1:8" s="84" customFormat="1" ht="12.75" hidden="1" x14ac:dyDescent="0.25">
      <c r="A192" s="85"/>
      <c r="E192" s="82"/>
      <c r="F192" s="86"/>
      <c r="G192" s="86"/>
    </row>
    <row r="193" spans="5:7" s="84" customFormat="1" ht="12.75" hidden="1" x14ac:dyDescent="0.25">
      <c r="E193" s="82"/>
      <c r="F193" s="86"/>
      <c r="G193" s="86"/>
    </row>
    <row r="194" spans="5:7" s="84" customFormat="1" ht="12.75" hidden="1" x14ac:dyDescent="0.25">
      <c r="E194" s="82"/>
      <c r="F194" s="86"/>
      <c r="G194" s="86"/>
    </row>
    <row r="195" spans="5:7" s="84" customFormat="1" ht="12.75" hidden="1" x14ac:dyDescent="0.25">
      <c r="E195" s="82"/>
      <c r="F195" s="86"/>
      <c r="G195" s="86"/>
    </row>
    <row r="196" spans="5:7" s="84" customFormat="1" ht="12.75" hidden="1" x14ac:dyDescent="0.25">
      <c r="E196" s="82"/>
      <c r="F196" s="86"/>
      <c r="G196" s="86"/>
    </row>
    <row r="197" spans="5:7" s="84" customFormat="1" ht="12.75" hidden="1" x14ac:dyDescent="0.25">
      <c r="E197" s="82"/>
      <c r="F197" s="86"/>
      <c r="G197" s="86"/>
    </row>
    <row r="198" spans="5:7" s="84" customFormat="1" ht="12.75" hidden="1" x14ac:dyDescent="0.25">
      <c r="E198" s="82"/>
      <c r="F198" s="86"/>
      <c r="G198" s="86"/>
    </row>
    <row r="199" spans="5:7" s="84" customFormat="1" ht="12.75" hidden="1" x14ac:dyDescent="0.25">
      <c r="E199" s="82"/>
      <c r="F199" s="86"/>
      <c r="G199" s="86"/>
    </row>
    <row r="200" spans="5:7" s="84" customFormat="1" ht="12.75" hidden="1" x14ac:dyDescent="0.25">
      <c r="E200" s="82"/>
      <c r="F200" s="86"/>
      <c r="G200" s="86"/>
    </row>
    <row r="201" spans="5:7" s="84" customFormat="1" ht="12.75" hidden="1" x14ac:dyDescent="0.25">
      <c r="E201" s="82"/>
      <c r="F201" s="86"/>
      <c r="G201" s="86"/>
    </row>
    <row r="202" spans="5:7" s="84" customFormat="1" ht="12.75" hidden="1" x14ac:dyDescent="0.25">
      <c r="E202" s="82"/>
      <c r="F202" s="86"/>
      <c r="G202" s="86"/>
    </row>
    <row r="203" spans="5:7" s="84" customFormat="1" ht="12.75" hidden="1" x14ac:dyDescent="0.25">
      <c r="E203" s="82"/>
      <c r="F203" s="86"/>
      <c r="G203" s="86"/>
    </row>
    <row r="204" spans="5:7" s="84" customFormat="1" ht="12.75" hidden="1" x14ac:dyDescent="0.25">
      <c r="E204" s="82"/>
      <c r="F204" s="86"/>
      <c r="G204" s="86"/>
    </row>
    <row r="205" spans="5:7" s="84" customFormat="1" ht="12.75" hidden="1" x14ac:dyDescent="0.25">
      <c r="E205" s="82"/>
      <c r="F205" s="86"/>
      <c r="G205" s="86"/>
    </row>
    <row r="206" spans="5:7" s="84" customFormat="1" ht="12.75" hidden="1" x14ac:dyDescent="0.25">
      <c r="E206" s="82"/>
      <c r="F206" s="86"/>
      <c r="G206" s="86"/>
    </row>
    <row r="207" spans="5:7" s="84" customFormat="1" ht="12.75" hidden="1" x14ac:dyDescent="0.25">
      <c r="E207" s="82"/>
      <c r="F207" s="86"/>
      <c r="G207" s="86"/>
    </row>
    <row r="208" spans="5:7" s="84" customFormat="1" ht="12.75" hidden="1" x14ac:dyDescent="0.25">
      <c r="E208" s="82"/>
      <c r="F208" s="86"/>
      <c r="G208" s="86"/>
    </row>
    <row r="209" spans="3:8" s="84" customFormat="1" ht="12.75" hidden="1" x14ac:dyDescent="0.25">
      <c r="E209" s="82"/>
      <c r="F209" s="86"/>
      <c r="G209" s="86"/>
    </row>
    <row r="210" spans="3:8" s="84" customFormat="1" ht="12.75" hidden="1" x14ac:dyDescent="0.25">
      <c r="E210" s="82"/>
      <c r="F210" s="86"/>
      <c r="G210" s="86"/>
    </row>
    <row r="211" spans="3:8" s="84" customFormat="1" ht="12.75" hidden="1" x14ac:dyDescent="0.25">
      <c r="E211" s="82"/>
      <c r="F211" s="86"/>
      <c r="G211" s="86"/>
    </row>
    <row r="212" spans="3:8" s="84" customFormat="1" ht="12.75" hidden="1" x14ac:dyDescent="0.25">
      <c r="E212" s="82"/>
      <c r="F212" s="86"/>
      <c r="G212" s="86"/>
    </row>
    <row r="213" spans="3:8" s="84" customFormat="1" ht="12.75" hidden="1" x14ac:dyDescent="0.25">
      <c r="E213" s="82"/>
      <c r="F213" s="86"/>
      <c r="G213" s="86"/>
    </row>
    <row r="214" spans="3:8" s="84" customFormat="1" hidden="1" x14ac:dyDescent="0.25">
      <c r="E214" s="82"/>
      <c r="F214" s="87"/>
      <c r="G214" s="58"/>
      <c r="H214" s="5"/>
    </row>
    <row r="215" spans="3:8" hidden="1" x14ac:dyDescent="0.25">
      <c r="C215" s="86"/>
      <c r="D215" s="86"/>
      <c r="F215" s="87"/>
    </row>
  </sheetData>
  <mergeCells count="6">
    <mergeCell ref="C1:D1"/>
    <mergeCell ref="E1:F1"/>
    <mergeCell ref="C2:D2"/>
    <mergeCell ref="E2:F2"/>
    <mergeCell ref="C3:D3"/>
    <mergeCell ref="E3:F3"/>
  </mergeCells>
  <conditionalFormatting sqref="D7:D12">
    <cfRule type="cellIs" dxfId="87" priority="6" stopIfTrue="1" operator="greaterThan">
      <formula>50</formula>
    </cfRule>
    <cfRule type="cellIs" dxfId="86" priority="15" stopIfTrue="1" operator="equal">
      <formula>0</formula>
    </cfRule>
  </conditionalFormatting>
  <conditionalFormatting sqref="D7:D61">
    <cfRule type="cellIs" dxfId="85" priority="13" stopIfTrue="1" operator="between">
      <formula>-0.1</formula>
      <formula>-50</formula>
    </cfRule>
    <cfRule type="cellIs" dxfId="84" priority="14" stopIfTrue="1" operator="between">
      <formula>0.1</formula>
      <formula>50</formula>
    </cfRule>
  </conditionalFormatting>
  <conditionalFormatting sqref="G152:G181 G7:G150">
    <cfRule type="cellIs" dxfId="83" priority="11" stopIfTrue="1" operator="between">
      <formula>-0.1</formula>
      <formula>-50</formula>
    </cfRule>
    <cfRule type="cellIs" dxfId="82" priority="12" stopIfTrue="1" operator="between">
      <formula>0.1</formula>
      <formula>50</formula>
    </cfRule>
  </conditionalFormatting>
  <conditionalFormatting sqref="D111:D155">
    <cfRule type="cellIs" dxfId="81" priority="9" stopIfTrue="1" operator="between">
      <formula>-0.1</formula>
      <formula>-50</formula>
    </cfRule>
    <cfRule type="cellIs" dxfId="80" priority="10" stopIfTrue="1" operator="between">
      <formula>0.1</formula>
      <formula>50</formula>
    </cfRule>
  </conditionalFormatting>
  <conditionalFormatting sqref="G165">
    <cfRule type="expression" dxfId="79" priority="8" stopIfTrue="1">
      <formula>AND($G$165&gt;0,$G$151&gt;0)</formula>
    </cfRule>
  </conditionalFormatting>
  <conditionalFormatting sqref="G151">
    <cfRule type="expression" dxfId="78" priority="5" stopIfTrue="1">
      <formula>AND($G$151&gt;0,$G$165&gt;0)</formula>
    </cfRule>
  </conditionalFormatting>
  <dataValidations count="11">
    <dataValidation type="custom" operator="greaterThan" showInputMessage="1" showErrorMessage="1" errorTitle="RDM" error="No se admite ingresar RDM como ingresos y egresos a la vez. Tampoco se admiten valores menores a $50._x000a_" sqref="G151">
      <formula1>AND(OR(G151=0, G151&gt;50),G165=0)</formula1>
    </dataValidation>
    <dataValidation type="whole" operator="greaterThan" allowBlank="1" showInputMessage="1" showErrorMessage="1" sqref="D8:D12">
      <formula1>50</formula1>
    </dataValidation>
    <dataValidation type="whole" operator="greaterThan" showInputMessage="1" showErrorMessage="1" errorTitle="eee" error="Valores mayores a $50" sqref="D7">
      <formula1>50</formula1>
    </dataValidation>
    <dataValidation type="custom" operator="greaterThan" showInputMessage="1" showErrorMessage="1" errorTitle="eee" sqref="D56">
      <formula1>OR(D56=0, D56&lt;50)</formula1>
    </dataValidation>
    <dataValidation type="custom" operator="greaterThan" showInputMessage="1" showErrorMessage="1" errorTitle="eee" sqref="D57:D61">
      <formula1>OR(D57=0, D57&lt;0)</formula1>
    </dataValidation>
    <dataValidation type="custom" operator="greaterThan" showInputMessage="1" showErrorMessage="1" errorTitle="eee" sqref="G7:G140 D62:D155 G152:G164 G166:G181 G144:G150 D13:D55">
      <formula1>OR(D7=0, D7&gt;50)</formula1>
    </dataValidation>
    <dataValidation type="whole" allowBlank="1" showErrorMessage="1" errorTitle="Error de datos" error="Debe ingresar un valor entre 1 y 12" sqref="G1:G3">
      <formula1>1</formula1>
      <formula2>12</formula2>
    </dataValidation>
    <dataValidation allowBlank="1" errorTitle="Error de datos" error="Debe introducir una fecha válida" sqref="E3"/>
    <dataValidation allowBlank="1" sqref="G204"/>
    <dataValidation operator="greaterThanOrEqual" allowBlank="1" errorTitle="Error de datos" error="Debe ingresar un valor entero positivo" sqref="F6:F107 F203 C13:C47 C106:C153 F171 F174:F178 F180 F111:F119 C7:C10 F121:F140 F143:F169 C49:C62 C155 F109"/>
    <dataValidation type="custom" operator="greaterThan" showInputMessage="1" showErrorMessage="1" errorTitle="rdm2" error="No se admite ingresar a la vez RDM como ingresos y como egresos. Tampoco se admiten valores negattivos o positivos menores de 50" sqref="G165">
      <formula1>AND(OR(G165=0, G165&gt;50),G151=0)</formula1>
    </dataValidation>
  </dataValidations>
  <pageMargins left="0.7" right="0.7" top="0.75" bottom="0.75" header="0.3" footer="0.3"/>
  <ignoredErrors>
    <ignoredError sqref="E7:E181" numberStoredAsText="1"/>
    <ignoredError sqref="D8:D9 D27 D30:D33 D42 D136 G16 G22 G55 G77 G93 G99 G121 G137 G166" unlockedFormula="1"/>
    <ignoredError sqref="G40" formulaRange="1"/>
  </ignoredErrors>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15"/>
  <sheetViews>
    <sheetView showGridLines="0" workbookViewId="0">
      <selection activeCell="F4" sqref="F4"/>
    </sheetView>
  </sheetViews>
  <sheetFormatPr baseColWidth="10" defaultColWidth="0" defaultRowHeight="0" customHeight="1" zeroHeight="1" x14ac:dyDescent="0.25"/>
  <cols>
    <col min="1" max="1" width="3.7109375" style="1" customWidth="1"/>
    <col min="2" max="2" width="14.28515625" style="7" hidden="1" customWidth="1"/>
    <col min="3" max="3" width="58.7109375" style="58" customWidth="1"/>
    <col min="4" max="4" width="25.140625" style="58" customWidth="1"/>
    <col min="5" max="5" width="5.85546875" style="82" customWidth="1"/>
    <col min="6" max="6" width="57.28515625" style="58" customWidth="1"/>
    <col min="7" max="7" width="24.7109375" style="58" customWidth="1"/>
    <col min="8" max="8" width="5.42578125" style="5" customWidth="1"/>
    <col min="9" max="16384" width="0" style="5" hidden="1"/>
  </cols>
  <sheetData>
    <row r="1" spans="1:9" ht="15.75" x14ac:dyDescent="0.25">
      <c r="B1" s="2"/>
      <c r="C1" s="313" t="s">
        <v>0</v>
      </c>
      <c r="D1" s="314"/>
      <c r="E1" s="315" t="str">
        <f>[3]Presentacion!C2</f>
        <v>Casa de Galicia</v>
      </c>
      <c r="F1" s="315"/>
      <c r="G1" s="3"/>
      <c r="H1" s="4"/>
    </row>
    <row r="2" spans="1:9" ht="15.75" x14ac:dyDescent="0.25">
      <c r="B2" s="6"/>
      <c r="C2" s="313" t="s">
        <v>1</v>
      </c>
      <c r="D2" s="314"/>
      <c r="E2" s="315" t="str">
        <f>[3]Presentacion!C3</f>
        <v>Montevideo</v>
      </c>
      <c r="F2" s="315"/>
      <c r="G2" s="3"/>
      <c r="H2" s="4"/>
    </row>
    <row r="3" spans="1:9" ht="15.75" x14ac:dyDescent="0.25">
      <c r="B3" s="6"/>
      <c r="C3" s="313" t="s">
        <v>2</v>
      </c>
      <c r="D3" s="316"/>
      <c r="E3" s="317" t="s">
        <v>3</v>
      </c>
      <c r="F3" s="317"/>
      <c r="G3" s="3"/>
      <c r="H3" s="4"/>
    </row>
    <row r="4" spans="1:9" ht="15.75" thickBot="1" x14ac:dyDescent="0.3">
      <c r="C4" s="287"/>
      <c r="D4" s="8"/>
      <c r="E4" s="9"/>
      <c r="F4" s="10"/>
      <c r="G4" s="11"/>
    </row>
    <row r="5" spans="1:9" ht="16.5" thickBot="1" x14ac:dyDescent="0.3">
      <c r="B5" s="12"/>
      <c r="C5" s="13" t="s">
        <v>4</v>
      </c>
      <c r="D5" s="284" t="s">
        <v>5</v>
      </c>
      <c r="E5" s="14"/>
      <c r="F5" s="13" t="s">
        <v>6</v>
      </c>
      <c r="G5" s="284" t="s">
        <v>5</v>
      </c>
      <c r="I5" s="15"/>
    </row>
    <row r="6" spans="1:9" ht="16.5" thickBot="1" x14ac:dyDescent="0.3">
      <c r="B6" s="12"/>
      <c r="C6" s="16" t="s">
        <v>7</v>
      </c>
      <c r="D6" s="290">
        <f>+[3]E.S.P.!D6</f>
        <v>2020</v>
      </c>
      <c r="E6" s="18"/>
      <c r="F6" s="16" t="s">
        <v>8</v>
      </c>
      <c r="G6" s="290">
        <f>+D6</f>
        <v>2020</v>
      </c>
      <c r="H6" s="15"/>
    </row>
    <row r="7" spans="1:9" ht="15" x14ac:dyDescent="0.25">
      <c r="B7" s="6" t="s">
        <v>9</v>
      </c>
      <c r="C7" s="19" t="s">
        <v>10</v>
      </c>
      <c r="D7" s="20">
        <v>51966871</v>
      </c>
      <c r="E7" s="21" t="s">
        <v>11</v>
      </c>
      <c r="F7" s="22" t="s">
        <v>12</v>
      </c>
      <c r="G7" s="23">
        <v>3667555</v>
      </c>
    </row>
    <row r="8" spans="1:9" ht="15" x14ac:dyDescent="0.25">
      <c r="B8" s="6" t="s">
        <v>13</v>
      </c>
      <c r="C8" s="19" t="s">
        <v>14</v>
      </c>
      <c r="D8" s="20">
        <v>13713212</v>
      </c>
      <c r="E8" s="21" t="s">
        <v>15</v>
      </c>
      <c r="F8" s="19" t="s">
        <v>16</v>
      </c>
      <c r="G8" s="24">
        <v>76193531</v>
      </c>
    </row>
    <row r="9" spans="1:9" ht="15" x14ac:dyDescent="0.25">
      <c r="B9" s="6" t="s">
        <v>17</v>
      </c>
      <c r="C9" s="19" t="s">
        <v>18</v>
      </c>
      <c r="D9" s="20">
        <v>1484174195</v>
      </c>
      <c r="E9" s="21" t="s">
        <v>19</v>
      </c>
      <c r="F9" s="19" t="s">
        <v>20</v>
      </c>
      <c r="G9" s="20">
        <v>138822041</v>
      </c>
    </row>
    <row r="10" spans="1:9" ht="15" x14ac:dyDescent="0.25">
      <c r="B10" s="6" t="s">
        <v>21</v>
      </c>
      <c r="C10" s="19" t="s">
        <v>22</v>
      </c>
      <c r="D10" s="20">
        <v>87919942</v>
      </c>
      <c r="E10" s="21" t="s">
        <v>23</v>
      </c>
      <c r="F10" s="19" t="s">
        <v>24</v>
      </c>
      <c r="G10" s="20">
        <v>276487145</v>
      </c>
    </row>
    <row r="11" spans="1:9" ht="15" x14ac:dyDescent="0.25">
      <c r="B11" s="6" t="s">
        <v>25</v>
      </c>
      <c r="C11" s="19" t="s">
        <v>26</v>
      </c>
      <c r="D11" s="20">
        <v>43747566</v>
      </c>
      <c r="E11" s="21" t="s">
        <v>27</v>
      </c>
      <c r="F11" s="19" t="s">
        <v>28</v>
      </c>
      <c r="G11" s="20">
        <v>216355163</v>
      </c>
    </row>
    <row r="12" spans="1:9" ht="15" x14ac:dyDescent="0.25">
      <c r="B12" s="6" t="s">
        <v>29</v>
      </c>
      <c r="C12" s="19" t="s">
        <v>30</v>
      </c>
      <c r="D12" s="20">
        <v>40856715</v>
      </c>
      <c r="E12" s="21" t="s">
        <v>31</v>
      </c>
      <c r="F12" s="19" t="s">
        <v>32</v>
      </c>
      <c r="G12" s="20">
        <v>91595153</v>
      </c>
    </row>
    <row r="13" spans="1:9" ht="15" x14ac:dyDescent="0.25">
      <c r="B13" s="6" t="s">
        <v>33</v>
      </c>
      <c r="C13" s="19" t="s">
        <v>34</v>
      </c>
      <c r="D13" s="20">
        <v>0</v>
      </c>
      <c r="E13" s="21" t="s">
        <v>35</v>
      </c>
      <c r="F13" s="19" t="s">
        <v>36</v>
      </c>
      <c r="G13" s="20">
        <v>57691573</v>
      </c>
    </row>
    <row r="14" spans="1:9" ht="15" x14ac:dyDescent="0.25">
      <c r="A14" s="25"/>
      <c r="B14" s="6" t="s">
        <v>37</v>
      </c>
      <c r="C14" s="19" t="s">
        <v>38</v>
      </c>
      <c r="D14" s="20">
        <v>579449</v>
      </c>
      <c r="E14" s="21" t="s">
        <v>39</v>
      </c>
      <c r="F14" s="19" t="s">
        <v>40</v>
      </c>
      <c r="G14" s="20">
        <v>345638203</v>
      </c>
    </row>
    <row r="15" spans="1:9" ht="15" x14ac:dyDescent="0.25">
      <c r="B15" s="6" t="s">
        <v>41</v>
      </c>
      <c r="C15" s="26" t="s">
        <v>42</v>
      </c>
      <c r="D15" s="20">
        <v>0</v>
      </c>
      <c r="E15" s="21" t="s">
        <v>43</v>
      </c>
      <c r="F15" s="19" t="s">
        <v>44</v>
      </c>
      <c r="G15" s="20">
        <v>131974997</v>
      </c>
    </row>
    <row r="16" spans="1:9" ht="15" x14ac:dyDescent="0.25">
      <c r="B16" s="6" t="s">
        <v>45</v>
      </c>
      <c r="C16" s="19" t="s">
        <v>46</v>
      </c>
      <c r="D16" s="20">
        <v>0</v>
      </c>
      <c r="E16" s="21" t="s">
        <v>47</v>
      </c>
      <c r="F16" s="19" t="s">
        <v>48</v>
      </c>
      <c r="G16" s="20">
        <v>104556059</v>
      </c>
    </row>
    <row r="17" spans="1:7" ht="15" x14ac:dyDescent="0.25">
      <c r="B17" s="6" t="s">
        <v>49</v>
      </c>
      <c r="C17" s="19" t="s">
        <v>50</v>
      </c>
      <c r="D17" s="20">
        <v>0</v>
      </c>
      <c r="E17" s="21" t="s">
        <v>51</v>
      </c>
      <c r="F17" s="19" t="s">
        <v>52</v>
      </c>
      <c r="G17" s="20">
        <v>10765805</v>
      </c>
    </row>
    <row r="18" spans="1:7" ht="15" x14ac:dyDescent="0.25">
      <c r="A18" s="25"/>
      <c r="B18" s="6" t="s">
        <v>53</v>
      </c>
      <c r="C18" s="19" t="s">
        <v>54</v>
      </c>
      <c r="D18" s="20">
        <v>62642638</v>
      </c>
      <c r="E18" s="21" t="s">
        <v>55</v>
      </c>
      <c r="F18" s="19" t="s">
        <v>56</v>
      </c>
      <c r="G18" s="27">
        <v>80612983</v>
      </c>
    </row>
    <row r="19" spans="1:7" ht="15.75" thickBot="1" x14ac:dyDescent="0.3">
      <c r="A19" s="25"/>
      <c r="B19" s="6" t="s">
        <v>57</v>
      </c>
      <c r="C19" s="19" t="s">
        <v>58</v>
      </c>
      <c r="D19" s="20">
        <v>81490611</v>
      </c>
      <c r="E19" s="21"/>
      <c r="F19" s="28" t="s">
        <v>59</v>
      </c>
      <c r="G19" s="29">
        <f>SUM(G7:G18)</f>
        <v>1534360208</v>
      </c>
    </row>
    <row r="20" spans="1:7" ht="15.75" thickBot="1" x14ac:dyDescent="0.3">
      <c r="B20" s="6"/>
      <c r="C20" s="28" t="s">
        <v>60</v>
      </c>
      <c r="D20" s="29">
        <f>SUM(D7:D19)</f>
        <v>1867091199</v>
      </c>
      <c r="E20" s="21" t="s">
        <v>61</v>
      </c>
      <c r="F20" s="22" t="s">
        <v>62</v>
      </c>
      <c r="G20" s="23">
        <v>0</v>
      </c>
    </row>
    <row r="21" spans="1:7" ht="15" x14ac:dyDescent="0.25">
      <c r="B21" s="6"/>
      <c r="C21" s="30" t="s">
        <v>63</v>
      </c>
      <c r="D21" s="31">
        <f>SUM(D22:D28)</f>
        <v>10082558</v>
      </c>
      <c r="E21" s="21" t="s">
        <v>64</v>
      </c>
      <c r="F21" s="19" t="s">
        <v>65</v>
      </c>
      <c r="G21" s="20">
        <v>29555123</v>
      </c>
    </row>
    <row r="22" spans="1:7" ht="15" x14ac:dyDescent="0.25">
      <c r="B22" s="6" t="s">
        <v>66</v>
      </c>
      <c r="C22" s="19" t="s">
        <v>67</v>
      </c>
      <c r="D22" s="20">
        <v>5354860</v>
      </c>
      <c r="E22" s="21" t="s">
        <v>68</v>
      </c>
      <c r="F22" s="19" t="s">
        <v>69</v>
      </c>
      <c r="G22" s="20">
        <v>6003559</v>
      </c>
    </row>
    <row r="23" spans="1:7" ht="15" x14ac:dyDescent="0.25">
      <c r="B23" s="6" t="s">
        <v>70</v>
      </c>
      <c r="C23" s="19" t="s">
        <v>71</v>
      </c>
      <c r="D23" s="20">
        <v>2694925</v>
      </c>
      <c r="E23" s="21" t="s">
        <v>72</v>
      </c>
      <c r="F23" s="19" t="s">
        <v>73</v>
      </c>
      <c r="G23" s="20">
        <v>25335715</v>
      </c>
    </row>
    <row r="24" spans="1:7" ht="15" x14ac:dyDescent="0.25">
      <c r="B24" s="6" t="s">
        <v>74</v>
      </c>
      <c r="C24" s="19" t="s">
        <v>75</v>
      </c>
      <c r="D24" s="20">
        <v>480164</v>
      </c>
      <c r="E24" s="21" t="s">
        <v>76</v>
      </c>
      <c r="F24" s="19" t="s">
        <v>77</v>
      </c>
      <c r="G24" s="20">
        <v>15175189</v>
      </c>
    </row>
    <row r="25" spans="1:7" ht="15" x14ac:dyDescent="0.25">
      <c r="B25" s="6" t="s">
        <v>78</v>
      </c>
      <c r="C25" s="19" t="s">
        <v>79</v>
      </c>
      <c r="D25" s="20">
        <v>152245</v>
      </c>
      <c r="E25" s="21" t="s">
        <v>80</v>
      </c>
      <c r="F25" s="19" t="s">
        <v>81</v>
      </c>
      <c r="G25" s="20">
        <v>17777031</v>
      </c>
    </row>
    <row r="26" spans="1:7" ht="15" x14ac:dyDescent="0.25">
      <c r="B26" s="6" t="s">
        <v>82</v>
      </c>
      <c r="C26" s="19" t="s">
        <v>83</v>
      </c>
      <c r="D26" s="20">
        <v>142926</v>
      </c>
      <c r="E26" s="21" t="s">
        <v>84</v>
      </c>
      <c r="F26" s="19" t="s">
        <v>85</v>
      </c>
      <c r="G26" s="27">
        <v>4282940</v>
      </c>
    </row>
    <row r="27" spans="1:7" ht="15.75" thickBot="1" x14ac:dyDescent="0.3">
      <c r="B27" s="6" t="s">
        <v>86</v>
      </c>
      <c r="C27" s="19" t="s">
        <v>87</v>
      </c>
      <c r="D27" s="20">
        <v>817377</v>
      </c>
      <c r="E27" s="21"/>
      <c r="F27" s="28" t="s">
        <v>88</v>
      </c>
      <c r="G27" s="29">
        <f>SUM(G20:G26)</f>
        <v>98129557</v>
      </c>
    </row>
    <row r="28" spans="1:7" ht="15" x14ac:dyDescent="0.25">
      <c r="B28" s="6" t="s">
        <v>89</v>
      </c>
      <c r="C28" s="19" t="s">
        <v>90</v>
      </c>
      <c r="D28" s="20">
        <v>440061</v>
      </c>
      <c r="E28" s="21" t="s">
        <v>91</v>
      </c>
      <c r="F28" s="22" t="s">
        <v>92</v>
      </c>
      <c r="G28" s="23">
        <v>27202533</v>
      </c>
    </row>
    <row r="29" spans="1:7" ht="15" x14ac:dyDescent="0.25">
      <c r="B29" s="6"/>
      <c r="C29" s="32" t="s">
        <v>93</v>
      </c>
      <c r="D29" s="31">
        <f>SUM(D30:D34)</f>
        <v>239734602</v>
      </c>
      <c r="E29" s="21" t="s">
        <v>94</v>
      </c>
      <c r="F29" s="19" t="s">
        <v>95</v>
      </c>
      <c r="G29" s="20">
        <v>1887184</v>
      </c>
    </row>
    <row r="30" spans="1:7" ht="15" x14ac:dyDescent="0.25">
      <c r="B30" s="6" t="s">
        <v>96</v>
      </c>
      <c r="C30" s="19" t="s">
        <v>97</v>
      </c>
      <c r="D30" s="20">
        <v>177032367</v>
      </c>
      <c r="E30" s="21" t="s">
        <v>98</v>
      </c>
      <c r="F30" s="19" t="s">
        <v>99</v>
      </c>
      <c r="G30" s="20">
        <v>5029387</v>
      </c>
    </row>
    <row r="31" spans="1:7" ht="15" x14ac:dyDescent="0.25">
      <c r="B31" s="6" t="s">
        <v>100</v>
      </c>
      <c r="C31" s="19" t="s">
        <v>101</v>
      </c>
      <c r="D31" s="20">
        <v>23206542</v>
      </c>
      <c r="E31" s="21" t="s">
        <v>102</v>
      </c>
      <c r="F31" s="19" t="s">
        <v>103</v>
      </c>
      <c r="G31" s="27">
        <v>1557115</v>
      </c>
    </row>
    <row r="32" spans="1:7" ht="15.75" thickBot="1" x14ac:dyDescent="0.3">
      <c r="B32" s="6" t="s">
        <v>104</v>
      </c>
      <c r="C32" s="19" t="s">
        <v>105</v>
      </c>
      <c r="D32" s="20">
        <v>15058265</v>
      </c>
      <c r="E32" s="21"/>
      <c r="F32" s="28" t="s">
        <v>106</v>
      </c>
      <c r="G32" s="29">
        <f>SUM(G28:G31)</f>
        <v>35676219</v>
      </c>
    </row>
    <row r="33" spans="2:7" ht="15" x14ac:dyDescent="0.25">
      <c r="B33" s="6" t="s">
        <v>107</v>
      </c>
      <c r="C33" s="19" t="s">
        <v>108</v>
      </c>
      <c r="D33" s="20">
        <v>13974029</v>
      </c>
      <c r="E33" s="21"/>
      <c r="F33" s="32" t="s">
        <v>109</v>
      </c>
      <c r="G33" s="31">
        <f>SUM(G34:G39)</f>
        <v>150434669</v>
      </c>
    </row>
    <row r="34" spans="2:7" ht="15" x14ac:dyDescent="0.25">
      <c r="B34" s="6" t="s">
        <v>110</v>
      </c>
      <c r="C34" s="19" t="s">
        <v>111</v>
      </c>
      <c r="D34" s="20">
        <v>10463399</v>
      </c>
      <c r="E34" s="21" t="s">
        <v>112</v>
      </c>
      <c r="F34" s="19" t="s">
        <v>113</v>
      </c>
      <c r="G34" s="20"/>
    </row>
    <row r="35" spans="2:7" ht="15.75" thickBot="1" x14ac:dyDescent="0.3">
      <c r="B35" s="6"/>
      <c r="C35" s="28" t="s">
        <v>114</v>
      </c>
      <c r="D35" s="29">
        <f>+D21+D29</f>
        <v>249817160</v>
      </c>
      <c r="E35" s="21" t="s">
        <v>115</v>
      </c>
      <c r="F35" s="19" t="s">
        <v>116</v>
      </c>
      <c r="G35" s="20"/>
    </row>
    <row r="36" spans="2:7" ht="15" x14ac:dyDescent="0.25">
      <c r="B36" s="6" t="s">
        <v>117</v>
      </c>
      <c r="C36" s="19" t="s">
        <v>118</v>
      </c>
      <c r="D36" s="20">
        <v>100619081</v>
      </c>
      <c r="E36" s="21" t="s">
        <v>119</v>
      </c>
      <c r="F36" s="19" t="s">
        <v>120</v>
      </c>
      <c r="G36" s="20"/>
    </row>
    <row r="37" spans="2:7" ht="15" x14ac:dyDescent="0.25">
      <c r="B37" s="6" t="s">
        <v>121</v>
      </c>
      <c r="C37" s="19" t="s">
        <v>122</v>
      </c>
      <c r="D37" s="20">
        <v>47223564</v>
      </c>
      <c r="E37" s="21" t="s">
        <v>123</v>
      </c>
      <c r="F37" s="19" t="s">
        <v>124</v>
      </c>
      <c r="G37" s="20"/>
    </row>
    <row r="38" spans="2:7" ht="15" x14ac:dyDescent="0.25">
      <c r="B38" s="6" t="s">
        <v>125</v>
      </c>
      <c r="C38" s="19" t="s">
        <v>126</v>
      </c>
      <c r="D38" s="20">
        <v>8953448</v>
      </c>
      <c r="E38" s="21" t="s">
        <v>127</v>
      </c>
      <c r="F38" s="19" t="s">
        <v>128</v>
      </c>
      <c r="G38" s="20"/>
    </row>
    <row r="39" spans="2:7" ht="15" x14ac:dyDescent="0.25">
      <c r="B39" s="6" t="s">
        <v>129</v>
      </c>
      <c r="C39" s="19" t="s">
        <v>130</v>
      </c>
      <c r="D39" s="20">
        <v>6384656</v>
      </c>
      <c r="E39" s="21" t="s">
        <v>131</v>
      </c>
      <c r="F39" s="19" t="s">
        <v>132</v>
      </c>
      <c r="G39" s="20">
        <v>150434669</v>
      </c>
    </row>
    <row r="40" spans="2:7" ht="15" x14ac:dyDescent="0.25">
      <c r="B40" s="6" t="s">
        <v>133</v>
      </c>
      <c r="C40" s="19" t="s">
        <v>134</v>
      </c>
      <c r="D40" s="20">
        <v>11629219</v>
      </c>
      <c r="E40" s="21"/>
      <c r="F40" s="33" t="s">
        <v>135</v>
      </c>
      <c r="G40" s="34">
        <f>SUM(G41:G46)</f>
        <v>38775021</v>
      </c>
    </row>
    <row r="41" spans="2:7" ht="15" x14ac:dyDescent="0.25">
      <c r="B41" s="6" t="s">
        <v>136</v>
      </c>
      <c r="C41" s="19" t="s">
        <v>137</v>
      </c>
      <c r="D41" s="20">
        <v>484092501</v>
      </c>
      <c r="E41" s="21" t="s">
        <v>138</v>
      </c>
      <c r="F41" s="19" t="s">
        <v>139</v>
      </c>
      <c r="G41" s="20"/>
    </row>
    <row r="42" spans="2:7" ht="15" x14ac:dyDescent="0.25">
      <c r="B42" s="6" t="s">
        <v>140</v>
      </c>
      <c r="C42" s="19" t="s">
        <v>141</v>
      </c>
      <c r="D42" s="20">
        <v>15428</v>
      </c>
      <c r="E42" s="21" t="s">
        <v>142</v>
      </c>
      <c r="F42" s="19" t="s">
        <v>143</v>
      </c>
      <c r="G42" s="20"/>
    </row>
    <row r="43" spans="2:7" ht="15" x14ac:dyDescent="0.25">
      <c r="B43" s="6" t="s">
        <v>144</v>
      </c>
      <c r="C43" s="19" t="s">
        <v>145</v>
      </c>
      <c r="D43" s="20">
        <v>0</v>
      </c>
      <c r="E43" s="21" t="s">
        <v>146</v>
      </c>
      <c r="F43" s="19" t="s">
        <v>147</v>
      </c>
      <c r="G43" s="20"/>
    </row>
    <row r="44" spans="2:7" ht="15" x14ac:dyDescent="0.25">
      <c r="B44" s="6" t="s">
        <v>148</v>
      </c>
      <c r="C44" s="19" t="s">
        <v>149</v>
      </c>
      <c r="D44" s="20">
        <v>0</v>
      </c>
      <c r="E44" s="21" t="s">
        <v>150</v>
      </c>
      <c r="F44" s="19" t="s">
        <v>151</v>
      </c>
      <c r="G44" s="20"/>
    </row>
    <row r="45" spans="2:7" ht="15" x14ac:dyDescent="0.25">
      <c r="B45" s="6" t="s">
        <v>152</v>
      </c>
      <c r="C45" s="19" t="s">
        <v>153</v>
      </c>
      <c r="D45" s="20">
        <v>23465982</v>
      </c>
      <c r="E45" s="21" t="s">
        <v>154</v>
      </c>
      <c r="F45" s="19" t="s">
        <v>155</v>
      </c>
      <c r="G45" s="20"/>
    </row>
    <row r="46" spans="2:7" ht="15" x14ac:dyDescent="0.25">
      <c r="B46" s="6" t="s">
        <v>156</v>
      </c>
      <c r="C46" s="19" t="s">
        <v>157</v>
      </c>
      <c r="D46" s="20">
        <v>31142395</v>
      </c>
      <c r="E46" s="21" t="s">
        <v>158</v>
      </c>
      <c r="F46" s="19" t="s">
        <v>159</v>
      </c>
      <c r="G46" s="20">
        <v>38775021</v>
      </c>
    </row>
    <row r="47" spans="2:7" ht="15.75" thickBot="1" x14ac:dyDescent="0.3">
      <c r="B47" s="6"/>
      <c r="C47" s="28" t="s">
        <v>160</v>
      </c>
      <c r="D47" s="29">
        <f>SUM(D36:D46)</f>
        <v>713526274</v>
      </c>
      <c r="E47" s="21" t="s">
        <v>161</v>
      </c>
      <c r="F47" s="19" t="s">
        <v>162</v>
      </c>
      <c r="G47" s="27">
        <v>8635084</v>
      </c>
    </row>
    <row r="48" spans="2:7" ht="15.75" thickBot="1" x14ac:dyDescent="0.3">
      <c r="B48" s="6"/>
      <c r="C48" s="35" t="s">
        <v>163</v>
      </c>
      <c r="D48" s="36"/>
      <c r="E48" s="21"/>
      <c r="F48" s="28" t="s">
        <v>164</v>
      </c>
      <c r="G48" s="37">
        <f>+G33+G40+G47</f>
        <v>197844774</v>
      </c>
    </row>
    <row r="49" spans="2:7" ht="15" x14ac:dyDescent="0.25">
      <c r="B49" s="6" t="s">
        <v>165</v>
      </c>
      <c r="C49" s="38" t="s">
        <v>166</v>
      </c>
      <c r="D49" s="39">
        <v>172473</v>
      </c>
      <c r="E49" s="21" t="s">
        <v>167</v>
      </c>
      <c r="F49" s="22" t="s">
        <v>168</v>
      </c>
      <c r="G49" s="23">
        <v>126400</v>
      </c>
    </row>
    <row r="50" spans="2:7" ht="15" x14ac:dyDescent="0.25">
      <c r="B50" s="6" t="s">
        <v>169</v>
      </c>
      <c r="C50" s="19" t="s">
        <v>163</v>
      </c>
      <c r="D50" s="20">
        <v>43267272.579999998</v>
      </c>
      <c r="E50" s="21" t="s">
        <v>170</v>
      </c>
      <c r="F50" s="19" t="s">
        <v>171</v>
      </c>
      <c r="G50" s="20">
        <v>125463100</v>
      </c>
    </row>
    <row r="51" spans="2:7" ht="15" x14ac:dyDescent="0.25">
      <c r="B51" s="6" t="s">
        <v>172</v>
      </c>
      <c r="C51" s="19" t="s">
        <v>173</v>
      </c>
      <c r="D51" s="27">
        <v>224556</v>
      </c>
      <c r="E51" s="21" t="s">
        <v>174</v>
      </c>
      <c r="F51" s="19" t="s">
        <v>175</v>
      </c>
      <c r="G51" s="20">
        <v>6611764</v>
      </c>
    </row>
    <row r="52" spans="2:7" ht="15.75" thickBot="1" x14ac:dyDescent="0.3">
      <c r="B52" s="12"/>
      <c r="C52" s="28" t="s">
        <v>176</v>
      </c>
      <c r="D52" s="29">
        <f>SUM(D49:D51)</f>
        <v>43664301.579999998</v>
      </c>
      <c r="E52" s="21" t="s">
        <v>177</v>
      </c>
      <c r="F52" s="19" t="s">
        <v>178</v>
      </c>
      <c r="G52" s="20">
        <v>184015</v>
      </c>
    </row>
    <row r="53" spans="2:7" ht="15.75" thickBot="1" x14ac:dyDescent="0.3">
      <c r="B53" s="6"/>
      <c r="C53" s="40" t="s">
        <v>179</v>
      </c>
      <c r="D53" s="41">
        <f>D20+D35+D47+D52</f>
        <v>2874098934.5799999</v>
      </c>
      <c r="E53" s="21" t="s">
        <v>180</v>
      </c>
      <c r="F53" s="19" t="s">
        <v>181</v>
      </c>
      <c r="G53" s="20">
        <v>15279549</v>
      </c>
    </row>
    <row r="54" spans="2:7" ht="15" x14ac:dyDescent="0.25">
      <c r="C54" s="42"/>
      <c r="D54" s="43"/>
      <c r="E54" s="21" t="s">
        <v>182</v>
      </c>
      <c r="F54" s="19" t="s">
        <v>183</v>
      </c>
      <c r="G54" s="20">
        <v>1599840</v>
      </c>
    </row>
    <row r="55" spans="2:7" ht="15" x14ac:dyDescent="0.25">
      <c r="C55" s="44" t="s">
        <v>184</v>
      </c>
      <c r="D55" s="45"/>
      <c r="E55" s="21" t="s">
        <v>185</v>
      </c>
      <c r="F55" s="19" t="s">
        <v>186</v>
      </c>
      <c r="G55" s="20">
        <v>15077</v>
      </c>
    </row>
    <row r="56" spans="2:7" ht="15" x14ac:dyDescent="0.25">
      <c r="B56" s="6" t="s">
        <v>187</v>
      </c>
      <c r="C56" s="46" t="s">
        <v>188</v>
      </c>
      <c r="D56" s="20"/>
      <c r="E56" s="21" t="s">
        <v>189</v>
      </c>
      <c r="F56" s="19" t="s">
        <v>190</v>
      </c>
      <c r="G56" s="27">
        <v>6812777</v>
      </c>
    </row>
    <row r="57" spans="2:7" ht="15.75" thickBot="1" x14ac:dyDescent="0.3">
      <c r="B57" s="6" t="s">
        <v>191</v>
      </c>
      <c r="C57" s="46" t="s">
        <v>192</v>
      </c>
      <c r="D57" s="20"/>
      <c r="E57" s="21"/>
      <c r="F57" s="28" t="s">
        <v>193</v>
      </c>
      <c r="G57" s="29">
        <f>SUM(G49:G56)</f>
        <v>156092522</v>
      </c>
    </row>
    <row r="58" spans="2:7" ht="15" x14ac:dyDescent="0.25">
      <c r="B58" s="6" t="s">
        <v>194</v>
      </c>
      <c r="C58" s="46" t="s">
        <v>195</v>
      </c>
      <c r="D58" s="20"/>
      <c r="E58" s="21" t="s">
        <v>196</v>
      </c>
      <c r="F58" s="22" t="s">
        <v>197</v>
      </c>
      <c r="G58" s="23">
        <v>367969549</v>
      </c>
    </row>
    <row r="59" spans="2:7" ht="15" x14ac:dyDescent="0.25">
      <c r="B59" s="6" t="s">
        <v>198</v>
      </c>
      <c r="C59" s="19" t="s">
        <v>199</v>
      </c>
      <c r="D59" s="27"/>
      <c r="E59" s="21" t="s">
        <v>200</v>
      </c>
      <c r="F59" s="19" t="s">
        <v>201</v>
      </c>
      <c r="G59" s="20">
        <v>12630291</v>
      </c>
    </row>
    <row r="60" spans="2:7" ht="15.75" thickBot="1" x14ac:dyDescent="0.3">
      <c r="B60" s="6"/>
      <c r="C60" s="28" t="s">
        <v>202</v>
      </c>
      <c r="D60" s="29">
        <f>SUM(D56:D59)</f>
        <v>0</v>
      </c>
      <c r="E60" s="21" t="s">
        <v>203</v>
      </c>
      <c r="F60" s="19" t="s">
        <v>204</v>
      </c>
      <c r="G60" s="20">
        <v>0</v>
      </c>
    </row>
    <row r="61" spans="2:7" ht="16.5" thickBot="1" x14ac:dyDescent="0.3">
      <c r="B61" s="47"/>
      <c r="C61" s="48" t="s">
        <v>205</v>
      </c>
      <c r="D61" s="49">
        <f>D53+D60</f>
        <v>2874098934.5799999</v>
      </c>
      <c r="E61" s="21" t="s">
        <v>206</v>
      </c>
      <c r="F61" s="19" t="s">
        <v>207</v>
      </c>
      <c r="G61" s="20">
        <v>0</v>
      </c>
    </row>
    <row r="62" spans="2:7" ht="15" x14ac:dyDescent="0.25">
      <c r="B62" s="50"/>
      <c r="C62" s="51"/>
      <c r="D62" s="51"/>
      <c r="E62" s="21" t="s">
        <v>208</v>
      </c>
      <c r="F62" s="19" t="s">
        <v>209</v>
      </c>
      <c r="G62" s="20">
        <v>0</v>
      </c>
    </row>
    <row r="63" spans="2:7" ht="15" x14ac:dyDescent="0.25">
      <c r="B63" s="52"/>
      <c r="C63" s="53" t="s">
        <v>8</v>
      </c>
      <c r="D63" s="53"/>
      <c r="E63" s="21" t="s">
        <v>210</v>
      </c>
      <c r="F63" s="19" t="s">
        <v>211</v>
      </c>
      <c r="G63" s="20">
        <v>7166278</v>
      </c>
    </row>
    <row r="64" spans="2:7" ht="15" x14ac:dyDescent="0.25">
      <c r="B64" s="54" t="s">
        <v>212</v>
      </c>
      <c r="C64" s="55" t="s">
        <v>213</v>
      </c>
      <c r="D64" s="55">
        <f>[3]Amortizaciones!D6</f>
        <v>93711439</v>
      </c>
      <c r="E64" s="21" t="s">
        <v>214</v>
      </c>
      <c r="F64" s="19" t="s">
        <v>215</v>
      </c>
      <c r="G64" s="20">
        <v>926245</v>
      </c>
    </row>
    <row r="65" spans="2:7" ht="15" x14ac:dyDescent="0.25">
      <c r="B65" s="54" t="s">
        <v>216</v>
      </c>
      <c r="C65" s="55" t="s">
        <v>217</v>
      </c>
      <c r="D65" s="55">
        <f>[3]Amortizaciones!D7</f>
        <v>3517994</v>
      </c>
      <c r="E65" s="21" t="s">
        <v>218</v>
      </c>
      <c r="F65" s="19" t="s">
        <v>219</v>
      </c>
      <c r="G65" s="20">
        <v>3655904</v>
      </c>
    </row>
    <row r="66" spans="2:7" ht="15" x14ac:dyDescent="0.25">
      <c r="B66" s="54" t="s">
        <v>220</v>
      </c>
      <c r="C66" s="55" t="s">
        <v>221</v>
      </c>
      <c r="D66" s="55">
        <f>[3]Amortizaciones!D8</f>
        <v>8743220</v>
      </c>
      <c r="E66" s="21" t="s">
        <v>222</v>
      </c>
      <c r="F66" s="19" t="s">
        <v>223</v>
      </c>
      <c r="G66" s="20">
        <v>10668335</v>
      </c>
    </row>
    <row r="67" spans="2:7" ht="15" x14ac:dyDescent="0.25">
      <c r="B67" s="54" t="s">
        <v>224</v>
      </c>
      <c r="C67" s="55" t="s">
        <v>225</v>
      </c>
      <c r="D67" s="55">
        <f>[3]Amortizaciones!D9</f>
        <v>367219</v>
      </c>
      <c r="E67" s="21" t="s">
        <v>226</v>
      </c>
      <c r="F67" s="19" t="s">
        <v>227</v>
      </c>
      <c r="G67" s="20">
        <v>33584952</v>
      </c>
    </row>
    <row r="68" spans="2:7" ht="15" x14ac:dyDescent="0.25">
      <c r="B68" s="54" t="s">
        <v>228</v>
      </c>
      <c r="C68" s="55" t="s">
        <v>229</v>
      </c>
      <c r="D68" s="55">
        <f>[3]Amortizaciones!D10</f>
        <v>1789071</v>
      </c>
      <c r="E68" s="21" t="s">
        <v>230</v>
      </c>
      <c r="F68" s="19" t="s">
        <v>231</v>
      </c>
      <c r="G68" s="20">
        <v>54120</v>
      </c>
    </row>
    <row r="69" spans="2:7" ht="15" x14ac:dyDescent="0.25">
      <c r="B69" s="54" t="s">
        <v>232</v>
      </c>
      <c r="C69" s="55" t="s">
        <v>233</v>
      </c>
      <c r="D69" s="55">
        <f>[3]Amortizaciones!D11</f>
        <v>1170044</v>
      </c>
      <c r="E69" s="21" t="s">
        <v>234</v>
      </c>
      <c r="F69" s="19" t="s">
        <v>235</v>
      </c>
      <c r="G69" s="20">
        <v>1244692</v>
      </c>
    </row>
    <row r="70" spans="2:7" ht="15" x14ac:dyDescent="0.25">
      <c r="B70" s="54" t="s">
        <v>236</v>
      </c>
      <c r="C70" s="55" t="s">
        <v>237</v>
      </c>
      <c r="D70" s="55">
        <f>[3]Amortizaciones!D12</f>
        <v>321040</v>
      </c>
      <c r="E70" s="21" t="s">
        <v>238</v>
      </c>
      <c r="F70" s="19" t="s">
        <v>239</v>
      </c>
      <c r="G70" s="20">
        <v>1392980</v>
      </c>
    </row>
    <row r="71" spans="2:7" ht="15" x14ac:dyDescent="0.25">
      <c r="B71" s="54" t="s">
        <v>240</v>
      </c>
      <c r="C71" s="55" t="s">
        <v>241</v>
      </c>
      <c r="D71" s="55">
        <f>[3]Amortizaciones!D13</f>
        <v>0</v>
      </c>
      <c r="E71" s="21" t="s">
        <v>242</v>
      </c>
      <c r="F71" s="19" t="s">
        <v>243</v>
      </c>
      <c r="G71" s="20">
        <v>7364</v>
      </c>
    </row>
    <row r="72" spans="2:7" ht="15" x14ac:dyDescent="0.25">
      <c r="B72" s="54" t="s">
        <v>244</v>
      </c>
      <c r="C72" s="55" t="s">
        <v>245</v>
      </c>
      <c r="D72" s="55">
        <f>[3]Amortizaciones!D14</f>
        <v>3198918</v>
      </c>
      <c r="E72" s="21" t="s">
        <v>246</v>
      </c>
      <c r="F72" s="19" t="s">
        <v>247</v>
      </c>
      <c r="G72" s="20">
        <v>3319385</v>
      </c>
    </row>
    <row r="73" spans="2:7" ht="15" x14ac:dyDescent="0.25">
      <c r="B73" s="54" t="s">
        <v>248</v>
      </c>
      <c r="C73" s="55" t="s">
        <v>249</v>
      </c>
      <c r="D73" s="55">
        <f>[3]Amortizaciones!D15</f>
        <v>0</v>
      </c>
      <c r="E73" s="21" t="s">
        <v>250</v>
      </c>
      <c r="F73" s="19" t="s">
        <v>251</v>
      </c>
      <c r="G73" s="20">
        <v>0</v>
      </c>
    </row>
    <row r="74" spans="2:7" ht="15" x14ac:dyDescent="0.25">
      <c r="B74" s="54" t="s">
        <v>252</v>
      </c>
      <c r="C74" s="55" t="s">
        <v>253</v>
      </c>
      <c r="D74" s="55">
        <f>[3]Amortizaciones!D16</f>
        <v>688962</v>
      </c>
      <c r="E74" s="21" t="s">
        <v>254</v>
      </c>
      <c r="F74" s="19" t="s">
        <v>255</v>
      </c>
      <c r="G74" s="20">
        <v>14563349</v>
      </c>
    </row>
    <row r="75" spans="2:7" ht="15" x14ac:dyDescent="0.25">
      <c r="B75" s="54" t="s">
        <v>256</v>
      </c>
      <c r="C75" s="55" t="s">
        <v>257</v>
      </c>
      <c r="D75" s="55">
        <f>[3]Amortizaciones!D17</f>
        <v>0</v>
      </c>
      <c r="E75" s="21" t="s">
        <v>258</v>
      </c>
      <c r="F75" s="19" t="s">
        <v>259</v>
      </c>
      <c r="G75" s="20">
        <v>11320034</v>
      </c>
    </row>
    <row r="76" spans="2:7" ht="15" x14ac:dyDescent="0.25">
      <c r="B76" s="54" t="s">
        <v>260</v>
      </c>
      <c r="C76" s="55" t="s">
        <v>261</v>
      </c>
      <c r="D76" s="55">
        <f>[3]Amortizaciones!D18</f>
        <v>0</v>
      </c>
      <c r="E76" s="21" t="s">
        <v>262</v>
      </c>
      <c r="F76" s="19" t="s">
        <v>263</v>
      </c>
      <c r="G76" s="20">
        <v>14507380</v>
      </c>
    </row>
    <row r="77" spans="2:7" ht="15" x14ac:dyDescent="0.25">
      <c r="B77" s="54" t="s">
        <v>264</v>
      </c>
      <c r="C77" s="55" t="s">
        <v>265</v>
      </c>
      <c r="D77" s="55">
        <f>SUM(D64:D76)</f>
        <v>113507907</v>
      </c>
      <c r="E77" s="21" t="s">
        <v>266</v>
      </c>
      <c r="F77" s="19" t="s">
        <v>267</v>
      </c>
      <c r="G77" s="20">
        <v>57197654</v>
      </c>
    </row>
    <row r="78" spans="2:7" ht="15" x14ac:dyDescent="0.25">
      <c r="B78" s="54"/>
      <c r="C78" s="55"/>
      <c r="D78" s="55"/>
      <c r="E78" s="21" t="s">
        <v>268</v>
      </c>
      <c r="F78" s="19" t="s">
        <v>269</v>
      </c>
      <c r="G78" s="27">
        <v>24653844</v>
      </c>
    </row>
    <row r="79" spans="2:7" ht="15.75" thickBot="1" x14ac:dyDescent="0.3">
      <c r="B79" s="54"/>
      <c r="C79" s="53" t="s">
        <v>270</v>
      </c>
      <c r="D79" s="56"/>
      <c r="E79" s="21"/>
      <c r="F79" s="28" t="s">
        <v>271</v>
      </c>
      <c r="G79" s="29">
        <f>SUM(G58:G78)</f>
        <v>564862356</v>
      </c>
    </row>
    <row r="80" spans="2:7" ht="15" x14ac:dyDescent="0.25">
      <c r="B80" s="54" t="s">
        <v>272</v>
      </c>
      <c r="C80" s="55" t="s">
        <v>237</v>
      </c>
      <c r="D80" s="55">
        <f>[3]Amortizaciones!D22</f>
        <v>0</v>
      </c>
      <c r="E80" s="21" t="s">
        <v>273</v>
      </c>
      <c r="F80" s="22" t="s">
        <v>274</v>
      </c>
      <c r="G80" s="23">
        <v>1921213</v>
      </c>
    </row>
    <row r="81" spans="2:7" ht="15" x14ac:dyDescent="0.25">
      <c r="B81" s="54" t="s">
        <v>275</v>
      </c>
      <c r="C81" s="55" t="s">
        <v>241</v>
      </c>
      <c r="D81" s="55">
        <f>[3]Amortizaciones!D23</f>
        <v>0</v>
      </c>
      <c r="E81" s="21" t="s">
        <v>276</v>
      </c>
      <c r="F81" s="19" t="s">
        <v>277</v>
      </c>
      <c r="G81" s="20">
        <v>14970167</v>
      </c>
    </row>
    <row r="82" spans="2:7" ht="15" x14ac:dyDescent="0.25">
      <c r="B82" s="54" t="s">
        <v>278</v>
      </c>
      <c r="C82" s="55" t="s">
        <v>245</v>
      </c>
      <c r="D82" s="55">
        <f>[3]Amortizaciones!D24</f>
        <v>0</v>
      </c>
      <c r="E82" s="21" t="s">
        <v>279</v>
      </c>
      <c r="F82" s="19" t="s">
        <v>280</v>
      </c>
      <c r="G82" s="20">
        <v>6733119</v>
      </c>
    </row>
    <row r="83" spans="2:7" ht="15" x14ac:dyDescent="0.25">
      <c r="B83" s="54" t="s">
        <v>281</v>
      </c>
      <c r="C83" s="55" t="s">
        <v>249</v>
      </c>
      <c r="D83" s="55">
        <f>[3]Amortizaciones!D25</f>
        <v>0</v>
      </c>
      <c r="E83" s="21" t="s">
        <v>282</v>
      </c>
      <c r="F83" s="19" t="s">
        <v>283</v>
      </c>
      <c r="G83" s="20">
        <v>4122007</v>
      </c>
    </row>
    <row r="84" spans="2:7" ht="15" x14ac:dyDescent="0.25">
      <c r="B84" s="54" t="s">
        <v>284</v>
      </c>
      <c r="C84" s="55" t="s">
        <v>285</v>
      </c>
      <c r="D84" s="55">
        <v>0</v>
      </c>
      <c r="E84" s="21" t="s">
        <v>286</v>
      </c>
      <c r="F84" s="19" t="s">
        <v>287</v>
      </c>
      <c r="G84" s="20">
        <v>13358750</v>
      </c>
    </row>
    <row r="85" spans="2:7" ht="15" x14ac:dyDescent="0.25">
      <c r="B85" s="54" t="s">
        <v>288</v>
      </c>
      <c r="C85" s="55" t="s">
        <v>289</v>
      </c>
      <c r="D85" s="55">
        <f>[3]Amortizaciones!D27</f>
        <v>0</v>
      </c>
      <c r="E85" s="21" t="s">
        <v>290</v>
      </c>
      <c r="F85" s="19" t="s">
        <v>291</v>
      </c>
      <c r="G85" s="20">
        <v>8304789</v>
      </c>
    </row>
    <row r="86" spans="2:7" ht="15" x14ac:dyDescent="0.25">
      <c r="B86" s="54" t="s">
        <v>292</v>
      </c>
      <c r="C86" s="55" t="s">
        <v>293</v>
      </c>
      <c r="D86" s="55">
        <f>[3]Amortizaciones!D28</f>
        <v>0</v>
      </c>
      <c r="E86" s="21" t="s">
        <v>294</v>
      </c>
      <c r="F86" s="19" t="s">
        <v>295</v>
      </c>
      <c r="G86" s="20">
        <v>835636</v>
      </c>
    </row>
    <row r="87" spans="2:7" ht="15" x14ac:dyDescent="0.25">
      <c r="B87" s="54" t="s">
        <v>296</v>
      </c>
      <c r="C87" s="55" t="s">
        <v>297</v>
      </c>
      <c r="D87" s="55">
        <f>[3]Amortizaciones!D29</f>
        <v>0</v>
      </c>
      <c r="E87" s="21" t="s">
        <v>298</v>
      </c>
      <c r="F87" s="19" t="s">
        <v>299</v>
      </c>
      <c r="G87" s="20">
        <v>9577309</v>
      </c>
    </row>
    <row r="88" spans="2:7" ht="15" x14ac:dyDescent="0.25">
      <c r="B88" s="54" t="s">
        <v>300</v>
      </c>
      <c r="C88" s="55" t="s">
        <v>301</v>
      </c>
      <c r="D88" s="55">
        <f>[3]Amortizaciones!D30</f>
        <v>0</v>
      </c>
      <c r="E88" s="21" t="s">
        <v>302</v>
      </c>
      <c r="F88" s="19" t="s">
        <v>303</v>
      </c>
      <c r="G88" s="20">
        <v>1312326</v>
      </c>
    </row>
    <row r="89" spans="2:7" ht="15" x14ac:dyDescent="0.25">
      <c r="B89" s="54" t="s">
        <v>304</v>
      </c>
      <c r="C89" s="55" t="s">
        <v>213</v>
      </c>
      <c r="D89" s="55">
        <f>[3]Amortizaciones!D31</f>
        <v>0</v>
      </c>
      <c r="E89" s="21" t="s">
        <v>305</v>
      </c>
      <c r="F89" s="19" t="s">
        <v>306</v>
      </c>
      <c r="G89" s="20">
        <v>21137363</v>
      </c>
    </row>
    <row r="90" spans="2:7" ht="15" x14ac:dyDescent="0.25">
      <c r="B90" s="54" t="s">
        <v>307</v>
      </c>
      <c r="C90" s="55" t="s">
        <v>229</v>
      </c>
      <c r="D90" s="55">
        <f>[3]Amortizaciones!D32</f>
        <v>0</v>
      </c>
      <c r="E90" s="21" t="s">
        <v>308</v>
      </c>
      <c r="F90" s="19" t="s">
        <v>309</v>
      </c>
      <c r="G90" s="20">
        <v>2394978</v>
      </c>
    </row>
    <row r="91" spans="2:7" ht="15" x14ac:dyDescent="0.25">
      <c r="B91" s="54" t="s">
        <v>310</v>
      </c>
      <c r="C91" s="55" t="s">
        <v>311</v>
      </c>
      <c r="D91" s="55">
        <f>SUM(D80:D90)</f>
        <v>0</v>
      </c>
      <c r="E91" s="52" t="s">
        <v>312</v>
      </c>
      <c r="F91" s="19" t="s">
        <v>313</v>
      </c>
      <c r="G91" s="20">
        <v>2231144</v>
      </c>
    </row>
    <row r="92" spans="2:7" ht="15" x14ac:dyDescent="0.25">
      <c r="B92" s="54"/>
      <c r="C92" s="57" t="s">
        <v>314</v>
      </c>
      <c r="D92" s="55">
        <f>D77+D91</f>
        <v>113507907</v>
      </c>
      <c r="E92" s="52" t="s">
        <v>315</v>
      </c>
      <c r="F92" s="19" t="s">
        <v>316</v>
      </c>
      <c r="G92" s="20">
        <v>607483</v>
      </c>
    </row>
    <row r="93" spans="2:7" ht="15" x14ac:dyDescent="0.25">
      <c r="E93" s="52" t="s">
        <v>317</v>
      </c>
      <c r="F93" s="19" t="s">
        <v>318</v>
      </c>
      <c r="G93" s="20">
        <v>4551111</v>
      </c>
    </row>
    <row r="94" spans="2:7" ht="15" x14ac:dyDescent="0.25">
      <c r="E94" s="52" t="s">
        <v>319</v>
      </c>
      <c r="F94" s="19" t="s">
        <v>320</v>
      </c>
      <c r="G94" s="27">
        <v>4201282</v>
      </c>
    </row>
    <row r="95" spans="2:7" ht="13.5" customHeight="1" thickBot="1" x14ac:dyDescent="0.3">
      <c r="E95" s="21"/>
      <c r="F95" s="28" t="s">
        <v>321</v>
      </c>
      <c r="G95" s="29">
        <f>SUM(G80:G94)</f>
        <v>96258677</v>
      </c>
    </row>
    <row r="96" spans="2:7" ht="15" x14ac:dyDescent="0.25">
      <c r="E96" s="52" t="s">
        <v>322</v>
      </c>
      <c r="F96" s="22" t="s">
        <v>323</v>
      </c>
      <c r="G96" s="23">
        <v>8785204</v>
      </c>
    </row>
    <row r="97" spans="2:7" ht="15" x14ac:dyDescent="0.25">
      <c r="E97" s="52" t="s">
        <v>324</v>
      </c>
      <c r="F97" s="19" t="s">
        <v>325</v>
      </c>
      <c r="G97" s="20">
        <v>2122556</v>
      </c>
    </row>
    <row r="98" spans="2:7" ht="15" x14ac:dyDescent="0.25">
      <c r="E98" s="52" t="s">
        <v>326</v>
      </c>
      <c r="F98" s="19" t="s">
        <v>327</v>
      </c>
      <c r="G98" s="20">
        <v>0</v>
      </c>
    </row>
    <row r="99" spans="2:7" ht="15" x14ac:dyDescent="0.25">
      <c r="E99" s="52" t="s">
        <v>328</v>
      </c>
      <c r="F99" s="19" t="s">
        <v>329</v>
      </c>
      <c r="G99" s="20">
        <v>5943277</v>
      </c>
    </row>
    <row r="100" spans="2:7" ht="15" x14ac:dyDescent="0.25">
      <c r="E100" s="52" t="s">
        <v>330</v>
      </c>
      <c r="F100" s="19" t="s">
        <v>331</v>
      </c>
      <c r="G100" s="27">
        <v>769043</v>
      </c>
    </row>
    <row r="101" spans="2:7" ht="15.75" thickBot="1" x14ac:dyDescent="0.3">
      <c r="E101" s="21"/>
      <c r="F101" s="28" t="s">
        <v>332</v>
      </c>
      <c r="G101" s="29">
        <f>SUM(G96:G100)</f>
        <v>17620080</v>
      </c>
    </row>
    <row r="102" spans="2:7" ht="15.75" thickBot="1" x14ac:dyDescent="0.3">
      <c r="E102" s="52"/>
      <c r="F102" s="59" t="s">
        <v>333</v>
      </c>
      <c r="G102" s="60">
        <f>[3]Amortizaciones!D19</f>
        <v>113507907</v>
      </c>
    </row>
    <row r="103" spans="2:7" ht="15" x14ac:dyDescent="0.25">
      <c r="E103" s="52" t="s">
        <v>334</v>
      </c>
      <c r="F103" s="19" t="s">
        <v>335</v>
      </c>
      <c r="G103" s="23"/>
    </row>
    <row r="104" spans="2:7" ht="15" x14ac:dyDescent="0.25">
      <c r="E104" s="52" t="s">
        <v>336</v>
      </c>
      <c r="F104" s="61" t="s">
        <v>337</v>
      </c>
      <c r="G104" s="20"/>
    </row>
    <row r="105" spans="2:7" ht="15.75" thickBot="1" x14ac:dyDescent="0.3">
      <c r="E105" s="21"/>
      <c r="F105" s="28" t="s">
        <v>338</v>
      </c>
      <c r="G105" s="29">
        <f>SUM(G103:G104)</f>
        <v>0</v>
      </c>
    </row>
    <row r="106" spans="2:7" ht="13.7" customHeight="1" thickBot="1" x14ac:dyDescent="0.3">
      <c r="B106" s="6"/>
      <c r="C106" s="62"/>
      <c r="D106" s="62"/>
      <c r="E106" s="52"/>
      <c r="F106" s="48" t="s">
        <v>339</v>
      </c>
      <c r="G106" s="49">
        <f>G19+G27+G32+G48+G57+G79+G95+G101+G102+G105</f>
        <v>2814352300</v>
      </c>
    </row>
    <row r="107" spans="2:7" ht="13.7" customHeight="1" x14ac:dyDescent="0.25">
      <c r="B107" s="6"/>
      <c r="C107" s="62"/>
      <c r="D107" s="62"/>
      <c r="E107" s="21"/>
      <c r="F107" s="63"/>
      <c r="G107" s="64"/>
    </row>
    <row r="108" spans="2:7" ht="13.7" customHeight="1" thickBot="1" x14ac:dyDescent="0.3">
      <c r="B108" s="6"/>
      <c r="C108" s="62"/>
      <c r="D108" s="62"/>
      <c r="E108" s="21"/>
    </row>
    <row r="109" spans="2:7" ht="13.7" customHeight="1" thickBot="1" x14ac:dyDescent="0.3">
      <c r="B109" s="6"/>
      <c r="C109" s="62"/>
      <c r="D109" s="62"/>
      <c r="E109" s="21"/>
      <c r="F109" s="13" t="s">
        <v>340</v>
      </c>
      <c r="G109" s="65">
        <f>D61-G106</f>
        <v>59746634.579999924</v>
      </c>
    </row>
    <row r="110" spans="2:7" ht="13.7" customHeight="1" thickBot="1" x14ac:dyDescent="0.3">
      <c r="B110" s="6"/>
      <c r="C110" s="62"/>
      <c r="D110" s="62"/>
      <c r="E110" s="21"/>
    </row>
    <row r="111" spans="2:7" ht="13.7" customHeight="1" thickBot="1" x14ac:dyDescent="0.3">
      <c r="C111" s="48" t="s">
        <v>270</v>
      </c>
      <c r="D111" s="17">
        <f>+[3]E.S.P.!D6</f>
        <v>2020</v>
      </c>
      <c r="E111" s="52"/>
      <c r="F111" s="48" t="s">
        <v>341</v>
      </c>
      <c r="G111" s="17">
        <f>+[3]E.S.P.!D6</f>
        <v>2020</v>
      </c>
    </row>
    <row r="112" spans="2:7" ht="13.7" customHeight="1" x14ac:dyDescent="0.25">
      <c r="B112" s="6" t="s">
        <v>342</v>
      </c>
      <c r="C112" s="66" t="s">
        <v>343</v>
      </c>
      <c r="D112" s="67">
        <v>6570811</v>
      </c>
      <c r="E112" s="21" t="s">
        <v>344</v>
      </c>
      <c r="F112" s="66" t="s">
        <v>309</v>
      </c>
      <c r="G112" s="67">
        <v>2508992</v>
      </c>
    </row>
    <row r="113" spans="2:7" ht="13.7" customHeight="1" x14ac:dyDescent="0.25">
      <c r="B113" s="6" t="s">
        <v>345</v>
      </c>
      <c r="C113" s="68" t="s">
        <v>346</v>
      </c>
      <c r="D113" s="69">
        <v>67649272</v>
      </c>
      <c r="E113" s="21" t="s">
        <v>347</v>
      </c>
      <c r="F113" s="68" t="s">
        <v>348</v>
      </c>
      <c r="G113" s="69">
        <v>12403140</v>
      </c>
    </row>
    <row r="114" spans="2:7" ht="13.7" customHeight="1" x14ac:dyDescent="0.25">
      <c r="B114" s="6" t="s">
        <v>349</v>
      </c>
      <c r="C114" s="68" t="s">
        <v>48</v>
      </c>
      <c r="D114" s="69">
        <v>44573301</v>
      </c>
      <c r="E114" s="21" t="s">
        <v>350</v>
      </c>
      <c r="F114" s="68" t="s">
        <v>351</v>
      </c>
      <c r="G114" s="69">
        <v>50655972</v>
      </c>
    </row>
    <row r="115" spans="2:7" ht="13.7" customHeight="1" x14ac:dyDescent="0.25">
      <c r="B115" s="6" t="s">
        <v>352</v>
      </c>
      <c r="C115" s="68" t="s">
        <v>353</v>
      </c>
      <c r="D115" s="69">
        <v>276572</v>
      </c>
      <c r="E115" s="21" t="s">
        <v>354</v>
      </c>
      <c r="F115" s="68" t="s">
        <v>355</v>
      </c>
      <c r="G115" s="69">
        <v>2885973</v>
      </c>
    </row>
    <row r="116" spans="2:7" ht="13.7" customHeight="1" x14ac:dyDescent="0.25">
      <c r="B116" s="6" t="s">
        <v>356</v>
      </c>
      <c r="C116" s="68" t="s">
        <v>357</v>
      </c>
      <c r="D116" s="69">
        <v>2910704</v>
      </c>
      <c r="E116" s="21" t="s">
        <v>358</v>
      </c>
      <c r="F116" s="68" t="s">
        <v>359</v>
      </c>
      <c r="G116" s="69">
        <v>9171843</v>
      </c>
    </row>
    <row r="117" spans="2:7" ht="13.7" customHeight="1" x14ac:dyDescent="0.25">
      <c r="B117" s="6" t="s">
        <v>360</v>
      </c>
      <c r="C117" s="68" t="s">
        <v>361</v>
      </c>
      <c r="D117" s="69">
        <v>1834265</v>
      </c>
      <c r="E117" s="21" t="s">
        <v>362</v>
      </c>
      <c r="F117" s="68" t="s">
        <v>363</v>
      </c>
      <c r="G117" s="69">
        <v>0</v>
      </c>
    </row>
    <row r="118" spans="2:7" ht="13.7" customHeight="1" x14ac:dyDescent="0.25">
      <c r="B118" s="6" t="s">
        <v>364</v>
      </c>
      <c r="C118" s="68" t="s">
        <v>365</v>
      </c>
      <c r="D118" s="69">
        <v>0</v>
      </c>
      <c r="E118" s="21" t="s">
        <v>366</v>
      </c>
      <c r="F118" s="68" t="s">
        <v>367</v>
      </c>
      <c r="G118" s="69">
        <v>2802748</v>
      </c>
    </row>
    <row r="119" spans="2:7" ht="13.7" customHeight="1" x14ac:dyDescent="0.25">
      <c r="B119" s="6" t="s">
        <v>368</v>
      </c>
      <c r="C119" s="68" t="s">
        <v>369</v>
      </c>
      <c r="D119" s="69">
        <v>0</v>
      </c>
      <c r="E119" s="21" t="s">
        <v>370</v>
      </c>
      <c r="F119" s="68" t="s">
        <v>371</v>
      </c>
      <c r="G119" s="69">
        <v>0</v>
      </c>
    </row>
    <row r="120" spans="2:7" ht="13.7" customHeight="1" x14ac:dyDescent="0.25">
      <c r="B120" s="6" t="s">
        <v>372</v>
      </c>
      <c r="C120" s="68" t="s">
        <v>373</v>
      </c>
      <c r="D120" s="69">
        <v>225852</v>
      </c>
      <c r="E120" s="21" t="s">
        <v>374</v>
      </c>
      <c r="F120" s="68" t="s">
        <v>375</v>
      </c>
      <c r="G120" s="69">
        <v>0</v>
      </c>
    </row>
    <row r="121" spans="2:7" ht="13.7" customHeight="1" x14ac:dyDescent="0.25">
      <c r="B121" s="6" t="s">
        <v>376</v>
      </c>
      <c r="C121" s="19" t="s">
        <v>377</v>
      </c>
      <c r="D121" s="69">
        <v>6893551</v>
      </c>
      <c r="E121" s="21" t="s">
        <v>378</v>
      </c>
      <c r="F121" s="68" t="s">
        <v>379</v>
      </c>
      <c r="G121" s="69">
        <v>647406</v>
      </c>
    </row>
    <row r="122" spans="2:7" ht="13.7" customHeight="1" thickBot="1" x14ac:dyDescent="0.3">
      <c r="B122" s="6"/>
      <c r="C122" s="28" t="s">
        <v>380</v>
      </c>
      <c r="D122" s="37">
        <f>SUM(D112:D121)</f>
        <v>130934328</v>
      </c>
      <c r="E122" s="21" t="s">
        <v>381</v>
      </c>
      <c r="F122" s="19" t="s">
        <v>382</v>
      </c>
      <c r="G122" s="20">
        <v>3700121</v>
      </c>
    </row>
    <row r="123" spans="2:7" ht="13.7" customHeight="1" thickBot="1" x14ac:dyDescent="0.3">
      <c r="B123" s="6" t="s">
        <v>383</v>
      </c>
      <c r="C123" s="70" t="s">
        <v>309</v>
      </c>
      <c r="D123" s="67">
        <v>990000</v>
      </c>
      <c r="E123" s="52"/>
      <c r="F123" s="28" t="s">
        <v>384</v>
      </c>
      <c r="G123" s="37">
        <f>SUM(G112:G122)</f>
        <v>84776195</v>
      </c>
    </row>
    <row r="124" spans="2:7" ht="13.7" customHeight="1" x14ac:dyDescent="0.25">
      <c r="B124" s="6" t="s">
        <v>385</v>
      </c>
      <c r="C124" s="68" t="s">
        <v>313</v>
      </c>
      <c r="D124" s="69">
        <v>758637</v>
      </c>
      <c r="E124" s="21" t="s">
        <v>386</v>
      </c>
      <c r="F124" s="68" t="s">
        <v>387</v>
      </c>
      <c r="G124" s="69">
        <v>0</v>
      </c>
    </row>
    <row r="125" spans="2:7" ht="13.7" customHeight="1" x14ac:dyDescent="0.25">
      <c r="B125" s="6" t="s">
        <v>388</v>
      </c>
      <c r="C125" s="19" t="s">
        <v>389</v>
      </c>
      <c r="D125" s="69">
        <v>79804</v>
      </c>
      <c r="E125" s="21" t="s">
        <v>390</v>
      </c>
      <c r="F125" s="68" t="s">
        <v>391</v>
      </c>
      <c r="G125" s="69">
        <v>1200</v>
      </c>
    </row>
    <row r="126" spans="2:7" ht="13.7" customHeight="1" thickBot="1" x14ac:dyDescent="0.3">
      <c r="B126" s="6"/>
      <c r="C126" s="28" t="s">
        <v>392</v>
      </c>
      <c r="D126" s="37">
        <f>SUM(D123:D125)</f>
        <v>1828441</v>
      </c>
      <c r="E126" s="21" t="s">
        <v>393</v>
      </c>
      <c r="F126" s="68" t="s">
        <v>394</v>
      </c>
      <c r="G126" s="69">
        <v>19619503</v>
      </c>
    </row>
    <row r="127" spans="2:7" ht="13.7" customHeight="1" x14ac:dyDescent="0.25">
      <c r="B127" s="6" t="s">
        <v>395</v>
      </c>
      <c r="C127" s="66" t="s">
        <v>274</v>
      </c>
      <c r="D127" s="67">
        <v>26072613</v>
      </c>
      <c r="E127" s="21" t="s">
        <v>396</v>
      </c>
      <c r="F127" s="68" t="s">
        <v>397</v>
      </c>
      <c r="G127" s="69">
        <v>4808087</v>
      </c>
    </row>
    <row r="128" spans="2:7" ht="13.7" customHeight="1" x14ac:dyDescent="0.25">
      <c r="B128" s="6" t="s">
        <v>398</v>
      </c>
      <c r="C128" s="68" t="s">
        <v>399</v>
      </c>
      <c r="D128" s="69">
        <v>4687503</v>
      </c>
      <c r="E128" s="21" t="s">
        <v>400</v>
      </c>
      <c r="F128" s="68" t="s">
        <v>401</v>
      </c>
      <c r="G128" s="69">
        <v>0</v>
      </c>
    </row>
    <row r="129" spans="2:7" ht="13.7" customHeight="1" x14ac:dyDescent="0.25">
      <c r="B129" s="6" t="s">
        <v>402</v>
      </c>
      <c r="C129" s="68" t="s">
        <v>277</v>
      </c>
      <c r="D129" s="69">
        <v>0</v>
      </c>
      <c r="E129" s="21" t="s">
        <v>403</v>
      </c>
      <c r="F129" s="68" t="s">
        <v>404</v>
      </c>
      <c r="G129" s="69">
        <v>0</v>
      </c>
    </row>
    <row r="130" spans="2:7" ht="13.7" customHeight="1" x14ac:dyDescent="0.25">
      <c r="B130" s="6" t="s">
        <v>405</v>
      </c>
      <c r="C130" s="68" t="s">
        <v>283</v>
      </c>
      <c r="D130" s="69">
        <v>0</v>
      </c>
      <c r="E130" s="21" t="s">
        <v>406</v>
      </c>
      <c r="F130" s="68" t="s">
        <v>407</v>
      </c>
      <c r="G130" s="69">
        <v>0</v>
      </c>
    </row>
    <row r="131" spans="2:7" ht="13.7" customHeight="1" x14ac:dyDescent="0.25">
      <c r="B131" s="6" t="s">
        <v>408</v>
      </c>
      <c r="C131" s="68" t="s">
        <v>287</v>
      </c>
      <c r="D131" s="69">
        <v>0</v>
      </c>
      <c r="E131" s="21" t="s">
        <v>409</v>
      </c>
      <c r="F131" s="68" t="s">
        <v>410</v>
      </c>
      <c r="G131" s="69">
        <v>0</v>
      </c>
    </row>
    <row r="132" spans="2:7" ht="13.7" customHeight="1" x14ac:dyDescent="0.25">
      <c r="B132" s="6" t="s">
        <v>411</v>
      </c>
      <c r="C132" s="68" t="s">
        <v>291</v>
      </c>
      <c r="D132" s="69">
        <v>0</v>
      </c>
      <c r="E132" s="21" t="s">
        <v>412</v>
      </c>
      <c r="F132" s="68" t="s">
        <v>413</v>
      </c>
      <c r="G132" s="69">
        <v>0</v>
      </c>
    </row>
    <row r="133" spans="2:7" ht="13.7" customHeight="1" x14ac:dyDescent="0.25">
      <c r="B133" s="6" t="s">
        <v>414</v>
      </c>
      <c r="C133" s="68" t="s">
        <v>295</v>
      </c>
      <c r="D133" s="69">
        <v>0</v>
      </c>
      <c r="E133" s="21" t="s">
        <v>415</v>
      </c>
      <c r="F133" s="68" t="s">
        <v>416</v>
      </c>
      <c r="G133" s="69">
        <v>13487282</v>
      </c>
    </row>
    <row r="134" spans="2:7" ht="13.7" customHeight="1" x14ac:dyDescent="0.25">
      <c r="B134" s="6" t="s">
        <v>417</v>
      </c>
      <c r="C134" s="68" t="s">
        <v>418</v>
      </c>
      <c r="D134" s="69">
        <v>13165808</v>
      </c>
      <c r="E134" s="21" t="s">
        <v>419</v>
      </c>
      <c r="F134" s="68" t="s">
        <v>420</v>
      </c>
      <c r="G134" s="69">
        <v>12580138</v>
      </c>
    </row>
    <row r="135" spans="2:7" ht="13.7" customHeight="1" x14ac:dyDescent="0.25">
      <c r="B135" s="6" t="s">
        <v>421</v>
      </c>
      <c r="C135" s="68" t="s">
        <v>422</v>
      </c>
      <c r="D135" s="69">
        <v>2493024</v>
      </c>
      <c r="E135" s="21" t="s">
        <v>423</v>
      </c>
      <c r="F135" s="68" t="s">
        <v>424</v>
      </c>
      <c r="G135" s="69">
        <v>0</v>
      </c>
    </row>
    <row r="136" spans="2:7" ht="13.7" customHeight="1" x14ac:dyDescent="0.25">
      <c r="B136" s="6" t="s">
        <v>425</v>
      </c>
      <c r="C136" s="68" t="s">
        <v>318</v>
      </c>
      <c r="D136" s="69">
        <v>715480</v>
      </c>
      <c r="E136" s="21" t="s">
        <v>426</v>
      </c>
      <c r="F136" s="68" t="s">
        <v>427</v>
      </c>
      <c r="G136" s="69">
        <v>2885433</v>
      </c>
    </row>
    <row r="137" spans="2:7" ht="13.7" customHeight="1" x14ac:dyDescent="0.25">
      <c r="B137" s="6" t="s">
        <v>428</v>
      </c>
      <c r="C137" s="19" t="s">
        <v>320</v>
      </c>
      <c r="D137" s="71">
        <v>6356294</v>
      </c>
      <c r="E137" s="21" t="s">
        <v>429</v>
      </c>
      <c r="F137" s="68" t="s">
        <v>430</v>
      </c>
      <c r="G137" s="69">
        <v>6756210</v>
      </c>
    </row>
    <row r="138" spans="2:7" ht="13.7" customHeight="1" thickBot="1" x14ac:dyDescent="0.3">
      <c r="B138" s="6"/>
      <c r="C138" s="28" t="s">
        <v>321</v>
      </c>
      <c r="D138" s="37">
        <f>SUM(D127:D137)</f>
        <v>53490722</v>
      </c>
      <c r="E138" s="21" t="s">
        <v>431</v>
      </c>
      <c r="F138" s="19" t="s">
        <v>432</v>
      </c>
      <c r="G138" s="20">
        <v>2744550</v>
      </c>
    </row>
    <row r="139" spans="2:7" ht="13.7" customHeight="1" thickBot="1" x14ac:dyDescent="0.3">
      <c r="B139" s="6" t="s">
        <v>433</v>
      </c>
      <c r="C139" s="66" t="s">
        <v>327</v>
      </c>
      <c r="D139" s="67"/>
      <c r="E139" s="7"/>
      <c r="F139" s="28" t="s">
        <v>434</v>
      </c>
      <c r="G139" s="37">
        <f>SUM(G124:G138)</f>
        <v>62882403</v>
      </c>
    </row>
    <row r="140" spans="2:7" ht="13.7" customHeight="1" thickBot="1" x14ac:dyDescent="0.3">
      <c r="B140" s="6" t="s">
        <v>435</v>
      </c>
      <c r="C140" s="68" t="s">
        <v>329</v>
      </c>
      <c r="D140" s="69"/>
      <c r="E140" s="7"/>
      <c r="F140" s="48" t="s">
        <v>436</v>
      </c>
      <c r="G140" s="72">
        <f>G123-G139</f>
        <v>21893792</v>
      </c>
    </row>
    <row r="141" spans="2:7" ht="13.7" customHeight="1" x14ac:dyDescent="0.25">
      <c r="B141" s="6" t="s">
        <v>437</v>
      </c>
      <c r="C141" s="19" t="s">
        <v>331</v>
      </c>
      <c r="D141" s="71"/>
      <c r="E141" s="73"/>
    </row>
    <row r="142" spans="2:7" ht="13.7" customHeight="1" thickBot="1" x14ac:dyDescent="0.3">
      <c r="B142" s="6"/>
      <c r="C142" s="28" t="s">
        <v>332</v>
      </c>
      <c r="D142" s="37">
        <f>SUM(D139:D141)</f>
        <v>0</v>
      </c>
      <c r="E142" s="73"/>
    </row>
    <row r="143" spans="2:7" ht="13.7" customHeight="1" thickBot="1" x14ac:dyDescent="0.3">
      <c r="B143" s="6"/>
      <c r="C143" s="59" t="s">
        <v>438</v>
      </c>
      <c r="D143" s="74">
        <f>[3]Amortizaciones!D33</f>
        <v>0</v>
      </c>
      <c r="E143" s="21"/>
      <c r="F143" s="48" t="s">
        <v>439</v>
      </c>
      <c r="G143" s="17">
        <f>+[3]E.S.P.!D6</f>
        <v>2020</v>
      </c>
    </row>
    <row r="144" spans="2:7" ht="13.7" customHeight="1" x14ac:dyDescent="0.25">
      <c r="B144" s="6" t="s">
        <v>440</v>
      </c>
      <c r="C144" s="66" t="s">
        <v>441</v>
      </c>
      <c r="D144" s="67">
        <v>7599905</v>
      </c>
      <c r="E144" s="21" t="s">
        <v>442</v>
      </c>
      <c r="F144" s="66" t="s">
        <v>443</v>
      </c>
      <c r="G144" s="67">
        <v>648</v>
      </c>
    </row>
    <row r="145" spans="2:7" ht="13.7" customHeight="1" x14ac:dyDescent="0.25">
      <c r="B145" s="6" t="s">
        <v>444</v>
      </c>
      <c r="C145" s="68" t="s">
        <v>445</v>
      </c>
      <c r="D145" s="69">
        <v>0</v>
      </c>
      <c r="E145" s="21" t="s">
        <v>446</v>
      </c>
      <c r="F145" s="68" t="s">
        <v>447</v>
      </c>
      <c r="G145" s="69">
        <v>18622105</v>
      </c>
    </row>
    <row r="146" spans="2:7" ht="13.7" customHeight="1" x14ac:dyDescent="0.25">
      <c r="B146" s="6" t="s">
        <v>448</v>
      </c>
      <c r="C146" s="75" t="s">
        <v>449</v>
      </c>
      <c r="D146" s="69">
        <v>2586046</v>
      </c>
      <c r="E146" s="21" t="s">
        <v>450</v>
      </c>
      <c r="F146" s="68" t="s">
        <v>451</v>
      </c>
      <c r="G146" s="69">
        <v>6204842</v>
      </c>
    </row>
    <row r="147" spans="2:7" ht="13.7" customHeight="1" x14ac:dyDescent="0.25">
      <c r="B147" s="6" t="s">
        <v>452</v>
      </c>
      <c r="C147" s="19" t="s">
        <v>453</v>
      </c>
      <c r="D147" s="71">
        <v>464863</v>
      </c>
      <c r="E147" s="21" t="s">
        <v>454</v>
      </c>
      <c r="F147" s="68" t="s">
        <v>455</v>
      </c>
      <c r="G147" s="69">
        <v>0</v>
      </c>
    </row>
    <row r="148" spans="2:7" ht="13.7" customHeight="1" thickBot="1" x14ac:dyDescent="0.3">
      <c r="B148" s="6"/>
      <c r="C148" s="28" t="s">
        <v>456</v>
      </c>
      <c r="D148" s="37">
        <f>SUM(D144:D147)</f>
        <v>10650814</v>
      </c>
      <c r="E148" s="21" t="s">
        <v>457</v>
      </c>
      <c r="F148" s="68" t="s">
        <v>458</v>
      </c>
      <c r="G148" s="69">
        <v>0</v>
      </c>
    </row>
    <row r="149" spans="2:7" ht="13.7" customHeight="1" x14ac:dyDescent="0.25">
      <c r="B149" s="6" t="s">
        <v>459</v>
      </c>
      <c r="C149" s="66" t="s">
        <v>460</v>
      </c>
      <c r="D149" s="67">
        <v>0</v>
      </c>
      <c r="E149" s="21" t="s">
        <v>461</v>
      </c>
      <c r="F149" s="68" t="s">
        <v>462</v>
      </c>
      <c r="G149" s="69">
        <v>0</v>
      </c>
    </row>
    <row r="150" spans="2:7" ht="13.7" customHeight="1" x14ac:dyDescent="0.25">
      <c r="B150" s="6" t="s">
        <v>463</v>
      </c>
      <c r="C150" s="68" t="s">
        <v>464</v>
      </c>
      <c r="D150" s="69">
        <v>30842201</v>
      </c>
      <c r="E150" s="21" t="s">
        <v>465</v>
      </c>
      <c r="F150" s="68" t="s">
        <v>466</v>
      </c>
      <c r="G150" s="69">
        <v>0</v>
      </c>
    </row>
    <row r="151" spans="2:7" ht="13.7" customHeight="1" x14ac:dyDescent="0.25">
      <c r="B151" s="6" t="s">
        <v>467</v>
      </c>
      <c r="C151" s="19" t="s">
        <v>468</v>
      </c>
      <c r="D151" s="71">
        <v>1407566</v>
      </c>
      <c r="E151" s="21" t="s">
        <v>469</v>
      </c>
      <c r="F151" s="68" t="s">
        <v>470</v>
      </c>
      <c r="G151" s="69">
        <v>80690587</v>
      </c>
    </row>
    <row r="152" spans="2:7" ht="13.7" customHeight="1" thickBot="1" x14ac:dyDescent="0.3">
      <c r="B152" s="6"/>
      <c r="C152" s="28" t="s">
        <v>471</v>
      </c>
      <c r="D152" s="37">
        <f>SUM(D149:D151)</f>
        <v>32249767</v>
      </c>
      <c r="E152" s="21" t="s">
        <v>472</v>
      </c>
      <c r="F152" s="68" t="s">
        <v>473</v>
      </c>
      <c r="G152" s="69">
        <v>8823523</v>
      </c>
    </row>
    <row r="153" spans="2:7" ht="13.7" customHeight="1" thickBot="1" x14ac:dyDescent="0.3">
      <c r="B153" s="6"/>
      <c r="C153" s="48" t="s">
        <v>474</v>
      </c>
      <c r="D153" s="76">
        <f>D122+D126+D138+D142+D143+D148+D152</f>
        <v>229154072</v>
      </c>
      <c r="E153" s="21" t="s">
        <v>475</v>
      </c>
      <c r="F153" s="19" t="s">
        <v>476</v>
      </c>
      <c r="G153" s="20">
        <v>134176544</v>
      </c>
    </row>
    <row r="154" spans="2:7" ht="13.7" customHeight="1" thickBot="1" x14ac:dyDescent="0.3">
      <c r="B154" s="6"/>
      <c r="E154" s="21"/>
      <c r="F154" s="28" t="s">
        <v>477</v>
      </c>
      <c r="G154" s="37">
        <f>SUM(G144:G153)</f>
        <v>248518249</v>
      </c>
    </row>
    <row r="155" spans="2:7" ht="13.7" customHeight="1" thickBot="1" x14ac:dyDescent="0.3">
      <c r="B155" s="6"/>
      <c r="C155" s="77" t="s">
        <v>478</v>
      </c>
      <c r="D155" s="65">
        <f>G109-D153</f>
        <v>-169407437.42000008</v>
      </c>
      <c r="E155" s="21" t="s">
        <v>479</v>
      </c>
      <c r="F155" s="66" t="s">
        <v>480</v>
      </c>
      <c r="G155" s="67">
        <v>29855158</v>
      </c>
    </row>
    <row r="156" spans="2:7" ht="13.7" customHeight="1" x14ac:dyDescent="0.25">
      <c r="E156" s="21" t="s">
        <v>481</v>
      </c>
      <c r="F156" s="68" t="s">
        <v>482</v>
      </c>
      <c r="G156" s="69">
        <v>150459186</v>
      </c>
    </row>
    <row r="157" spans="2:7" ht="13.7" customHeight="1" x14ac:dyDescent="0.25">
      <c r="E157" s="21" t="s">
        <v>483</v>
      </c>
      <c r="F157" s="68" t="s">
        <v>484</v>
      </c>
      <c r="G157" s="69">
        <v>314411</v>
      </c>
    </row>
    <row r="158" spans="2:7" ht="13.7" customHeight="1" x14ac:dyDescent="0.25">
      <c r="E158" s="21" t="s">
        <v>485</v>
      </c>
      <c r="F158" s="68" t="s">
        <v>486</v>
      </c>
      <c r="G158" s="69">
        <v>0</v>
      </c>
    </row>
    <row r="159" spans="2:7" ht="13.7" customHeight="1" x14ac:dyDescent="0.25">
      <c r="E159" s="21" t="s">
        <v>487</v>
      </c>
      <c r="F159" s="68" t="s">
        <v>488</v>
      </c>
      <c r="G159" s="69">
        <v>1391633</v>
      </c>
    </row>
    <row r="160" spans="2:7" ht="13.7" customHeight="1" x14ac:dyDescent="0.25">
      <c r="E160" s="21" t="s">
        <v>489</v>
      </c>
      <c r="F160" s="68" t="s">
        <v>490</v>
      </c>
      <c r="G160" s="69">
        <v>10589620</v>
      </c>
    </row>
    <row r="161" spans="5:7" ht="13.7" customHeight="1" x14ac:dyDescent="0.25">
      <c r="E161" s="21" t="s">
        <v>491</v>
      </c>
      <c r="F161" s="68" t="s">
        <v>492</v>
      </c>
      <c r="G161" s="69">
        <v>139212392</v>
      </c>
    </row>
    <row r="162" spans="5:7" ht="13.7" customHeight="1" x14ac:dyDescent="0.25">
      <c r="E162" s="21" t="s">
        <v>493</v>
      </c>
      <c r="F162" s="68" t="s">
        <v>494</v>
      </c>
      <c r="G162" s="69">
        <v>0</v>
      </c>
    </row>
    <row r="163" spans="5:7" ht="13.7" customHeight="1" x14ac:dyDescent="0.25">
      <c r="E163" s="21" t="s">
        <v>495</v>
      </c>
      <c r="F163" s="68" t="s">
        <v>496</v>
      </c>
      <c r="G163" s="69">
        <v>14300615</v>
      </c>
    </row>
    <row r="164" spans="5:7" ht="13.7" customHeight="1" x14ac:dyDescent="0.25">
      <c r="E164" s="21" t="s">
        <v>497</v>
      </c>
      <c r="F164" s="68" t="s">
        <v>498</v>
      </c>
      <c r="G164" s="69">
        <v>0</v>
      </c>
    </row>
    <row r="165" spans="5:7" ht="13.7" customHeight="1" x14ac:dyDescent="0.25">
      <c r="E165" s="21" t="s">
        <v>499</v>
      </c>
      <c r="F165" s="68" t="s">
        <v>500</v>
      </c>
      <c r="G165" s="69"/>
    </row>
    <row r="166" spans="5:7" ht="13.7" customHeight="1" x14ac:dyDescent="0.25">
      <c r="E166" s="21" t="s">
        <v>501</v>
      </c>
      <c r="F166" s="68" t="s">
        <v>502</v>
      </c>
      <c r="G166" s="69">
        <v>22327504</v>
      </c>
    </row>
    <row r="167" spans="5:7" ht="13.7" customHeight="1" x14ac:dyDescent="0.25">
      <c r="E167" s="21" t="s">
        <v>503</v>
      </c>
      <c r="F167" s="19" t="s">
        <v>504</v>
      </c>
      <c r="G167" s="20">
        <v>17936216</v>
      </c>
    </row>
    <row r="168" spans="5:7" ht="13.7" customHeight="1" thickBot="1" x14ac:dyDescent="0.3">
      <c r="E168" s="21"/>
      <c r="F168" s="28" t="s">
        <v>505</v>
      </c>
      <c r="G168" s="37">
        <f>SUM(G155:G167)</f>
        <v>386386735</v>
      </c>
    </row>
    <row r="169" spans="5:7" ht="13.7" customHeight="1" thickBot="1" x14ac:dyDescent="0.3">
      <c r="E169" s="21"/>
      <c r="F169" s="48" t="s">
        <v>506</v>
      </c>
      <c r="G169" s="72">
        <f>G154-G168</f>
        <v>-137868486</v>
      </c>
    </row>
    <row r="170" spans="5:7" ht="13.7" customHeight="1" thickBot="1" x14ac:dyDescent="0.3">
      <c r="E170" s="21"/>
      <c r="F170" s="78"/>
      <c r="G170" s="78"/>
    </row>
    <row r="171" spans="5:7" ht="13.7" customHeight="1" thickBot="1" x14ac:dyDescent="0.3">
      <c r="E171" s="21"/>
      <c r="F171" s="77" t="s">
        <v>507</v>
      </c>
      <c r="G171" s="79"/>
    </row>
    <row r="172" spans="5:7" ht="13.7" customHeight="1" thickBot="1" x14ac:dyDescent="0.3">
      <c r="E172" s="21"/>
      <c r="F172" s="80"/>
      <c r="G172" s="81">
        <f>+D155+G140+G169</f>
        <v>-285382131.42000008</v>
      </c>
    </row>
    <row r="173" spans="5:7" ht="13.7" customHeight="1" thickBot="1" x14ac:dyDescent="0.3">
      <c r="E173" s="21"/>
      <c r="F173" s="5"/>
      <c r="G173" s="5"/>
    </row>
    <row r="174" spans="5:7" ht="13.7" customHeight="1" thickBot="1" x14ac:dyDescent="0.3">
      <c r="E174" s="21"/>
      <c r="F174" s="48" t="s">
        <v>508</v>
      </c>
      <c r="G174" s="17">
        <f>+G143</f>
        <v>2020</v>
      </c>
    </row>
    <row r="175" spans="5:7" ht="13.7" customHeight="1" x14ac:dyDescent="0.25">
      <c r="E175" s="21"/>
      <c r="F175" s="66" t="s">
        <v>509</v>
      </c>
      <c r="G175" s="67"/>
    </row>
    <row r="176" spans="5:7" ht="13.7" customHeight="1" x14ac:dyDescent="0.25">
      <c r="E176" s="21"/>
      <c r="F176" s="68" t="s">
        <v>510</v>
      </c>
      <c r="G176" s="69"/>
    </row>
    <row r="177" spans="1:8" ht="13.7" customHeight="1" thickBot="1" x14ac:dyDescent="0.3">
      <c r="F177" s="68" t="s">
        <v>511</v>
      </c>
      <c r="G177" s="69"/>
    </row>
    <row r="178" spans="1:8" ht="13.7" customHeight="1" thickBot="1" x14ac:dyDescent="0.3">
      <c r="F178" s="48" t="s">
        <v>512</v>
      </c>
      <c r="G178" s="72">
        <f>SUM(G175:G177)</f>
        <v>0</v>
      </c>
    </row>
    <row r="179" spans="1:8" ht="13.7" customHeight="1" thickBot="1" x14ac:dyDescent="0.3"/>
    <row r="180" spans="1:8" ht="13.7" customHeight="1" thickBot="1" x14ac:dyDescent="0.3">
      <c r="F180" s="77" t="s">
        <v>513</v>
      </c>
      <c r="G180" s="79"/>
    </row>
    <row r="181" spans="1:8" ht="13.7" customHeight="1" thickBot="1" x14ac:dyDescent="0.3">
      <c r="F181" s="83"/>
      <c r="G181" s="81">
        <f>+G172+G178</f>
        <v>-285382131.42000008</v>
      </c>
    </row>
    <row r="182" spans="1:8" ht="13.7" customHeight="1" x14ac:dyDescent="0.25"/>
    <row r="183" spans="1:8" ht="13.5" customHeight="1" x14ac:dyDescent="0.25"/>
    <row r="184" spans="1:8" ht="13.7" customHeight="1" x14ac:dyDescent="0.25">
      <c r="E184" s="84"/>
      <c r="F184" s="84"/>
      <c r="G184" s="84"/>
      <c r="H184" s="84"/>
    </row>
    <row r="185" spans="1:8" s="84" customFormat="1" ht="13.7" customHeight="1" x14ac:dyDescent="0.25">
      <c r="A185" s="85"/>
      <c r="E185" s="82"/>
      <c r="F185" s="86"/>
      <c r="G185" s="86"/>
    </row>
    <row r="186" spans="1:8" s="84" customFormat="1" ht="12.75" x14ac:dyDescent="0.25">
      <c r="A186" s="85"/>
      <c r="E186" s="82"/>
      <c r="F186" s="86"/>
      <c r="G186" s="86"/>
    </row>
    <row r="187" spans="1:8" s="84" customFormat="1" ht="12.75" hidden="1" x14ac:dyDescent="0.25">
      <c r="A187" s="85"/>
      <c r="E187" s="82"/>
      <c r="F187" s="86"/>
      <c r="G187" s="86"/>
    </row>
    <row r="188" spans="1:8" s="84" customFormat="1" ht="12.75" hidden="1" x14ac:dyDescent="0.25">
      <c r="A188" s="85"/>
      <c r="E188" s="82"/>
      <c r="F188" s="86"/>
      <c r="G188" s="86"/>
    </row>
    <row r="189" spans="1:8" s="84" customFormat="1" ht="12.75" hidden="1" x14ac:dyDescent="0.25">
      <c r="A189" s="85"/>
      <c r="E189" s="82"/>
      <c r="F189" s="86"/>
      <c r="G189" s="86"/>
    </row>
    <row r="190" spans="1:8" s="84" customFormat="1" ht="12.75" hidden="1" x14ac:dyDescent="0.25">
      <c r="A190" s="85"/>
      <c r="E190" s="82"/>
      <c r="F190" s="86"/>
      <c r="G190" s="86"/>
    </row>
    <row r="191" spans="1:8" s="84" customFormat="1" ht="12.75" hidden="1" x14ac:dyDescent="0.25">
      <c r="A191" s="85"/>
      <c r="E191" s="82"/>
      <c r="F191" s="86"/>
      <c r="G191" s="86"/>
    </row>
    <row r="192" spans="1:8" s="84" customFormat="1" ht="12.75" hidden="1" x14ac:dyDescent="0.25">
      <c r="A192" s="85"/>
      <c r="E192" s="82"/>
      <c r="F192" s="86"/>
      <c r="G192" s="86"/>
    </row>
    <row r="193" spans="5:7" s="84" customFormat="1" ht="12.75" hidden="1" x14ac:dyDescent="0.25">
      <c r="E193" s="82"/>
      <c r="F193" s="86"/>
      <c r="G193" s="86"/>
    </row>
    <row r="194" spans="5:7" s="84" customFormat="1" ht="12.75" hidden="1" x14ac:dyDescent="0.25">
      <c r="E194" s="82"/>
      <c r="F194" s="86"/>
      <c r="G194" s="86"/>
    </row>
    <row r="195" spans="5:7" s="84" customFormat="1" ht="12.75" hidden="1" x14ac:dyDescent="0.25">
      <c r="E195" s="82"/>
      <c r="F195" s="86"/>
      <c r="G195" s="86"/>
    </row>
    <row r="196" spans="5:7" s="84" customFormat="1" ht="12.75" hidden="1" x14ac:dyDescent="0.25">
      <c r="E196" s="82"/>
      <c r="F196" s="86"/>
      <c r="G196" s="86"/>
    </row>
    <row r="197" spans="5:7" s="84" customFormat="1" ht="12.75" hidden="1" x14ac:dyDescent="0.25">
      <c r="E197" s="82"/>
      <c r="F197" s="86"/>
      <c r="G197" s="86"/>
    </row>
    <row r="198" spans="5:7" s="84" customFormat="1" ht="12.75" hidden="1" x14ac:dyDescent="0.25">
      <c r="E198" s="82"/>
      <c r="F198" s="86"/>
      <c r="G198" s="86"/>
    </row>
    <row r="199" spans="5:7" s="84" customFormat="1" ht="12.75" hidden="1" x14ac:dyDescent="0.25">
      <c r="E199" s="82"/>
      <c r="F199" s="86"/>
      <c r="G199" s="86"/>
    </row>
    <row r="200" spans="5:7" s="84" customFormat="1" ht="12.75" hidden="1" x14ac:dyDescent="0.25">
      <c r="E200" s="82"/>
      <c r="F200" s="86"/>
      <c r="G200" s="86"/>
    </row>
    <row r="201" spans="5:7" s="84" customFormat="1" ht="12.75" hidden="1" x14ac:dyDescent="0.25">
      <c r="E201" s="82"/>
      <c r="F201" s="86"/>
      <c r="G201" s="86"/>
    </row>
    <row r="202" spans="5:7" s="84" customFormat="1" ht="12.75" hidden="1" x14ac:dyDescent="0.25">
      <c r="E202" s="82"/>
      <c r="F202" s="86"/>
      <c r="G202" s="86"/>
    </row>
    <row r="203" spans="5:7" s="84" customFormat="1" ht="12.75" hidden="1" x14ac:dyDescent="0.25">
      <c r="E203" s="82"/>
      <c r="F203" s="86"/>
      <c r="G203" s="86"/>
    </row>
    <row r="204" spans="5:7" s="84" customFormat="1" ht="12.75" hidden="1" x14ac:dyDescent="0.25">
      <c r="E204" s="82"/>
      <c r="F204" s="86"/>
      <c r="G204" s="86"/>
    </row>
    <row r="205" spans="5:7" s="84" customFormat="1" ht="12.75" hidden="1" x14ac:dyDescent="0.25">
      <c r="E205" s="82"/>
      <c r="F205" s="86"/>
      <c r="G205" s="86"/>
    </row>
    <row r="206" spans="5:7" s="84" customFormat="1" ht="12.75" hidden="1" x14ac:dyDescent="0.25">
      <c r="E206" s="82"/>
      <c r="F206" s="86"/>
      <c r="G206" s="86"/>
    </row>
    <row r="207" spans="5:7" s="84" customFormat="1" ht="12.75" hidden="1" x14ac:dyDescent="0.25">
      <c r="E207" s="82"/>
      <c r="F207" s="86"/>
      <c r="G207" s="86"/>
    </row>
    <row r="208" spans="5:7" s="84" customFormat="1" ht="12.75" hidden="1" x14ac:dyDescent="0.25">
      <c r="E208" s="82"/>
      <c r="F208" s="86"/>
      <c r="G208" s="86"/>
    </row>
    <row r="209" spans="3:8" s="84" customFormat="1" ht="12.75" hidden="1" x14ac:dyDescent="0.25">
      <c r="E209" s="82"/>
      <c r="F209" s="86"/>
      <c r="G209" s="86"/>
    </row>
    <row r="210" spans="3:8" s="84" customFormat="1" ht="12.75" hidden="1" x14ac:dyDescent="0.25">
      <c r="E210" s="82"/>
      <c r="F210" s="86"/>
      <c r="G210" s="86"/>
    </row>
    <row r="211" spans="3:8" s="84" customFormat="1" ht="12.75" hidden="1" x14ac:dyDescent="0.25">
      <c r="E211" s="82"/>
      <c r="F211" s="86"/>
      <c r="G211" s="86"/>
    </row>
    <row r="212" spans="3:8" s="84" customFormat="1" ht="12.75" hidden="1" x14ac:dyDescent="0.25">
      <c r="E212" s="82"/>
      <c r="F212" s="86"/>
      <c r="G212" s="86"/>
    </row>
    <row r="213" spans="3:8" s="84" customFormat="1" ht="12.75" hidden="1" x14ac:dyDescent="0.25">
      <c r="E213" s="82"/>
      <c r="F213" s="86"/>
      <c r="G213" s="86"/>
    </row>
    <row r="214" spans="3:8" s="84" customFormat="1" ht="15" hidden="1" x14ac:dyDescent="0.25">
      <c r="E214" s="82"/>
      <c r="F214" s="87"/>
      <c r="G214" s="58"/>
      <c r="H214" s="5"/>
    </row>
    <row r="215" spans="3:8" ht="15" hidden="1" x14ac:dyDescent="0.25">
      <c r="C215" s="86"/>
      <c r="D215" s="86"/>
      <c r="F215" s="87"/>
    </row>
  </sheetData>
  <mergeCells count="6">
    <mergeCell ref="C1:D1"/>
    <mergeCell ref="E1:F1"/>
    <mergeCell ref="C2:D2"/>
    <mergeCell ref="E2:F2"/>
    <mergeCell ref="C3:D3"/>
    <mergeCell ref="E3:F3"/>
  </mergeCells>
  <conditionalFormatting sqref="D7:D12">
    <cfRule type="cellIs" dxfId="447" priority="2" stopIfTrue="1" operator="greaterThan">
      <formula>50</formula>
    </cfRule>
    <cfRule type="cellIs" dxfId="446" priority="11" stopIfTrue="1" operator="equal">
      <formula>0</formula>
    </cfRule>
  </conditionalFormatting>
  <conditionalFormatting sqref="D7:D61">
    <cfRule type="cellIs" dxfId="445" priority="9" stopIfTrue="1" operator="between">
      <formula>-0.1</formula>
      <formula>-50</formula>
    </cfRule>
    <cfRule type="cellIs" dxfId="444" priority="10" stopIfTrue="1" operator="between">
      <formula>0.1</formula>
      <formula>50</formula>
    </cfRule>
  </conditionalFormatting>
  <conditionalFormatting sqref="G152:G181 G7:G150">
    <cfRule type="cellIs" dxfId="443" priority="7" stopIfTrue="1" operator="between">
      <formula>-0.1</formula>
      <formula>-50</formula>
    </cfRule>
    <cfRule type="cellIs" dxfId="442" priority="8" stopIfTrue="1" operator="between">
      <formula>0.1</formula>
      <formula>50</formula>
    </cfRule>
  </conditionalFormatting>
  <conditionalFormatting sqref="D111:D155">
    <cfRule type="cellIs" dxfId="441" priority="5" stopIfTrue="1" operator="between">
      <formula>-0.1</formula>
      <formula>-50</formula>
    </cfRule>
    <cfRule type="cellIs" dxfId="440" priority="6" stopIfTrue="1" operator="between">
      <formula>0.1</formula>
      <formula>50</formula>
    </cfRule>
  </conditionalFormatting>
  <conditionalFormatting sqref="G165">
    <cfRule type="expression" dxfId="439" priority="4" stopIfTrue="1">
      <formula>AND($G$165&gt;0,$G$151&gt;0)</formula>
    </cfRule>
  </conditionalFormatting>
  <conditionalFormatting sqref="G151">
    <cfRule type="expression" dxfId="438" priority="1" stopIfTrue="1">
      <formula>AND($G$151&gt;0,$G$165&gt;0)</formula>
    </cfRule>
  </conditionalFormatting>
  <dataValidations count="11">
    <dataValidation type="custom" operator="greaterThan" showInputMessage="1" showErrorMessage="1" errorTitle="RDM" error="No se admite ingresar RDM como ingresos y egresos a la vez. Tampoco se admiten valores menores a $50._x000a_" sqref="G151">
      <formula1>AND(OR(G151=0, G151&gt;50),G165=0)</formula1>
    </dataValidation>
    <dataValidation type="whole" operator="greaterThan" allowBlank="1" showInputMessage="1" showErrorMessage="1" sqref="D8:D12">
      <formula1>50</formula1>
    </dataValidation>
    <dataValidation type="whole" operator="greaterThan" showInputMessage="1" showErrorMessage="1" errorTitle="eee" error="Valores mayores a $50" sqref="D7">
      <formula1>50</formula1>
    </dataValidation>
    <dataValidation type="custom" operator="greaterThan" showInputMessage="1" showErrorMessage="1" errorTitle="eee" sqref="D56">
      <formula1>OR(D56=0, D56&lt;50)</formula1>
    </dataValidation>
    <dataValidation type="custom" operator="greaterThan" showInputMessage="1" showErrorMessage="1" errorTitle="eee" sqref="D57:D61">
      <formula1>OR(D57=0, D57&lt;0)</formula1>
    </dataValidation>
    <dataValidation type="custom" operator="greaterThan" showInputMessage="1" showErrorMessage="1" errorTitle="eee" sqref="G7:G140 D62:D155 G152:G164 G166:G181 G144:G150 D13:D55">
      <formula1>OR(D7=0, D7&gt;50)</formula1>
    </dataValidation>
    <dataValidation type="whole" allowBlank="1" showErrorMessage="1" errorTitle="Error de datos" error="Debe ingresar un valor entre 1 y 12" sqref="G1:G3">
      <formula1>1</formula1>
      <formula2>12</formula2>
    </dataValidation>
    <dataValidation allowBlank="1" errorTitle="Error de datos" error="Debe introducir una fecha válida" sqref="E3"/>
    <dataValidation allowBlank="1" sqref="G204"/>
    <dataValidation operator="greaterThanOrEqual" allowBlank="1" errorTitle="Error de datos" error="Debe ingresar un valor entero positivo" sqref="F6:F107 F203 C13:C47 C106:C153 F171 F174:F178 F180 F111:F119 C7:C10 F121:F140 F143:F169 C49:C62 C155 F109"/>
    <dataValidation type="custom" operator="greaterThan" showInputMessage="1" showErrorMessage="1" errorTitle="rdm2" error="No se admite ingresar a la vez RDM como ingresos y como egresos. Tampoco se admiten valores negattivos o positivos menores de 50" sqref="G165">
      <formula1>AND(OR(G165=0, G165&gt;50),G151=0)</formula1>
    </dataValidation>
  </dataValidations>
  <pageMargins left="0.7" right="0.7" top="0.75" bottom="0.75" header="0.3" footer="0.3"/>
  <ignoredErrors>
    <ignoredError sqref="E7:E181" numberStoredAsText="1"/>
  </ignoredErrors>
  <legacyDrawing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26"/>
  <sheetViews>
    <sheetView showGridLines="0" workbookViewId="0">
      <selection activeCell="F4" sqref="F4"/>
    </sheetView>
  </sheetViews>
  <sheetFormatPr baseColWidth="10" defaultColWidth="0" defaultRowHeight="15" zeroHeight="1" x14ac:dyDescent="0.25"/>
  <cols>
    <col min="1" max="1" width="3.7109375" style="1" customWidth="1"/>
    <col min="2" max="2" width="14.28515625" style="7" hidden="1" customWidth="1"/>
    <col min="3" max="3" width="58.5703125" style="58" customWidth="1"/>
    <col min="4" max="4" width="25.140625" style="58" customWidth="1"/>
    <col min="5" max="5" width="5.85546875" style="82" customWidth="1"/>
    <col min="6" max="6" width="57.28515625" style="58" customWidth="1"/>
    <col min="7" max="7" width="24.7109375" style="58" customWidth="1"/>
    <col min="8" max="8" width="5.42578125" style="5" customWidth="1"/>
    <col min="9" max="16384" width="0" style="5" hidden="1"/>
  </cols>
  <sheetData>
    <row r="1" spans="1:9" ht="15.75" x14ac:dyDescent="0.25">
      <c r="B1" s="2"/>
      <c r="C1" s="313" t="s">
        <v>0</v>
      </c>
      <c r="D1" s="314"/>
      <c r="E1" s="315" t="str">
        <f>[29]Presentacion!C2</f>
        <v>COMERO</v>
      </c>
      <c r="F1" s="315"/>
      <c r="G1" s="3"/>
      <c r="H1" s="4"/>
    </row>
    <row r="2" spans="1:9" ht="15.75" x14ac:dyDescent="0.25">
      <c r="B2" s="6"/>
      <c r="C2" s="313" t="s">
        <v>1</v>
      </c>
      <c r="D2" s="314"/>
      <c r="E2" s="315" t="str">
        <f>[29]Presentacion!C3</f>
        <v>Rocha</v>
      </c>
      <c r="F2" s="315"/>
      <c r="G2" s="3"/>
      <c r="H2" s="4"/>
    </row>
    <row r="3" spans="1:9" ht="15.75" x14ac:dyDescent="0.25">
      <c r="B3" s="6"/>
      <c r="C3" s="313" t="s">
        <v>2</v>
      </c>
      <c r="D3" s="316"/>
      <c r="E3" s="317" t="s">
        <v>3</v>
      </c>
      <c r="F3" s="317"/>
      <c r="G3" s="3"/>
      <c r="H3" s="4"/>
    </row>
    <row r="4" spans="1:9" ht="15.75" thickBot="1" x14ac:dyDescent="0.3">
      <c r="C4" s="287"/>
      <c r="D4" s="8"/>
      <c r="E4" s="9"/>
      <c r="F4" s="10"/>
      <c r="G4" s="11"/>
    </row>
    <row r="5" spans="1:9" ht="16.5" thickBot="1" x14ac:dyDescent="0.3">
      <c r="B5" s="12"/>
      <c r="C5" s="13" t="s">
        <v>4</v>
      </c>
      <c r="D5" s="284" t="s">
        <v>5</v>
      </c>
      <c r="E5" s="14"/>
      <c r="F5" s="13" t="s">
        <v>6</v>
      </c>
      <c r="G5" s="284" t="s">
        <v>5</v>
      </c>
      <c r="I5" s="15"/>
    </row>
    <row r="6" spans="1:9" ht="16.5" thickBot="1" x14ac:dyDescent="0.3">
      <c r="B6" s="12"/>
      <c r="C6" s="16" t="s">
        <v>7</v>
      </c>
      <c r="D6" s="290">
        <f>+[29]E.S.P.!D6</f>
        <v>2020</v>
      </c>
      <c r="E6" s="18"/>
      <c r="F6" s="16" t="s">
        <v>8</v>
      </c>
      <c r="G6" s="290">
        <f>+D6</f>
        <v>2020</v>
      </c>
      <c r="H6" s="15"/>
    </row>
    <row r="7" spans="1:9" x14ac:dyDescent="0.25">
      <c r="B7" s="6" t="s">
        <v>9</v>
      </c>
      <c r="C7" s="19" t="s">
        <v>10</v>
      </c>
      <c r="D7" s="20">
        <v>48135284</v>
      </c>
      <c r="E7" s="21" t="s">
        <v>11</v>
      </c>
      <c r="F7" s="22" t="s">
        <v>12</v>
      </c>
      <c r="G7" s="23">
        <v>12155102</v>
      </c>
    </row>
    <row r="8" spans="1:9" x14ac:dyDescent="0.25">
      <c r="B8" s="6" t="s">
        <v>13</v>
      </c>
      <c r="C8" s="19" t="s">
        <v>14</v>
      </c>
      <c r="D8" s="20">
        <v>71454250</v>
      </c>
      <c r="E8" s="21" t="s">
        <v>15</v>
      </c>
      <c r="F8" s="19" t="s">
        <v>16</v>
      </c>
      <c r="G8" s="24">
        <v>149299758</v>
      </c>
    </row>
    <row r="9" spans="1:9" x14ac:dyDescent="0.25">
      <c r="B9" s="6" t="s">
        <v>17</v>
      </c>
      <c r="C9" s="19" t="s">
        <v>18</v>
      </c>
      <c r="D9" s="20">
        <v>1198351777</v>
      </c>
      <c r="E9" s="21" t="s">
        <v>19</v>
      </c>
      <c r="F9" s="19" t="s">
        <v>20</v>
      </c>
      <c r="G9" s="20"/>
    </row>
    <row r="10" spans="1:9" x14ac:dyDescent="0.25">
      <c r="B10" s="6" t="s">
        <v>21</v>
      </c>
      <c r="C10" s="19" t="s">
        <v>22</v>
      </c>
      <c r="D10" s="20">
        <v>123541150</v>
      </c>
      <c r="E10" s="21" t="s">
        <v>23</v>
      </c>
      <c r="F10" s="19" t="s">
        <v>24</v>
      </c>
      <c r="G10" s="20">
        <v>326237287</v>
      </c>
    </row>
    <row r="11" spans="1:9" x14ac:dyDescent="0.25">
      <c r="B11" s="6" t="s">
        <v>25</v>
      </c>
      <c r="C11" s="19" t="s">
        <v>26</v>
      </c>
      <c r="D11" s="20">
        <v>29433651</v>
      </c>
      <c r="E11" s="21" t="s">
        <v>27</v>
      </c>
      <c r="F11" s="19" t="s">
        <v>28</v>
      </c>
      <c r="G11" s="20"/>
    </row>
    <row r="12" spans="1:9" x14ac:dyDescent="0.25">
      <c r="B12" s="6" t="s">
        <v>29</v>
      </c>
      <c r="C12" s="19" t="s">
        <v>30</v>
      </c>
      <c r="D12" s="20">
        <v>43827008</v>
      </c>
      <c r="E12" s="21" t="s">
        <v>31</v>
      </c>
      <c r="F12" s="19" t="s">
        <v>32</v>
      </c>
      <c r="G12" s="20">
        <v>184490002</v>
      </c>
    </row>
    <row r="13" spans="1:9" x14ac:dyDescent="0.25">
      <c r="B13" s="6" t="s">
        <v>33</v>
      </c>
      <c r="C13" s="19" t="s">
        <v>34</v>
      </c>
      <c r="D13" s="20">
        <v>2330407</v>
      </c>
      <c r="E13" s="21" t="s">
        <v>35</v>
      </c>
      <c r="F13" s="19" t="s">
        <v>36</v>
      </c>
      <c r="G13" s="20"/>
    </row>
    <row r="14" spans="1:9" x14ac:dyDescent="0.25">
      <c r="A14" s="25"/>
      <c r="B14" s="6" t="s">
        <v>37</v>
      </c>
      <c r="C14" s="19" t="s">
        <v>38</v>
      </c>
      <c r="D14" s="20"/>
      <c r="E14" s="21" t="s">
        <v>39</v>
      </c>
      <c r="F14" s="19" t="s">
        <v>40</v>
      </c>
      <c r="G14" s="20">
        <v>173204071</v>
      </c>
    </row>
    <row r="15" spans="1:9" x14ac:dyDescent="0.25">
      <c r="B15" s="6" t="s">
        <v>41</v>
      </c>
      <c r="C15" s="26" t="s">
        <v>42</v>
      </c>
      <c r="D15" s="20"/>
      <c r="E15" s="21" t="s">
        <v>43</v>
      </c>
      <c r="F15" s="19" t="s">
        <v>44</v>
      </c>
      <c r="G15" s="20">
        <v>73249245</v>
      </c>
    </row>
    <row r="16" spans="1:9" x14ac:dyDescent="0.25">
      <c r="B16" s="6" t="s">
        <v>45</v>
      </c>
      <c r="C16" s="19" t="s">
        <v>46</v>
      </c>
      <c r="D16" s="20"/>
      <c r="E16" s="21" t="s">
        <v>47</v>
      </c>
      <c r="F16" s="19" t="s">
        <v>48</v>
      </c>
      <c r="G16" s="20">
        <v>105112183</v>
      </c>
    </row>
    <row r="17" spans="1:7" x14ac:dyDescent="0.25">
      <c r="B17" s="6" t="s">
        <v>49</v>
      </c>
      <c r="C17" s="19" t="s">
        <v>50</v>
      </c>
      <c r="D17" s="20"/>
      <c r="E17" s="21" t="s">
        <v>51</v>
      </c>
      <c r="F17" s="19" t="s">
        <v>52</v>
      </c>
      <c r="G17" s="20"/>
    </row>
    <row r="18" spans="1:7" x14ac:dyDescent="0.25">
      <c r="A18" s="25"/>
      <c r="B18" s="6" t="s">
        <v>53</v>
      </c>
      <c r="C18" s="19" t="s">
        <v>54</v>
      </c>
      <c r="D18" s="20">
        <v>228717</v>
      </c>
      <c r="E18" s="21" t="s">
        <v>55</v>
      </c>
      <c r="F18" s="19" t="s">
        <v>56</v>
      </c>
      <c r="G18" s="27">
        <v>44537898</v>
      </c>
    </row>
    <row r="19" spans="1:7" ht="15.75" thickBot="1" x14ac:dyDescent="0.3">
      <c r="A19" s="25"/>
      <c r="B19" s="6" t="s">
        <v>57</v>
      </c>
      <c r="C19" s="19" t="s">
        <v>58</v>
      </c>
      <c r="D19" s="20">
        <v>64453671</v>
      </c>
      <c r="E19" s="21"/>
      <c r="F19" s="28" t="s">
        <v>59</v>
      </c>
      <c r="G19" s="29">
        <f>SUM(G7:G18)</f>
        <v>1068285546</v>
      </c>
    </row>
    <row r="20" spans="1:7" ht="15.75" thickBot="1" x14ac:dyDescent="0.3">
      <c r="B20" s="6"/>
      <c r="C20" s="28" t="s">
        <v>60</v>
      </c>
      <c r="D20" s="29">
        <f>SUM(D7:D19)</f>
        <v>1581755915</v>
      </c>
      <c r="E20" s="21" t="s">
        <v>61</v>
      </c>
      <c r="F20" s="22" t="s">
        <v>62</v>
      </c>
      <c r="G20" s="23">
        <v>529726</v>
      </c>
    </row>
    <row r="21" spans="1:7" x14ac:dyDescent="0.25">
      <c r="B21" s="6"/>
      <c r="C21" s="30" t="s">
        <v>63</v>
      </c>
      <c r="D21" s="31">
        <f>SUM(D22:D28)</f>
        <v>15359679</v>
      </c>
      <c r="E21" s="21" t="s">
        <v>64</v>
      </c>
      <c r="F21" s="19" t="s">
        <v>65</v>
      </c>
      <c r="G21" s="20">
        <v>26953596</v>
      </c>
    </row>
    <row r="22" spans="1:7" x14ac:dyDescent="0.25">
      <c r="B22" s="6" t="s">
        <v>66</v>
      </c>
      <c r="C22" s="19" t="s">
        <v>67</v>
      </c>
      <c r="D22" s="20">
        <v>5677988</v>
      </c>
      <c r="E22" s="21" t="s">
        <v>68</v>
      </c>
      <c r="F22" s="19" t="s">
        <v>69</v>
      </c>
      <c r="G22" s="20">
        <v>7937555</v>
      </c>
    </row>
    <row r="23" spans="1:7" x14ac:dyDescent="0.25">
      <c r="B23" s="6" t="s">
        <v>70</v>
      </c>
      <c r="C23" s="19" t="s">
        <v>71</v>
      </c>
      <c r="D23" s="20">
        <v>3641058</v>
      </c>
      <c r="E23" s="21" t="s">
        <v>72</v>
      </c>
      <c r="F23" s="19" t="s">
        <v>73</v>
      </c>
      <c r="G23" s="20">
        <v>15026913</v>
      </c>
    </row>
    <row r="24" spans="1:7" x14ac:dyDescent="0.25">
      <c r="B24" s="6" t="s">
        <v>74</v>
      </c>
      <c r="C24" s="19" t="s">
        <v>75</v>
      </c>
      <c r="D24" s="20">
        <v>3626163</v>
      </c>
      <c r="E24" s="21" t="s">
        <v>76</v>
      </c>
      <c r="F24" s="19" t="s">
        <v>77</v>
      </c>
      <c r="G24" s="20">
        <v>6397094</v>
      </c>
    </row>
    <row r="25" spans="1:7" x14ac:dyDescent="0.25">
      <c r="B25" s="6" t="s">
        <v>78</v>
      </c>
      <c r="C25" s="19" t="s">
        <v>79</v>
      </c>
      <c r="D25" s="20">
        <v>10521</v>
      </c>
      <c r="E25" s="21" t="s">
        <v>80</v>
      </c>
      <c r="F25" s="19" t="s">
        <v>81</v>
      </c>
      <c r="G25" s="20">
        <v>5234901</v>
      </c>
    </row>
    <row r="26" spans="1:7" x14ac:dyDescent="0.25">
      <c r="B26" s="6" t="s">
        <v>82</v>
      </c>
      <c r="C26" s="19" t="s">
        <v>83</v>
      </c>
      <c r="D26" s="20">
        <v>511952</v>
      </c>
      <c r="E26" s="21" t="s">
        <v>84</v>
      </c>
      <c r="F26" s="19" t="s">
        <v>85</v>
      </c>
      <c r="G26" s="27">
        <v>2424519</v>
      </c>
    </row>
    <row r="27" spans="1:7" ht="15.75" thickBot="1" x14ac:dyDescent="0.3">
      <c r="B27" s="6" t="s">
        <v>86</v>
      </c>
      <c r="C27" s="19" t="s">
        <v>87</v>
      </c>
      <c r="D27" s="20">
        <f>1245671+432</f>
        <v>1246103</v>
      </c>
      <c r="E27" s="21"/>
      <c r="F27" s="28" t="s">
        <v>88</v>
      </c>
      <c r="G27" s="29">
        <f>SUM(G20:G26)</f>
        <v>64504304</v>
      </c>
    </row>
    <row r="28" spans="1:7" x14ac:dyDescent="0.25">
      <c r="B28" s="6" t="s">
        <v>89</v>
      </c>
      <c r="C28" s="19" t="s">
        <v>90</v>
      </c>
      <c r="D28" s="20">
        <v>645894</v>
      </c>
      <c r="E28" s="21" t="s">
        <v>91</v>
      </c>
      <c r="F28" s="22" t="s">
        <v>92</v>
      </c>
      <c r="G28" s="23">
        <v>45721767</v>
      </c>
    </row>
    <row r="29" spans="1:7" x14ac:dyDescent="0.25">
      <c r="B29" s="6"/>
      <c r="C29" s="32" t="s">
        <v>93</v>
      </c>
      <c r="D29" s="31">
        <f>SUM(D30:D34)</f>
        <v>126291529</v>
      </c>
      <c r="E29" s="21" t="s">
        <v>94</v>
      </c>
      <c r="F29" s="19" t="s">
        <v>95</v>
      </c>
      <c r="G29" s="20">
        <v>19877780</v>
      </c>
    </row>
    <row r="30" spans="1:7" x14ac:dyDescent="0.25">
      <c r="B30" s="6" t="s">
        <v>96</v>
      </c>
      <c r="C30" s="19" t="s">
        <v>97</v>
      </c>
      <c r="D30" s="20">
        <v>101284510</v>
      </c>
      <c r="E30" s="21" t="s">
        <v>98</v>
      </c>
      <c r="F30" s="19" t="s">
        <v>99</v>
      </c>
      <c r="G30" s="20">
        <v>6287906</v>
      </c>
    </row>
    <row r="31" spans="1:7" x14ac:dyDescent="0.25">
      <c r="B31" s="6" t="s">
        <v>100</v>
      </c>
      <c r="C31" s="19" t="s">
        <v>101</v>
      </c>
      <c r="D31" s="20">
        <v>10379583</v>
      </c>
      <c r="E31" s="21" t="s">
        <v>102</v>
      </c>
      <c r="F31" s="19" t="s">
        <v>103</v>
      </c>
      <c r="G31" s="27">
        <v>3385323</v>
      </c>
    </row>
    <row r="32" spans="1:7" ht="15.75" thickBot="1" x14ac:dyDescent="0.3">
      <c r="B32" s="6" t="s">
        <v>104</v>
      </c>
      <c r="C32" s="19" t="s">
        <v>105</v>
      </c>
      <c r="D32" s="20">
        <v>7384625</v>
      </c>
      <c r="E32" s="21"/>
      <c r="F32" s="28" t="s">
        <v>106</v>
      </c>
      <c r="G32" s="29">
        <f>SUM(G28:G31)</f>
        <v>75272776</v>
      </c>
    </row>
    <row r="33" spans="2:7" x14ac:dyDescent="0.25">
      <c r="B33" s="6" t="s">
        <v>107</v>
      </c>
      <c r="C33" s="19" t="s">
        <v>108</v>
      </c>
      <c r="D33" s="20">
        <v>2173361</v>
      </c>
      <c r="E33" s="21"/>
      <c r="F33" s="32" t="s">
        <v>109</v>
      </c>
      <c r="G33" s="31">
        <f>SUM(G34:G39)</f>
        <v>99446938</v>
      </c>
    </row>
    <row r="34" spans="2:7" x14ac:dyDescent="0.25">
      <c r="B34" s="6" t="s">
        <v>110</v>
      </c>
      <c r="C34" s="19" t="s">
        <v>111</v>
      </c>
      <c r="D34" s="20">
        <v>5069450</v>
      </c>
      <c r="E34" s="21" t="s">
        <v>112</v>
      </c>
      <c r="F34" s="19" t="s">
        <v>113</v>
      </c>
      <c r="G34" s="20"/>
    </row>
    <row r="35" spans="2:7" ht="15.75" thickBot="1" x14ac:dyDescent="0.3">
      <c r="B35" s="6"/>
      <c r="C35" s="28" t="s">
        <v>114</v>
      </c>
      <c r="D35" s="29">
        <f>+D21+D29</f>
        <v>141651208</v>
      </c>
      <c r="E35" s="21" t="s">
        <v>115</v>
      </c>
      <c r="F35" s="19" t="s">
        <v>116</v>
      </c>
      <c r="G35" s="20"/>
    </row>
    <row r="36" spans="2:7" x14ac:dyDescent="0.25">
      <c r="B36" s="6" t="s">
        <v>117</v>
      </c>
      <c r="C36" s="19" t="s">
        <v>118</v>
      </c>
      <c r="D36" s="20">
        <v>5731810</v>
      </c>
      <c r="E36" s="21" t="s">
        <v>119</v>
      </c>
      <c r="F36" s="19" t="s">
        <v>120</v>
      </c>
      <c r="G36" s="20"/>
    </row>
    <row r="37" spans="2:7" x14ac:dyDescent="0.25">
      <c r="B37" s="6" t="s">
        <v>121</v>
      </c>
      <c r="C37" s="19" t="s">
        <v>122</v>
      </c>
      <c r="D37" s="20">
        <v>13414693</v>
      </c>
      <c r="E37" s="21" t="s">
        <v>123</v>
      </c>
      <c r="F37" s="19" t="s">
        <v>124</v>
      </c>
      <c r="G37" s="20"/>
    </row>
    <row r="38" spans="2:7" x14ac:dyDescent="0.25">
      <c r="B38" s="6" t="s">
        <v>125</v>
      </c>
      <c r="C38" s="19" t="s">
        <v>126</v>
      </c>
      <c r="D38" s="20">
        <v>0</v>
      </c>
      <c r="E38" s="21" t="s">
        <v>127</v>
      </c>
      <c r="F38" s="19" t="s">
        <v>128</v>
      </c>
      <c r="G38" s="20"/>
    </row>
    <row r="39" spans="2:7" x14ac:dyDescent="0.25">
      <c r="B39" s="6" t="s">
        <v>129</v>
      </c>
      <c r="C39" s="19" t="s">
        <v>130</v>
      </c>
      <c r="D39" s="20">
        <v>0</v>
      </c>
      <c r="E39" s="21" t="s">
        <v>131</v>
      </c>
      <c r="F39" s="19" t="s">
        <v>132</v>
      </c>
      <c r="G39" s="20">
        <v>99446938</v>
      </c>
    </row>
    <row r="40" spans="2:7" x14ac:dyDescent="0.25">
      <c r="B40" s="6" t="s">
        <v>133</v>
      </c>
      <c r="C40" s="19" t="s">
        <v>134</v>
      </c>
      <c r="D40" s="20">
        <v>0</v>
      </c>
      <c r="E40" s="21"/>
      <c r="F40" s="33" t="s">
        <v>135</v>
      </c>
      <c r="G40" s="34">
        <f>SUM(G41:G46)</f>
        <v>22817261</v>
      </c>
    </row>
    <row r="41" spans="2:7" x14ac:dyDescent="0.25">
      <c r="B41" s="6" t="s">
        <v>136</v>
      </c>
      <c r="C41" s="19" t="s">
        <v>137</v>
      </c>
      <c r="D41" s="20">
        <v>57295712</v>
      </c>
      <c r="E41" s="21" t="s">
        <v>138</v>
      </c>
      <c r="F41" s="19" t="s">
        <v>139</v>
      </c>
      <c r="G41" s="20"/>
    </row>
    <row r="42" spans="2:7" x14ac:dyDescent="0.25">
      <c r="B42" s="6" t="s">
        <v>140</v>
      </c>
      <c r="C42" s="19" t="s">
        <v>141</v>
      </c>
      <c r="D42" s="20">
        <v>39158955</v>
      </c>
      <c r="E42" s="21" t="s">
        <v>142</v>
      </c>
      <c r="F42" s="19" t="s">
        <v>143</v>
      </c>
      <c r="G42" s="20"/>
    </row>
    <row r="43" spans="2:7" x14ac:dyDescent="0.25">
      <c r="B43" s="6" t="s">
        <v>144</v>
      </c>
      <c r="C43" s="19" t="s">
        <v>145</v>
      </c>
      <c r="D43" s="20"/>
      <c r="E43" s="21" t="s">
        <v>146</v>
      </c>
      <c r="F43" s="19" t="s">
        <v>147</v>
      </c>
      <c r="G43" s="20"/>
    </row>
    <row r="44" spans="2:7" x14ac:dyDescent="0.25">
      <c r="B44" s="6" t="s">
        <v>148</v>
      </c>
      <c r="C44" s="19" t="s">
        <v>149</v>
      </c>
      <c r="D44" s="20"/>
      <c r="E44" s="21" t="s">
        <v>150</v>
      </c>
      <c r="F44" s="19" t="s">
        <v>151</v>
      </c>
      <c r="G44" s="20"/>
    </row>
    <row r="45" spans="2:7" x14ac:dyDescent="0.25">
      <c r="B45" s="6" t="s">
        <v>152</v>
      </c>
      <c r="C45" s="19" t="s">
        <v>153</v>
      </c>
      <c r="D45" s="20">
        <v>22622542</v>
      </c>
      <c r="E45" s="21" t="s">
        <v>154</v>
      </c>
      <c r="F45" s="19" t="s">
        <v>155</v>
      </c>
      <c r="G45" s="20"/>
    </row>
    <row r="46" spans="2:7" x14ac:dyDescent="0.25">
      <c r="B46" s="6" t="s">
        <v>156</v>
      </c>
      <c r="C46" s="19" t="s">
        <v>157</v>
      </c>
      <c r="D46" s="20">
        <v>5864508</v>
      </c>
      <c r="E46" s="21" t="s">
        <v>158</v>
      </c>
      <c r="F46" s="19" t="s">
        <v>159</v>
      </c>
      <c r="G46" s="20">
        <v>22817261</v>
      </c>
    </row>
    <row r="47" spans="2:7" ht="15.75" thickBot="1" x14ac:dyDescent="0.3">
      <c r="B47" s="6"/>
      <c r="C47" s="28" t="s">
        <v>160</v>
      </c>
      <c r="D47" s="29">
        <f>SUM(D36:D46)</f>
        <v>144088220</v>
      </c>
      <c r="E47" s="21" t="s">
        <v>161</v>
      </c>
      <c r="F47" s="19" t="s">
        <v>162</v>
      </c>
      <c r="G47" s="27">
        <v>3886413</v>
      </c>
    </row>
    <row r="48" spans="2:7" ht="15.75" thickBot="1" x14ac:dyDescent="0.3">
      <c r="B48" s="6"/>
      <c r="C48" s="35" t="s">
        <v>163</v>
      </c>
      <c r="D48" s="36"/>
      <c r="E48" s="21"/>
      <c r="F48" s="28" t="s">
        <v>164</v>
      </c>
      <c r="G48" s="37">
        <f>+G33+G40+G47</f>
        <v>126150612</v>
      </c>
    </row>
    <row r="49" spans="2:7" x14ac:dyDescent="0.25">
      <c r="B49" s="6" t="s">
        <v>165</v>
      </c>
      <c r="C49" s="38" t="s">
        <v>166</v>
      </c>
      <c r="D49" s="39"/>
      <c r="E49" s="21" t="s">
        <v>167</v>
      </c>
      <c r="F49" s="22" t="s">
        <v>168</v>
      </c>
      <c r="G49" s="23">
        <v>19920919</v>
      </c>
    </row>
    <row r="50" spans="2:7" x14ac:dyDescent="0.25">
      <c r="B50" s="6" t="s">
        <v>169</v>
      </c>
      <c r="C50" s="19" t="s">
        <v>163</v>
      </c>
      <c r="D50" s="20">
        <v>433935</v>
      </c>
      <c r="E50" s="21" t="s">
        <v>170</v>
      </c>
      <c r="F50" s="19" t="s">
        <v>171</v>
      </c>
      <c r="G50" s="20">
        <v>55853160</v>
      </c>
    </row>
    <row r="51" spans="2:7" x14ac:dyDescent="0.25">
      <c r="B51" s="6" t="s">
        <v>172</v>
      </c>
      <c r="C51" s="19" t="s">
        <v>173</v>
      </c>
      <c r="D51" s="27">
        <v>27991</v>
      </c>
      <c r="E51" s="21" t="s">
        <v>174</v>
      </c>
      <c r="F51" s="19" t="s">
        <v>175</v>
      </c>
      <c r="G51" s="20">
        <v>775447</v>
      </c>
    </row>
    <row r="52" spans="2:7" ht="15.75" thickBot="1" x14ac:dyDescent="0.3">
      <c r="B52" s="12"/>
      <c r="C52" s="28" t="s">
        <v>176</v>
      </c>
      <c r="D52" s="29">
        <f>SUM(D49:D51)</f>
        <v>461926</v>
      </c>
      <c r="E52" s="21" t="s">
        <v>177</v>
      </c>
      <c r="F52" s="19" t="s">
        <v>178</v>
      </c>
      <c r="G52" s="20">
        <v>5419982</v>
      </c>
    </row>
    <row r="53" spans="2:7" ht="15.75" thickBot="1" x14ac:dyDescent="0.3">
      <c r="B53" s="6"/>
      <c r="C53" s="40" t="s">
        <v>179</v>
      </c>
      <c r="D53" s="41">
        <f>D20+D35+D47+D52</f>
        <v>1867957269</v>
      </c>
      <c r="E53" s="21" t="s">
        <v>180</v>
      </c>
      <c r="F53" s="19" t="s">
        <v>181</v>
      </c>
      <c r="G53" s="20">
        <v>10402004</v>
      </c>
    </row>
    <row r="54" spans="2:7" x14ac:dyDescent="0.25">
      <c r="C54" s="42"/>
      <c r="D54" s="43"/>
      <c r="E54" s="21" t="s">
        <v>182</v>
      </c>
      <c r="F54" s="19" t="s">
        <v>183</v>
      </c>
      <c r="G54" s="20">
        <v>2088153</v>
      </c>
    </row>
    <row r="55" spans="2:7" x14ac:dyDescent="0.25">
      <c r="C55" s="44" t="s">
        <v>184</v>
      </c>
      <c r="D55" s="45"/>
      <c r="E55" s="21" t="s">
        <v>185</v>
      </c>
      <c r="F55" s="19" t="s">
        <v>186</v>
      </c>
      <c r="G55" s="20">
        <v>1605267</v>
      </c>
    </row>
    <row r="56" spans="2:7" x14ac:dyDescent="0.25">
      <c r="B56" s="6" t="s">
        <v>187</v>
      </c>
      <c r="C56" s="46" t="s">
        <v>188</v>
      </c>
      <c r="D56" s="20">
        <v>-11539904</v>
      </c>
      <c r="E56" s="21" t="s">
        <v>189</v>
      </c>
      <c r="F56" s="19" t="s">
        <v>190</v>
      </c>
      <c r="G56" s="27">
        <v>4567225</v>
      </c>
    </row>
    <row r="57" spans="2:7" ht="15.75" thickBot="1" x14ac:dyDescent="0.3">
      <c r="B57" s="6" t="s">
        <v>191</v>
      </c>
      <c r="C57" s="46" t="s">
        <v>192</v>
      </c>
      <c r="D57" s="20">
        <v>-1053373</v>
      </c>
      <c r="E57" s="21"/>
      <c r="F57" s="28" t="s">
        <v>193</v>
      </c>
      <c r="G57" s="29">
        <f>SUM(G49:G56)</f>
        <v>100632157</v>
      </c>
    </row>
    <row r="58" spans="2:7" x14ac:dyDescent="0.25">
      <c r="B58" s="6" t="s">
        <v>194</v>
      </c>
      <c r="C58" s="46" t="s">
        <v>195</v>
      </c>
      <c r="D58" s="20"/>
      <c r="E58" s="21" t="s">
        <v>196</v>
      </c>
      <c r="F58" s="22" t="s">
        <v>197</v>
      </c>
      <c r="G58" s="23">
        <v>272952</v>
      </c>
    </row>
    <row r="59" spans="2:7" x14ac:dyDescent="0.25">
      <c r="B59" s="6" t="s">
        <v>198</v>
      </c>
      <c r="C59" s="19" t="s">
        <v>199</v>
      </c>
      <c r="D59" s="27">
        <f>-494164-27991</f>
        <v>-522155</v>
      </c>
      <c r="E59" s="21" t="s">
        <v>200</v>
      </c>
      <c r="F59" s="19" t="s">
        <v>201</v>
      </c>
      <c r="G59" s="20">
        <v>15367765</v>
      </c>
    </row>
    <row r="60" spans="2:7" ht="15.75" thickBot="1" x14ac:dyDescent="0.3">
      <c r="B60" s="6"/>
      <c r="C60" s="28" t="s">
        <v>202</v>
      </c>
      <c r="D60" s="29">
        <f>SUM(D56:D59)</f>
        <v>-13115432</v>
      </c>
      <c r="E60" s="21" t="s">
        <v>203</v>
      </c>
      <c r="F60" s="19" t="s">
        <v>204</v>
      </c>
      <c r="G60" s="20">
        <v>4246835</v>
      </c>
    </row>
    <row r="61" spans="2:7" ht="16.5" thickBot="1" x14ac:dyDescent="0.3">
      <c r="B61" s="47"/>
      <c r="C61" s="48" t="s">
        <v>205</v>
      </c>
      <c r="D61" s="49">
        <f>D53+D60</f>
        <v>1854841837</v>
      </c>
      <c r="E61" s="21" t="s">
        <v>206</v>
      </c>
      <c r="F61" s="19" t="s">
        <v>207</v>
      </c>
      <c r="G61" s="20">
        <v>18072824</v>
      </c>
    </row>
    <row r="62" spans="2:7" x14ac:dyDescent="0.25">
      <c r="B62" s="50"/>
      <c r="C62" s="51"/>
      <c r="D62" s="51"/>
      <c r="E62" s="21" t="s">
        <v>208</v>
      </c>
      <c r="F62" s="19" t="s">
        <v>209</v>
      </c>
      <c r="G62" s="20"/>
    </row>
    <row r="63" spans="2:7" x14ac:dyDescent="0.25">
      <c r="B63" s="52"/>
      <c r="C63" s="53" t="s">
        <v>8</v>
      </c>
      <c r="D63" s="53"/>
      <c r="E63" s="21" t="s">
        <v>210</v>
      </c>
      <c r="F63" s="19" t="s">
        <v>211</v>
      </c>
      <c r="G63" s="20">
        <v>9718040</v>
      </c>
    </row>
    <row r="64" spans="2:7" x14ac:dyDescent="0.25">
      <c r="B64" s="54" t="s">
        <v>212</v>
      </c>
      <c r="C64" s="55" t="s">
        <v>213</v>
      </c>
      <c r="D64" s="55">
        <f>[29]Amortizaciones!D6</f>
        <v>14005410</v>
      </c>
      <c r="E64" s="21" t="s">
        <v>214</v>
      </c>
      <c r="F64" s="19" t="s">
        <v>215</v>
      </c>
      <c r="G64" s="20">
        <v>3715775</v>
      </c>
    </row>
    <row r="65" spans="2:7" x14ac:dyDescent="0.25">
      <c r="B65" s="54" t="s">
        <v>216</v>
      </c>
      <c r="C65" s="55" t="s">
        <v>217</v>
      </c>
      <c r="D65" s="55">
        <f>[29]Amortizaciones!D7</f>
        <v>0</v>
      </c>
      <c r="E65" s="21" t="s">
        <v>218</v>
      </c>
      <c r="F65" s="19" t="s">
        <v>219</v>
      </c>
      <c r="G65" s="20">
        <v>506287</v>
      </c>
    </row>
    <row r="66" spans="2:7" x14ac:dyDescent="0.25">
      <c r="B66" s="54" t="s">
        <v>220</v>
      </c>
      <c r="C66" s="55" t="s">
        <v>221</v>
      </c>
      <c r="D66" s="55">
        <f>[29]Amortizaciones!D8</f>
        <v>5856815</v>
      </c>
      <c r="E66" s="21" t="s">
        <v>222</v>
      </c>
      <c r="F66" s="19" t="s">
        <v>223</v>
      </c>
      <c r="G66" s="20">
        <v>6840878</v>
      </c>
    </row>
    <row r="67" spans="2:7" x14ac:dyDescent="0.25">
      <c r="B67" s="54" t="s">
        <v>224</v>
      </c>
      <c r="C67" s="55" t="s">
        <v>225</v>
      </c>
      <c r="D67" s="55">
        <f>[29]Amortizaciones!D9</f>
        <v>1071020</v>
      </c>
      <c r="E67" s="21" t="s">
        <v>226</v>
      </c>
      <c r="F67" s="19" t="s">
        <v>227</v>
      </c>
      <c r="G67" s="20">
        <v>20300</v>
      </c>
    </row>
    <row r="68" spans="2:7" x14ac:dyDescent="0.25">
      <c r="B68" s="54" t="s">
        <v>228</v>
      </c>
      <c r="C68" s="55" t="s">
        <v>229</v>
      </c>
      <c r="D68" s="55">
        <f>[29]Amortizaciones!D10</f>
        <v>1288540</v>
      </c>
      <c r="E68" s="21" t="s">
        <v>230</v>
      </c>
      <c r="F68" s="19" t="s">
        <v>231</v>
      </c>
      <c r="G68" s="20"/>
    </row>
    <row r="69" spans="2:7" x14ac:dyDescent="0.25">
      <c r="B69" s="54" t="s">
        <v>232</v>
      </c>
      <c r="C69" s="55" t="s">
        <v>233</v>
      </c>
      <c r="D69" s="55">
        <f>[29]Amortizaciones!D11</f>
        <v>432767</v>
      </c>
      <c r="E69" s="21" t="s">
        <v>234</v>
      </c>
      <c r="F69" s="19" t="s">
        <v>235</v>
      </c>
      <c r="G69" s="20">
        <v>3023180</v>
      </c>
    </row>
    <row r="70" spans="2:7" x14ac:dyDescent="0.25">
      <c r="B70" s="54" t="s">
        <v>236</v>
      </c>
      <c r="C70" s="55" t="s">
        <v>237</v>
      </c>
      <c r="D70" s="55">
        <f>[29]Amortizaciones!D12</f>
        <v>1400164</v>
      </c>
      <c r="E70" s="21" t="s">
        <v>238</v>
      </c>
      <c r="F70" s="19" t="s">
        <v>239</v>
      </c>
      <c r="G70" s="20"/>
    </row>
    <row r="71" spans="2:7" x14ac:dyDescent="0.25">
      <c r="B71" s="54" t="s">
        <v>240</v>
      </c>
      <c r="C71" s="55" t="s">
        <v>241</v>
      </c>
      <c r="D71" s="55">
        <f>[29]Amortizaciones!D13</f>
        <v>2750765</v>
      </c>
      <c r="E71" s="21" t="s">
        <v>242</v>
      </c>
      <c r="F71" s="19" t="s">
        <v>243</v>
      </c>
      <c r="G71" s="20"/>
    </row>
    <row r="72" spans="2:7" x14ac:dyDescent="0.25">
      <c r="B72" s="54" t="s">
        <v>244</v>
      </c>
      <c r="C72" s="55" t="s">
        <v>245</v>
      </c>
      <c r="D72" s="55">
        <f>[29]Amortizaciones!D14</f>
        <v>3388394</v>
      </c>
      <c r="E72" s="21" t="s">
        <v>246</v>
      </c>
      <c r="F72" s="19" t="s">
        <v>247</v>
      </c>
      <c r="G72" s="20">
        <v>7171564</v>
      </c>
    </row>
    <row r="73" spans="2:7" x14ac:dyDescent="0.25">
      <c r="B73" s="54" t="s">
        <v>248</v>
      </c>
      <c r="C73" s="55" t="s">
        <v>249</v>
      </c>
      <c r="D73" s="55">
        <f>[29]Amortizaciones!D15</f>
        <v>659693</v>
      </c>
      <c r="E73" s="21" t="s">
        <v>250</v>
      </c>
      <c r="F73" s="19" t="s">
        <v>251</v>
      </c>
      <c r="G73" s="20"/>
    </row>
    <row r="74" spans="2:7" x14ac:dyDescent="0.25">
      <c r="B74" s="54" t="s">
        <v>252</v>
      </c>
      <c r="C74" s="55" t="s">
        <v>253</v>
      </c>
      <c r="D74" s="55">
        <f>[29]Amortizaciones!D16</f>
        <v>1441297</v>
      </c>
      <c r="E74" s="21" t="s">
        <v>254</v>
      </c>
      <c r="F74" s="19" t="s">
        <v>255</v>
      </c>
      <c r="G74" s="20"/>
    </row>
    <row r="75" spans="2:7" x14ac:dyDescent="0.25">
      <c r="B75" s="54" t="s">
        <v>256</v>
      </c>
      <c r="C75" s="55" t="s">
        <v>257</v>
      </c>
      <c r="D75" s="55">
        <f>[29]Amortizaciones!D17</f>
        <v>0</v>
      </c>
      <c r="E75" s="21" t="s">
        <v>258</v>
      </c>
      <c r="F75" s="19" t="s">
        <v>259</v>
      </c>
      <c r="G75" s="20">
        <v>7709270</v>
      </c>
    </row>
    <row r="76" spans="2:7" x14ac:dyDescent="0.25">
      <c r="B76" s="54" t="s">
        <v>260</v>
      </c>
      <c r="C76" s="55" t="s">
        <v>261</v>
      </c>
      <c r="D76" s="55">
        <f>[29]Amortizaciones!D18</f>
        <v>0</v>
      </c>
      <c r="E76" s="21" t="s">
        <v>262</v>
      </c>
      <c r="F76" s="19" t="s">
        <v>263</v>
      </c>
      <c r="G76" s="20">
        <v>10321195</v>
      </c>
    </row>
    <row r="77" spans="2:7" x14ac:dyDescent="0.25">
      <c r="B77" s="54" t="s">
        <v>264</v>
      </c>
      <c r="C77" s="55" t="s">
        <v>265</v>
      </c>
      <c r="D77" s="55">
        <f>SUM(D64:D76)</f>
        <v>32294865</v>
      </c>
      <c r="E77" s="21" t="s">
        <v>266</v>
      </c>
      <c r="F77" s="19" t="s">
        <v>267</v>
      </c>
      <c r="G77" s="20">
        <v>6225316</v>
      </c>
    </row>
    <row r="78" spans="2:7" x14ac:dyDescent="0.25">
      <c r="B78" s="54"/>
      <c r="C78" s="55"/>
      <c r="D78" s="55"/>
      <c r="E78" s="21" t="s">
        <v>268</v>
      </c>
      <c r="F78" s="19" t="s">
        <v>269</v>
      </c>
      <c r="G78" s="27">
        <v>3702304</v>
      </c>
    </row>
    <row r="79" spans="2:7" ht="15.75" thickBot="1" x14ac:dyDescent="0.3">
      <c r="B79" s="54"/>
      <c r="C79" s="53" t="s">
        <v>270</v>
      </c>
      <c r="D79" s="56"/>
      <c r="E79" s="21"/>
      <c r="F79" s="28" t="s">
        <v>271</v>
      </c>
      <c r="G79" s="29">
        <f>SUM(G58:G78)</f>
        <v>96914485</v>
      </c>
    </row>
    <row r="80" spans="2:7" x14ac:dyDescent="0.25">
      <c r="B80" s="54" t="s">
        <v>272</v>
      </c>
      <c r="C80" s="55" t="s">
        <v>237</v>
      </c>
      <c r="D80" s="55">
        <f>[29]Amortizaciones!D22</f>
        <v>0</v>
      </c>
      <c r="E80" s="21" t="s">
        <v>273</v>
      </c>
      <c r="F80" s="22" t="s">
        <v>274</v>
      </c>
      <c r="G80" s="23">
        <v>4755716</v>
      </c>
    </row>
    <row r="81" spans="2:7" x14ac:dyDescent="0.25">
      <c r="B81" s="54" t="s">
        <v>275</v>
      </c>
      <c r="C81" s="55" t="s">
        <v>241</v>
      </c>
      <c r="D81" s="55">
        <f>[29]Amortizaciones!D23</f>
        <v>0</v>
      </c>
      <c r="E81" s="21" t="s">
        <v>276</v>
      </c>
      <c r="F81" s="19" t="s">
        <v>277</v>
      </c>
      <c r="G81" s="20">
        <v>3959167</v>
      </c>
    </row>
    <row r="82" spans="2:7" x14ac:dyDescent="0.25">
      <c r="B82" s="54" t="s">
        <v>278</v>
      </c>
      <c r="C82" s="55" t="s">
        <v>245</v>
      </c>
      <c r="D82" s="55">
        <f>[29]Amortizaciones!D24</f>
        <v>0</v>
      </c>
      <c r="E82" s="21" t="s">
        <v>279</v>
      </c>
      <c r="F82" s="19" t="s">
        <v>280</v>
      </c>
      <c r="G82" s="20">
        <v>5063461</v>
      </c>
    </row>
    <row r="83" spans="2:7" x14ac:dyDescent="0.25">
      <c r="B83" s="54" t="s">
        <v>281</v>
      </c>
      <c r="C83" s="55" t="s">
        <v>249</v>
      </c>
      <c r="D83" s="55">
        <f>[29]Amortizaciones!D25</f>
        <v>0</v>
      </c>
      <c r="E83" s="21" t="s">
        <v>282</v>
      </c>
      <c r="F83" s="19" t="s">
        <v>283</v>
      </c>
      <c r="G83" s="20">
        <v>7652236</v>
      </c>
    </row>
    <row r="84" spans="2:7" x14ac:dyDescent="0.25">
      <c r="B84" s="54" t="s">
        <v>284</v>
      </c>
      <c r="C84" s="55" t="s">
        <v>285</v>
      </c>
      <c r="D84" s="55">
        <v>0</v>
      </c>
      <c r="E84" s="21" t="s">
        <v>286</v>
      </c>
      <c r="F84" s="19" t="s">
        <v>287</v>
      </c>
      <c r="G84" s="20">
        <v>8869639</v>
      </c>
    </row>
    <row r="85" spans="2:7" x14ac:dyDescent="0.25">
      <c r="B85" s="54" t="s">
        <v>288</v>
      </c>
      <c r="C85" s="55" t="s">
        <v>289</v>
      </c>
      <c r="D85" s="55">
        <f>[29]Amortizaciones!D27</f>
        <v>0</v>
      </c>
      <c r="E85" s="21" t="s">
        <v>290</v>
      </c>
      <c r="F85" s="19" t="s">
        <v>291</v>
      </c>
      <c r="G85" s="20">
        <v>1910838</v>
      </c>
    </row>
    <row r="86" spans="2:7" x14ac:dyDescent="0.25">
      <c r="B86" s="54" t="s">
        <v>292</v>
      </c>
      <c r="C86" s="55" t="s">
        <v>293</v>
      </c>
      <c r="D86" s="55">
        <f>[29]Amortizaciones!D28</f>
        <v>0</v>
      </c>
      <c r="E86" s="21" t="s">
        <v>294</v>
      </c>
      <c r="F86" s="19" t="s">
        <v>295</v>
      </c>
      <c r="G86" s="20">
        <v>835374</v>
      </c>
    </row>
    <row r="87" spans="2:7" x14ac:dyDescent="0.25">
      <c r="B87" s="54" t="s">
        <v>296</v>
      </c>
      <c r="C87" s="55" t="s">
        <v>297</v>
      </c>
      <c r="D87" s="55">
        <f>[29]Amortizaciones!D29</f>
        <v>0</v>
      </c>
      <c r="E87" s="21" t="s">
        <v>298</v>
      </c>
      <c r="F87" s="19" t="s">
        <v>299</v>
      </c>
      <c r="G87" s="20">
        <v>12037</v>
      </c>
    </row>
    <row r="88" spans="2:7" x14ac:dyDescent="0.25">
      <c r="B88" s="54" t="s">
        <v>300</v>
      </c>
      <c r="C88" s="55" t="s">
        <v>301</v>
      </c>
      <c r="D88" s="55">
        <f>[29]Amortizaciones!D30</f>
        <v>0</v>
      </c>
      <c r="E88" s="21" t="s">
        <v>302</v>
      </c>
      <c r="F88" s="19" t="s">
        <v>303</v>
      </c>
      <c r="G88" s="20">
        <v>3451647</v>
      </c>
    </row>
    <row r="89" spans="2:7" x14ac:dyDescent="0.25">
      <c r="B89" s="54" t="s">
        <v>304</v>
      </c>
      <c r="C89" s="55" t="s">
        <v>213</v>
      </c>
      <c r="D89" s="55">
        <f>[29]Amortizaciones!D31</f>
        <v>0</v>
      </c>
      <c r="E89" s="21" t="s">
        <v>305</v>
      </c>
      <c r="F89" s="19" t="s">
        <v>306</v>
      </c>
      <c r="G89" s="20">
        <v>19875629</v>
      </c>
    </row>
    <row r="90" spans="2:7" x14ac:dyDescent="0.25">
      <c r="B90" s="54" t="s">
        <v>307</v>
      </c>
      <c r="C90" s="55" t="s">
        <v>229</v>
      </c>
      <c r="D90" s="55">
        <f>[29]Amortizaciones!D32</f>
        <v>0</v>
      </c>
      <c r="E90" s="21" t="s">
        <v>308</v>
      </c>
      <c r="F90" s="19" t="s">
        <v>309</v>
      </c>
      <c r="G90" s="20">
        <v>2439492</v>
      </c>
    </row>
    <row r="91" spans="2:7" x14ac:dyDescent="0.25">
      <c r="B91" s="54" t="s">
        <v>310</v>
      </c>
      <c r="C91" s="55" t="s">
        <v>311</v>
      </c>
      <c r="D91" s="55">
        <f>SUM(D80:D90)</f>
        <v>0</v>
      </c>
      <c r="E91" s="52" t="s">
        <v>312</v>
      </c>
      <c r="F91" s="19" t="s">
        <v>313</v>
      </c>
      <c r="G91" s="20">
        <v>3853863</v>
      </c>
    </row>
    <row r="92" spans="2:7" x14ac:dyDescent="0.25">
      <c r="B92" s="54"/>
      <c r="C92" s="57" t="s">
        <v>314</v>
      </c>
      <c r="D92" s="55">
        <f>D77+D91</f>
        <v>32294865</v>
      </c>
      <c r="E92" s="52" t="s">
        <v>315</v>
      </c>
      <c r="F92" s="19" t="s">
        <v>316</v>
      </c>
      <c r="G92" s="20"/>
    </row>
    <row r="93" spans="2:7" x14ac:dyDescent="0.25">
      <c r="E93" s="52" t="s">
        <v>317</v>
      </c>
      <c r="F93" s="19" t="s">
        <v>318</v>
      </c>
      <c r="G93" s="20">
        <v>1484094</v>
      </c>
    </row>
    <row r="94" spans="2:7" x14ac:dyDescent="0.25">
      <c r="E94" s="52" t="s">
        <v>319</v>
      </c>
      <c r="F94" s="19" t="s">
        <v>320</v>
      </c>
      <c r="G94" s="27">
        <v>3603668</v>
      </c>
    </row>
    <row r="95" spans="2:7" ht="13.5" customHeight="1" thickBot="1" x14ac:dyDescent="0.3">
      <c r="E95" s="21"/>
      <c r="F95" s="28" t="s">
        <v>321</v>
      </c>
      <c r="G95" s="29">
        <f>SUM(G80:G94)</f>
        <v>67766861</v>
      </c>
    </row>
    <row r="96" spans="2:7" x14ac:dyDescent="0.25">
      <c r="E96" s="52" t="s">
        <v>322</v>
      </c>
      <c r="F96" s="22" t="s">
        <v>323</v>
      </c>
      <c r="G96" s="23">
        <v>4495177</v>
      </c>
    </row>
    <row r="97" spans="2:7" x14ac:dyDescent="0.25">
      <c r="E97" s="52" t="s">
        <v>324</v>
      </c>
      <c r="F97" s="19" t="s">
        <v>325</v>
      </c>
      <c r="G97" s="20">
        <v>2542779</v>
      </c>
    </row>
    <row r="98" spans="2:7" x14ac:dyDescent="0.25">
      <c r="E98" s="52" t="s">
        <v>326</v>
      </c>
      <c r="F98" s="19" t="s">
        <v>327</v>
      </c>
      <c r="G98" s="20">
        <v>1868942</v>
      </c>
    </row>
    <row r="99" spans="2:7" x14ac:dyDescent="0.25">
      <c r="E99" s="52" t="s">
        <v>328</v>
      </c>
      <c r="F99" s="19" t="s">
        <v>329</v>
      </c>
      <c r="G99" s="20">
        <v>4979397</v>
      </c>
    </row>
    <row r="100" spans="2:7" x14ac:dyDescent="0.25">
      <c r="E100" s="52" t="s">
        <v>330</v>
      </c>
      <c r="F100" s="19" t="s">
        <v>331</v>
      </c>
      <c r="G100" s="27">
        <v>387213</v>
      </c>
    </row>
    <row r="101" spans="2:7" ht="15.75" thickBot="1" x14ac:dyDescent="0.3">
      <c r="E101" s="21"/>
      <c r="F101" s="28" t="s">
        <v>332</v>
      </c>
      <c r="G101" s="29">
        <f>SUM(G96:G100)</f>
        <v>14273508</v>
      </c>
    </row>
    <row r="102" spans="2:7" ht="15.75" thickBot="1" x14ac:dyDescent="0.3">
      <c r="E102" s="52"/>
      <c r="F102" s="59" t="s">
        <v>333</v>
      </c>
      <c r="G102" s="60">
        <f>[29]Amortizaciones!D19</f>
        <v>32294865</v>
      </c>
    </row>
    <row r="103" spans="2:7" x14ac:dyDescent="0.25">
      <c r="E103" s="52" t="s">
        <v>334</v>
      </c>
      <c r="F103" s="19" t="s">
        <v>335</v>
      </c>
      <c r="G103" s="23"/>
    </row>
    <row r="104" spans="2:7" x14ac:dyDescent="0.25">
      <c r="E104" s="52" t="s">
        <v>336</v>
      </c>
      <c r="F104" s="61" t="s">
        <v>337</v>
      </c>
      <c r="G104" s="20"/>
    </row>
    <row r="105" spans="2:7" ht="15.75" thickBot="1" x14ac:dyDescent="0.3">
      <c r="E105" s="21"/>
      <c r="F105" s="28" t="s">
        <v>338</v>
      </c>
      <c r="G105" s="29">
        <f>SUM(G103:G104)</f>
        <v>0</v>
      </c>
    </row>
    <row r="106" spans="2:7" ht="13.7" customHeight="1" thickBot="1" x14ac:dyDescent="0.3">
      <c r="B106" s="6"/>
      <c r="C106" s="62"/>
      <c r="D106" s="62"/>
      <c r="E106" s="52"/>
      <c r="F106" s="48" t="s">
        <v>339</v>
      </c>
      <c r="G106" s="49">
        <f>G19+G27+G32+G48+G57+G79+G95+G101+G102+G105</f>
        <v>1646095114</v>
      </c>
    </row>
    <row r="107" spans="2:7" ht="13.7" customHeight="1" x14ac:dyDescent="0.25">
      <c r="B107" s="6"/>
      <c r="C107" s="62"/>
      <c r="D107" s="62"/>
      <c r="E107" s="21"/>
      <c r="F107" s="63"/>
      <c r="G107" s="64"/>
    </row>
    <row r="108" spans="2:7" ht="13.7" customHeight="1" thickBot="1" x14ac:dyDescent="0.3">
      <c r="B108" s="6"/>
      <c r="C108" s="62"/>
      <c r="D108" s="62"/>
      <c r="E108" s="21"/>
    </row>
    <row r="109" spans="2:7" ht="13.7" customHeight="1" thickBot="1" x14ac:dyDescent="0.3">
      <c r="B109" s="6"/>
      <c r="C109" s="62"/>
      <c r="D109" s="62"/>
      <c r="E109" s="21"/>
      <c r="F109" s="13" t="s">
        <v>340</v>
      </c>
      <c r="G109" s="65">
        <f>D61-G106</f>
        <v>208746723</v>
      </c>
    </row>
    <row r="110" spans="2:7" ht="13.7" customHeight="1" thickBot="1" x14ac:dyDescent="0.3">
      <c r="B110" s="6"/>
      <c r="C110" s="62"/>
      <c r="D110" s="62"/>
      <c r="E110" s="21"/>
    </row>
    <row r="111" spans="2:7" ht="13.7" customHeight="1" thickBot="1" x14ac:dyDescent="0.3">
      <c r="C111" s="48" t="s">
        <v>270</v>
      </c>
      <c r="D111" s="17">
        <f>+[29]E.S.P.!D6</f>
        <v>2020</v>
      </c>
      <c r="E111" s="52"/>
      <c r="F111" s="48" t="s">
        <v>341</v>
      </c>
      <c r="G111" s="17">
        <f>+[29]E.S.P.!D6</f>
        <v>2020</v>
      </c>
    </row>
    <row r="112" spans="2:7" ht="13.7" customHeight="1" x14ac:dyDescent="0.25">
      <c r="B112" s="6" t="s">
        <v>342</v>
      </c>
      <c r="C112" s="66" t="s">
        <v>343</v>
      </c>
      <c r="D112" s="67">
        <v>14520332</v>
      </c>
      <c r="E112" s="21" t="s">
        <v>344</v>
      </c>
      <c r="F112" s="66" t="s">
        <v>309</v>
      </c>
      <c r="G112" s="67"/>
    </row>
    <row r="113" spans="2:7" ht="13.7" customHeight="1" x14ac:dyDescent="0.25">
      <c r="B113" s="6" t="s">
        <v>345</v>
      </c>
      <c r="C113" s="68" t="s">
        <v>346</v>
      </c>
      <c r="D113" s="69">
        <v>70313234</v>
      </c>
      <c r="E113" s="21" t="s">
        <v>347</v>
      </c>
      <c r="F113" s="68" t="s">
        <v>348</v>
      </c>
      <c r="G113" s="69"/>
    </row>
    <row r="114" spans="2:7" ht="13.7" customHeight="1" x14ac:dyDescent="0.25">
      <c r="B114" s="6" t="s">
        <v>349</v>
      </c>
      <c r="C114" s="68" t="s">
        <v>48</v>
      </c>
      <c r="D114" s="69"/>
      <c r="E114" s="21" t="s">
        <v>350</v>
      </c>
      <c r="F114" s="68" t="s">
        <v>351</v>
      </c>
      <c r="G114" s="69"/>
    </row>
    <row r="115" spans="2:7" ht="13.7" customHeight="1" x14ac:dyDescent="0.25">
      <c r="B115" s="6" t="s">
        <v>352</v>
      </c>
      <c r="C115" s="68" t="s">
        <v>353</v>
      </c>
      <c r="D115" s="69">
        <v>632805</v>
      </c>
      <c r="E115" s="21" t="s">
        <v>354</v>
      </c>
      <c r="F115" s="68" t="s">
        <v>355</v>
      </c>
      <c r="G115" s="69"/>
    </row>
    <row r="116" spans="2:7" ht="13.7" customHeight="1" x14ac:dyDescent="0.25">
      <c r="B116" s="6" t="s">
        <v>356</v>
      </c>
      <c r="C116" s="68" t="s">
        <v>357</v>
      </c>
      <c r="D116" s="69">
        <v>3064050</v>
      </c>
      <c r="E116" s="21" t="s">
        <v>358</v>
      </c>
      <c r="F116" s="68" t="s">
        <v>359</v>
      </c>
      <c r="G116" s="69">
        <v>661610</v>
      </c>
    </row>
    <row r="117" spans="2:7" ht="13.7" customHeight="1" x14ac:dyDescent="0.25">
      <c r="B117" s="6" t="s">
        <v>360</v>
      </c>
      <c r="C117" s="68" t="s">
        <v>361</v>
      </c>
      <c r="D117" s="69"/>
      <c r="E117" s="21" t="s">
        <v>362</v>
      </c>
      <c r="F117" s="68" t="s">
        <v>363</v>
      </c>
      <c r="G117" s="69"/>
    </row>
    <row r="118" spans="2:7" ht="13.7" customHeight="1" x14ac:dyDescent="0.25">
      <c r="B118" s="6" t="s">
        <v>364</v>
      </c>
      <c r="C118" s="68" t="s">
        <v>365</v>
      </c>
      <c r="D118" s="69"/>
      <c r="E118" s="21" t="s">
        <v>366</v>
      </c>
      <c r="F118" s="68" t="s">
        <v>367</v>
      </c>
      <c r="G118" s="69"/>
    </row>
    <row r="119" spans="2:7" ht="13.7" customHeight="1" x14ac:dyDescent="0.25">
      <c r="B119" s="6" t="s">
        <v>368</v>
      </c>
      <c r="C119" s="68" t="s">
        <v>369</v>
      </c>
      <c r="D119" s="69">
        <v>2243530</v>
      </c>
      <c r="E119" s="21" t="s">
        <v>370</v>
      </c>
      <c r="F119" s="68" t="s">
        <v>371</v>
      </c>
      <c r="G119" s="69"/>
    </row>
    <row r="120" spans="2:7" ht="13.7" customHeight="1" x14ac:dyDescent="0.25">
      <c r="B120" s="6" t="s">
        <v>372</v>
      </c>
      <c r="C120" s="68" t="s">
        <v>373</v>
      </c>
      <c r="D120" s="69">
        <v>0</v>
      </c>
      <c r="E120" s="21" t="s">
        <v>374</v>
      </c>
      <c r="F120" s="68" t="s">
        <v>375</v>
      </c>
      <c r="G120" s="69"/>
    </row>
    <row r="121" spans="2:7" ht="13.7" customHeight="1" x14ac:dyDescent="0.25">
      <c r="B121" s="6" t="s">
        <v>376</v>
      </c>
      <c r="C121" s="19" t="s">
        <v>377</v>
      </c>
      <c r="D121" s="69">
        <f>3899438</f>
        <v>3899438</v>
      </c>
      <c r="E121" s="21" t="s">
        <v>378</v>
      </c>
      <c r="F121" s="68" t="s">
        <v>379</v>
      </c>
      <c r="G121" s="69">
        <v>10183665</v>
      </c>
    </row>
    <row r="122" spans="2:7" ht="13.7" customHeight="1" thickBot="1" x14ac:dyDescent="0.3">
      <c r="B122" s="6"/>
      <c r="C122" s="28" t="s">
        <v>380</v>
      </c>
      <c r="D122" s="37">
        <f>SUM(D112:D121)</f>
        <v>94673389</v>
      </c>
      <c r="E122" s="21" t="s">
        <v>381</v>
      </c>
      <c r="F122" s="19" t="s">
        <v>382</v>
      </c>
      <c r="G122" s="20">
        <v>18139</v>
      </c>
    </row>
    <row r="123" spans="2:7" ht="13.7" customHeight="1" thickBot="1" x14ac:dyDescent="0.3">
      <c r="B123" s="6" t="s">
        <v>383</v>
      </c>
      <c r="C123" s="70" t="s">
        <v>309</v>
      </c>
      <c r="D123" s="67"/>
      <c r="E123" s="52"/>
      <c r="F123" s="28" t="s">
        <v>384</v>
      </c>
      <c r="G123" s="37">
        <f>SUM(G112:G122)</f>
        <v>10863414</v>
      </c>
    </row>
    <row r="124" spans="2:7" ht="13.7" customHeight="1" x14ac:dyDescent="0.25">
      <c r="B124" s="6" t="s">
        <v>385</v>
      </c>
      <c r="C124" s="68" t="s">
        <v>313</v>
      </c>
      <c r="D124" s="69"/>
      <c r="E124" s="21" t="s">
        <v>386</v>
      </c>
      <c r="F124" s="68" t="s">
        <v>387</v>
      </c>
      <c r="G124" s="69">
        <v>1031219</v>
      </c>
    </row>
    <row r="125" spans="2:7" ht="13.7" customHeight="1" x14ac:dyDescent="0.25">
      <c r="B125" s="6" t="s">
        <v>388</v>
      </c>
      <c r="C125" s="19" t="s">
        <v>389</v>
      </c>
      <c r="D125" s="69"/>
      <c r="E125" s="21" t="s">
        <v>390</v>
      </c>
      <c r="F125" s="68" t="s">
        <v>391</v>
      </c>
      <c r="G125" s="69">
        <v>279687</v>
      </c>
    </row>
    <row r="126" spans="2:7" ht="13.7" customHeight="1" thickBot="1" x14ac:dyDescent="0.3">
      <c r="B126" s="6"/>
      <c r="C126" s="28" t="s">
        <v>392</v>
      </c>
      <c r="D126" s="37">
        <f>SUM(D123:D125)</f>
        <v>0</v>
      </c>
      <c r="E126" s="21" t="s">
        <v>393</v>
      </c>
      <c r="F126" s="68" t="s">
        <v>394</v>
      </c>
      <c r="G126" s="69"/>
    </row>
    <row r="127" spans="2:7" ht="13.7" customHeight="1" x14ac:dyDescent="0.25">
      <c r="B127" s="6" t="s">
        <v>395</v>
      </c>
      <c r="C127" s="66" t="s">
        <v>274</v>
      </c>
      <c r="D127" s="67"/>
      <c r="E127" s="21" t="s">
        <v>396</v>
      </c>
      <c r="F127" s="68" t="s">
        <v>397</v>
      </c>
      <c r="G127" s="69"/>
    </row>
    <row r="128" spans="2:7" ht="13.7" customHeight="1" x14ac:dyDescent="0.25">
      <c r="B128" s="6" t="s">
        <v>398</v>
      </c>
      <c r="C128" s="68" t="s">
        <v>399</v>
      </c>
      <c r="D128" s="69">
        <v>2557741</v>
      </c>
      <c r="E128" s="21" t="s">
        <v>400</v>
      </c>
      <c r="F128" s="68" t="s">
        <v>401</v>
      </c>
      <c r="G128" s="69"/>
    </row>
    <row r="129" spans="2:7" ht="13.7" customHeight="1" x14ac:dyDescent="0.25">
      <c r="B129" s="6" t="s">
        <v>402</v>
      </c>
      <c r="C129" s="68" t="s">
        <v>277</v>
      </c>
      <c r="D129" s="69"/>
      <c r="E129" s="21" t="s">
        <v>403</v>
      </c>
      <c r="F129" s="68" t="s">
        <v>404</v>
      </c>
      <c r="G129" s="69">
        <v>233380</v>
      </c>
    </row>
    <row r="130" spans="2:7" ht="13.7" customHeight="1" x14ac:dyDescent="0.25">
      <c r="B130" s="6" t="s">
        <v>405</v>
      </c>
      <c r="C130" s="68" t="s">
        <v>283</v>
      </c>
      <c r="D130" s="69">
        <v>867663</v>
      </c>
      <c r="E130" s="21" t="s">
        <v>406</v>
      </c>
      <c r="F130" s="68" t="s">
        <v>407</v>
      </c>
      <c r="G130" s="69"/>
    </row>
    <row r="131" spans="2:7" ht="13.7" customHeight="1" x14ac:dyDescent="0.25">
      <c r="B131" s="6" t="s">
        <v>408</v>
      </c>
      <c r="C131" s="68" t="s">
        <v>287</v>
      </c>
      <c r="D131" s="69">
        <v>2175018</v>
      </c>
      <c r="E131" s="21" t="s">
        <v>409</v>
      </c>
      <c r="F131" s="68" t="s">
        <v>410</v>
      </c>
      <c r="G131" s="69"/>
    </row>
    <row r="132" spans="2:7" ht="13.7" customHeight="1" x14ac:dyDescent="0.25">
      <c r="B132" s="6" t="s">
        <v>411</v>
      </c>
      <c r="C132" s="68" t="s">
        <v>291</v>
      </c>
      <c r="D132" s="69">
        <v>706321</v>
      </c>
      <c r="E132" s="21" t="s">
        <v>412</v>
      </c>
      <c r="F132" s="68" t="s">
        <v>413</v>
      </c>
      <c r="G132" s="69"/>
    </row>
    <row r="133" spans="2:7" ht="13.7" customHeight="1" x14ac:dyDescent="0.25">
      <c r="B133" s="6" t="s">
        <v>414</v>
      </c>
      <c r="C133" s="68" t="s">
        <v>295</v>
      </c>
      <c r="D133" s="69">
        <v>326267</v>
      </c>
      <c r="E133" s="21" t="s">
        <v>415</v>
      </c>
      <c r="F133" s="68" t="s">
        <v>416</v>
      </c>
      <c r="G133" s="69">
        <v>5187089</v>
      </c>
    </row>
    <row r="134" spans="2:7" ht="13.7" customHeight="1" x14ac:dyDescent="0.25">
      <c r="B134" s="6" t="s">
        <v>417</v>
      </c>
      <c r="C134" s="68" t="s">
        <v>418</v>
      </c>
      <c r="D134" s="69">
        <v>1126984</v>
      </c>
      <c r="E134" s="21" t="s">
        <v>419</v>
      </c>
      <c r="F134" s="68" t="s">
        <v>420</v>
      </c>
      <c r="G134" s="69"/>
    </row>
    <row r="135" spans="2:7" ht="13.7" customHeight="1" x14ac:dyDescent="0.25">
      <c r="B135" s="6" t="s">
        <v>421</v>
      </c>
      <c r="C135" s="68" t="s">
        <v>422</v>
      </c>
      <c r="D135" s="69">
        <v>1281591</v>
      </c>
      <c r="E135" s="21" t="s">
        <v>423</v>
      </c>
      <c r="F135" s="68" t="s">
        <v>424</v>
      </c>
      <c r="G135" s="69"/>
    </row>
    <row r="136" spans="2:7" ht="13.7" customHeight="1" x14ac:dyDescent="0.25">
      <c r="B136" s="6" t="s">
        <v>425</v>
      </c>
      <c r="C136" s="68" t="s">
        <v>318</v>
      </c>
      <c r="D136" s="69">
        <f>47856793+623</f>
        <v>47857416</v>
      </c>
      <c r="E136" s="21" t="s">
        <v>426</v>
      </c>
      <c r="F136" s="68" t="s">
        <v>427</v>
      </c>
      <c r="G136" s="69">
        <v>173830</v>
      </c>
    </row>
    <row r="137" spans="2:7" ht="13.7" customHeight="1" x14ac:dyDescent="0.25">
      <c r="B137" s="6" t="s">
        <v>428</v>
      </c>
      <c r="C137" s="19" t="s">
        <v>320</v>
      </c>
      <c r="D137" s="71">
        <v>365227</v>
      </c>
      <c r="E137" s="21" t="s">
        <v>429</v>
      </c>
      <c r="F137" s="68" t="s">
        <v>430</v>
      </c>
      <c r="G137" s="69">
        <v>33775519</v>
      </c>
    </row>
    <row r="138" spans="2:7" ht="13.7" customHeight="1" thickBot="1" x14ac:dyDescent="0.3">
      <c r="B138" s="6"/>
      <c r="C138" s="28" t="s">
        <v>321</v>
      </c>
      <c r="D138" s="37">
        <f>SUM(D127:D137)</f>
        <v>57264228</v>
      </c>
      <c r="E138" s="21" t="s">
        <v>431</v>
      </c>
      <c r="F138" s="19" t="s">
        <v>432</v>
      </c>
      <c r="G138" s="20">
        <v>79739</v>
      </c>
    </row>
    <row r="139" spans="2:7" ht="13.7" customHeight="1" thickBot="1" x14ac:dyDescent="0.3">
      <c r="B139" s="6" t="s">
        <v>433</v>
      </c>
      <c r="C139" s="66" t="s">
        <v>327</v>
      </c>
      <c r="D139" s="67"/>
      <c r="E139" s="7"/>
      <c r="F139" s="28" t="s">
        <v>434</v>
      </c>
      <c r="G139" s="37">
        <f>SUM(G124:G138)</f>
        <v>40760463</v>
      </c>
    </row>
    <row r="140" spans="2:7" ht="13.7" customHeight="1" thickBot="1" x14ac:dyDescent="0.3">
      <c r="B140" s="6" t="s">
        <v>435</v>
      </c>
      <c r="C140" s="68" t="s">
        <v>329</v>
      </c>
      <c r="D140" s="69">
        <v>23716</v>
      </c>
      <c r="E140" s="7"/>
      <c r="F140" s="48" t="s">
        <v>436</v>
      </c>
      <c r="G140" s="72">
        <f>G123-G139</f>
        <v>-29897049</v>
      </c>
    </row>
    <row r="141" spans="2:7" ht="13.7" customHeight="1" x14ac:dyDescent="0.25">
      <c r="B141" s="6" t="s">
        <v>437</v>
      </c>
      <c r="C141" s="19" t="s">
        <v>331</v>
      </c>
      <c r="D141" s="71">
        <f>2142969+187440</f>
        <v>2330409</v>
      </c>
      <c r="E141" s="73"/>
    </row>
    <row r="142" spans="2:7" ht="13.7" customHeight="1" thickBot="1" x14ac:dyDescent="0.3">
      <c r="B142" s="6"/>
      <c r="C142" s="28" t="s">
        <v>332</v>
      </c>
      <c r="D142" s="37">
        <f>SUM(D139:D141)</f>
        <v>2354125</v>
      </c>
      <c r="E142" s="73"/>
    </row>
    <row r="143" spans="2:7" ht="13.7" customHeight="1" thickBot="1" x14ac:dyDescent="0.3">
      <c r="B143" s="6"/>
      <c r="C143" s="59" t="s">
        <v>438</v>
      </c>
      <c r="D143" s="74">
        <f>[29]Amortizaciones!D33</f>
        <v>0</v>
      </c>
      <c r="E143" s="21"/>
      <c r="F143" s="48" t="s">
        <v>439</v>
      </c>
      <c r="G143" s="17">
        <f>+[29]E.S.P.!D6</f>
        <v>2020</v>
      </c>
    </row>
    <row r="144" spans="2:7" ht="13.7" customHeight="1" x14ac:dyDescent="0.25">
      <c r="B144" s="6" t="s">
        <v>440</v>
      </c>
      <c r="C144" s="66" t="s">
        <v>441</v>
      </c>
      <c r="D144" s="67">
        <v>1082188</v>
      </c>
      <c r="E144" s="21" t="s">
        <v>442</v>
      </c>
      <c r="F144" s="66" t="s">
        <v>443</v>
      </c>
      <c r="G144" s="67">
        <v>19579</v>
      </c>
    </row>
    <row r="145" spans="2:7" ht="13.7" customHeight="1" x14ac:dyDescent="0.25">
      <c r="B145" s="6" t="s">
        <v>444</v>
      </c>
      <c r="C145" s="68" t="s">
        <v>445</v>
      </c>
      <c r="D145" s="69">
        <v>4358149</v>
      </c>
      <c r="E145" s="21" t="s">
        <v>446</v>
      </c>
      <c r="F145" s="68" t="s">
        <v>447</v>
      </c>
      <c r="G145" s="69">
        <v>1491658</v>
      </c>
    </row>
    <row r="146" spans="2:7" ht="13.7" customHeight="1" x14ac:dyDescent="0.25">
      <c r="B146" s="6" t="s">
        <v>448</v>
      </c>
      <c r="C146" s="75" t="s">
        <v>449</v>
      </c>
      <c r="D146" s="69"/>
      <c r="E146" s="21" t="s">
        <v>450</v>
      </c>
      <c r="F146" s="68" t="s">
        <v>451</v>
      </c>
      <c r="G146" s="69">
        <v>26278</v>
      </c>
    </row>
    <row r="147" spans="2:7" ht="13.7" customHeight="1" x14ac:dyDescent="0.25">
      <c r="B147" s="6" t="s">
        <v>452</v>
      </c>
      <c r="C147" s="19" t="s">
        <v>453</v>
      </c>
      <c r="D147" s="71">
        <f>109318+145311</f>
        <v>254629</v>
      </c>
      <c r="E147" s="21" t="s">
        <v>454</v>
      </c>
      <c r="F147" s="68" t="s">
        <v>455</v>
      </c>
      <c r="G147" s="69"/>
    </row>
    <row r="148" spans="2:7" ht="13.7" customHeight="1" thickBot="1" x14ac:dyDescent="0.3">
      <c r="B148" s="6"/>
      <c r="C148" s="28" t="s">
        <v>456</v>
      </c>
      <c r="D148" s="37">
        <f>SUM(D144:D147)</f>
        <v>5694966</v>
      </c>
      <c r="E148" s="21" t="s">
        <v>457</v>
      </c>
      <c r="F148" s="68" t="s">
        <v>458</v>
      </c>
      <c r="G148" s="69"/>
    </row>
    <row r="149" spans="2:7" ht="13.7" customHeight="1" x14ac:dyDescent="0.25">
      <c r="B149" s="6" t="s">
        <v>459</v>
      </c>
      <c r="C149" s="66" t="s">
        <v>460</v>
      </c>
      <c r="D149" s="67"/>
      <c r="E149" s="21" t="s">
        <v>461</v>
      </c>
      <c r="F149" s="68" t="s">
        <v>462</v>
      </c>
      <c r="G149" s="69"/>
    </row>
    <row r="150" spans="2:7" ht="13.7" customHeight="1" x14ac:dyDescent="0.25">
      <c r="B150" s="6" t="s">
        <v>463</v>
      </c>
      <c r="C150" s="68" t="s">
        <v>464</v>
      </c>
      <c r="D150" s="69"/>
      <c r="E150" s="21" t="s">
        <v>465</v>
      </c>
      <c r="F150" s="68" t="s">
        <v>466</v>
      </c>
      <c r="G150" s="69"/>
    </row>
    <row r="151" spans="2:7" ht="13.7" customHeight="1" x14ac:dyDescent="0.25">
      <c r="B151" s="6" t="s">
        <v>467</v>
      </c>
      <c r="C151" s="19" t="s">
        <v>468</v>
      </c>
      <c r="D151" s="71"/>
      <c r="E151" s="21" t="s">
        <v>469</v>
      </c>
      <c r="F151" s="68" t="s">
        <v>470</v>
      </c>
      <c r="G151" s="69">
        <v>23765559</v>
      </c>
    </row>
    <row r="152" spans="2:7" ht="13.7" customHeight="1" thickBot="1" x14ac:dyDescent="0.3">
      <c r="B152" s="6"/>
      <c r="C152" s="28" t="s">
        <v>471</v>
      </c>
      <c r="D152" s="37">
        <f>SUM(D149:D151)</f>
        <v>0</v>
      </c>
      <c r="E152" s="21" t="s">
        <v>472</v>
      </c>
      <c r="F152" s="68" t="s">
        <v>473</v>
      </c>
      <c r="G152" s="69"/>
    </row>
    <row r="153" spans="2:7" ht="13.7" customHeight="1" thickBot="1" x14ac:dyDescent="0.3">
      <c r="B153" s="6"/>
      <c r="C153" s="48" t="s">
        <v>474</v>
      </c>
      <c r="D153" s="76">
        <f>D122+D126+D138+D142+D143+D148+D152</f>
        <v>159986708</v>
      </c>
      <c r="E153" s="21" t="s">
        <v>475</v>
      </c>
      <c r="F153" s="19" t="s">
        <v>476</v>
      </c>
      <c r="G153" s="20">
        <v>439817</v>
      </c>
    </row>
    <row r="154" spans="2:7" ht="13.7" customHeight="1" thickBot="1" x14ac:dyDescent="0.3">
      <c r="B154" s="6"/>
      <c r="E154" s="21"/>
      <c r="F154" s="28" t="s">
        <v>477</v>
      </c>
      <c r="G154" s="37">
        <f>SUM(G144:G153)</f>
        <v>25742891</v>
      </c>
    </row>
    <row r="155" spans="2:7" ht="13.7" customHeight="1" thickBot="1" x14ac:dyDescent="0.3">
      <c r="B155" s="6"/>
      <c r="C155" s="77" t="s">
        <v>478</v>
      </c>
      <c r="D155" s="65">
        <f>G109-D153</f>
        <v>48760015</v>
      </c>
      <c r="E155" s="21" t="s">
        <v>479</v>
      </c>
      <c r="F155" s="66" t="s">
        <v>480</v>
      </c>
      <c r="G155" s="67">
        <v>1496269</v>
      </c>
    </row>
    <row r="156" spans="2:7" ht="13.7" customHeight="1" x14ac:dyDescent="0.25">
      <c r="E156" s="21" t="s">
        <v>481</v>
      </c>
      <c r="F156" s="68" t="s">
        <v>482</v>
      </c>
      <c r="G156" s="69">
        <v>10790716</v>
      </c>
    </row>
    <row r="157" spans="2:7" ht="13.7" customHeight="1" x14ac:dyDescent="0.25">
      <c r="E157" s="21" t="s">
        <v>483</v>
      </c>
      <c r="F157" s="68" t="s">
        <v>484</v>
      </c>
      <c r="G157" s="69"/>
    </row>
    <row r="158" spans="2:7" ht="13.7" customHeight="1" x14ac:dyDescent="0.25">
      <c r="E158" s="21" t="s">
        <v>485</v>
      </c>
      <c r="F158" s="68" t="s">
        <v>486</v>
      </c>
      <c r="G158" s="69"/>
    </row>
    <row r="159" spans="2:7" ht="13.7" customHeight="1" x14ac:dyDescent="0.25">
      <c r="E159" s="21" t="s">
        <v>487</v>
      </c>
      <c r="F159" s="68" t="s">
        <v>488</v>
      </c>
      <c r="G159" s="69">
        <v>23509</v>
      </c>
    </row>
    <row r="160" spans="2:7" ht="13.7" customHeight="1" x14ac:dyDescent="0.25">
      <c r="E160" s="21" t="s">
        <v>489</v>
      </c>
      <c r="F160" s="68" t="s">
        <v>490</v>
      </c>
      <c r="G160" s="69">
        <v>18599</v>
      </c>
    </row>
    <row r="161" spans="5:7" ht="13.7" customHeight="1" x14ac:dyDescent="0.25">
      <c r="E161" s="21" t="s">
        <v>491</v>
      </c>
      <c r="F161" s="68" t="s">
        <v>492</v>
      </c>
      <c r="G161" s="69">
        <v>7597449</v>
      </c>
    </row>
    <row r="162" spans="5:7" ht="13.7" customHeight="1" x14ac:dyDescent="0.25">
      <c r="E162" s="21" t="s">
        <v>493</v>
      </c>
      <c r="F162" s="68" t="s">
        <v>494</v>
      </c>
      <c r="G162" s="69"/>
    </row>
    <row r="163" spans="5:7" ht="13.7" customHeight="1" x14ac:dyDescent="0.25">
      <c r="E163" s="21" t="s">
        <v>495</v>
      </c>
      <c r="F163" s="68" t="s">
        <v>496</v>
      </c>
      <c r="G163" s="69"/>
    </row>
    <row r="164" spans="5:7" ht="13.7" customHeight="1" x14ac:dyDescent="0.25">
      <c r="E164" s="21" t="s">
        <v>497</v>
      </c>
      <c r="F164" s="68" t="s">
        <v>498</v>
      </c>
      <c r="G164" s="69"/>
    </row>
    <row r="165" spans="5:7" ht="13.7" customHeight="1" x14ac:dyDescent="0.25">
      <c r="E165" s="21" t="s">
        <v>499</v>
      </c>
      <c r="F165" s="68" t="s">
        <v>500</v>
      </c>
      <c r="G165" s="69"/>
    </row>
    <row r="166" spans="5:7" ht="13.7" customHeight="1" x14ac:dyDescent="0.25">
      <c r="E166" s="21" t="s">
        <v>501</v>
      </c>
      <c r="F166" s="68" t="s">
        <v>502</v>
      </c>
      <c r="G166" s="69">
        <v>3926836</v>
      </c>
    </row>
    <row r="167" spans="5:7" ht="13.7" customHeight="1" x14ac:dyDescent="0.25">
      <c r="E167" s="21" t="s">
        <v>503</v>
      </c>
      <c r="F167" s="19" t="s">
        <v>504</v>
      </c>
      <c r="G167" s="20">
        <v>1023798</v>
      </c>
    </row>
    <row r="168" spans="5:7" ht="13.7" customHeight="1" thickBot="1" x14ac:dyDescent="0.3">
      <c r="E168" s="21"/>
      <c r="F168" s="28" t="s">
        <v>505</v>
      </c>
      <c r="G168" s="37">
        <f>SUM(G155:G167)</f>
        <v>24877176</v>
      </c>
    </row>
    <row r="169" spans="5:7" ht="13.7" customHeight="1" thickBot="1" x14ac:dyDescent="0.3">
      <c r="E169" s="21"/>
      <c r="F169" s="48" t="s">
        <v>506</v>
      </c>
      <c r="G169" s="72">
        <f>G154-G168</f>
        <v>865715</v>
      </c>
    </row>
    <row r="170" spans="5:7" ht="13.7" customHeight="1" thickBot="1" x14ac:dyDescent="0.3">
      <c r="E170" s="21"/>
      <c r="F170" s="78"/>
      <c r="G170" s="78"/>
    </row>
    <row r="171" spans="5:7" ht="13.7" customHeight="1" thickBot="1" x14ac:dyDescent="0.3">
      <c r="E171" s="21"/>
      <c r="F171" s="77" t="s">
        <v>507</v>
      </c>
      <c r="G171" s="79"/>
    </row>
    <row r="172" spans="5:7" ht="13.7" customHeight="1" thickBot="1" x14ac:dyDescent="0.3">
      <c r="E172" s="21"/>
      <c r="F172" s="80"/>
      <c r="G172" s="81">
        <f>+D155+G140+G169</f>
        <v>19728681</v>
      </c>
    </row>
    <row r="173" spans="5:7" ht="13.7" customHeight="1" thickBot="1" x14ac:dyDescent="0.3">
      <c r="E173" s="21"/>
      <c r="F173" s="5"/>
      <c r="G173" s="5"/>
    </row>
    <row r="174" spans="5:7" ht="13.7" customHeight="1" thickBot="1" x14ac:dyDescent="0.3">
      <c r="E174" s="21"/>
      <c r="F174" s="48" t="s">
        <v>508</v>
      </c>
      <c r="G174" s="17">
        <f>+G143</f>
        <v>2020</v>
      </c>
    </row>
    <row r="175" spans="5:7" ht="13.7" customHeight="1" x14ac:dyDescent="0.25">
      <c r="E175" s="21"/>
      <c r="F175" s="66" t="s">
        <v>509</v>
      </c>
      <c r="G175" s="67">
        <v>15436044</v>
      </c>
    </row>
    <row r="176" spans="5:7" ht="13.7" customHeight="1" x14ac:dyDescent="0.25">
      <c r="E176" s="21"/>
      <c r="F176" s="68" t="s">
        <v>510</v>
      </c>
      <c r="G176" s="69"/>
    </row>
    <row r="177" spans="1:8" ht="13.7" customHeight="1" thickBot="1" x14ac:dyDescent="0.3">
      <c r="F177" s="68" t="s">
        <v>511</v>
      </c>
      <c r="G177" s="69">
        <v>0</v>
      </c>
    </row>
    <row r="178" spans="1:8" ht="13.7" customHeight="1" thickBot="1" x14ac:dyDescent="0.3">
      <c r="F178" s="48" t="s">
        <v>512</v>
      </c>
      <c r="G178" s="72">
        <f>SUM(G175:G177)</f>
        <v>15436044</v>
      </c>
    </row>
    <row r="179" spans="1:8" ht="13.7" customHeight="1" thickBot="1" x14ac:dyDescent="0.3"/>
    <row r="180" spans="1:8" ht="13.7" customHeight="1" thickBot="1" x14ac:dyDescent="0.3">
      <c r="F180" s="77" t="s">
        <v>513</v>
      </c>
      <c r="G180" s="79"/>
    </row>
    <row r="181" spans="1:8" ht="13.7" customHeight="1" thickBot="1" x14ac:dyDescent="0.3">
      <c r="F181" s="83"/>
      <c r="G181" s="81">
        <f>+G172+G178</f>
        <v>35164725</v>
      </c>
    </row>
    <row r="182" spans="1:8" ht="13.7" customHeight="1" x14ac:dyDescent="0.25"/>
    <row r="183" spans="1:8" ht="13.5" customHeight="1" x14ac:dyDescent="0.25"/>
    <row r="184" spans="1:8" ht="13.7" customHeight="1" x14ac:dyDescent="0.25">
      <c r="E184" s="84"/>
      <c r="F184" s="84"/>
      <c r="G184" s="84"/>
      <c r="H184" s="84"/>
    </row>
    <row r="185" spans="1:8" s="84" customFormat="1" ht="13.7" customHeight="1" x14ac:dyDescent="0.25">
      <c r="A185" s="85"/>
      <c r="E185" s="82"/>
      <c r="F185" s="86"/>
      <c r="G185" s="86"/>
    </row>
    <row r="186" spans="1:8" s="84" customFormat="1" ht="12.75" x14ac:dyDescent="0.25">
      <c r="A186" s="85"/>
      <c r="E186" s="82"/>
      <c r="F186" s="86"/>
      <c r="G186" s="86"/>
    </row>
    <row r="187" spans="1:8" s="84" customFormat="1" ht="12.75" hidden="1" x14ac:dyDescent="0.25">
      <c r="A187" s="85"/>
      <c r="E187" s="82"/>
      <c r="F187" s="86"/>
      <c r="G187" s="86"/>
    </row>
    <row r="188" spans="1:8" s="84" customFormat="1" ht="12.75" hidden="1" x14ac:dyDescent="0.25">
      <c r="A188" s="85"/>
      <c r="E188" s="82"/>
      <c r="F188" s="86"/>
      <c r="G188" s="86"/>
    </row>
    <row r="189" spans="1:8" s="84" customFormat="1" ht="12.75" hidden="1" x14ac:dyDescent="0.25">
      <c r="A189" s="85"/>
      <c r="E189" s="82"/>
      <c r="F189" s="86"/>
      <c r="G189" s="86"/>
    </row>
    <row r="190" spans="1:8" s="84" customFormat="1" ht="12.75" hidden="1" x14ac:dyDescent="0.25">
      <c r="A190" s="85"/>
      <c r="E190" s="82"/>
      <c r="F190" s="86"/>
      <c r="G190" s="86"/>
    </row>
    <row r="191" spans="1:8" s="84" customFormat="1" ht="12.75" hidden="1" x14ac:dyDescent="0.25">
      <c r="A191" s="85"/>
      <c r="E191" s="82"/>
      <c r="F191" s="86"/>
      <c r="G191" s="86"/>
    </row>
    <row r="192" spans="1:8" s="84" customFormat="1" ht="12.75" hidden="1" x14ac:dyDescent="0.25">
      <c r="A192" s="85"/>
      <c r="E192" s="82"/>
      <c r="F192" s="86"/>
      <c r="G192" s="86"/>
    </row>
    <row r="193" spans="5:7" s="84" customFormat="1" ht="12.75" hidden="1" x14ac:dyDescent="0.25">
      <c r="E193" s="82"/>
      <c r="F193" s="86"/>
      <c r="G193" s="86"/>
    </row>
    <row r="194" spans="5:7" s="84" customFormat="1" ht="12.75" hidden="1" x14ac:dyDescent="0.25">
      <c r="E194" s="82"/>
      <c r="F194" s="86"/>
      <c r="G194" s="86"/>
    </row>
    <row r="195" spans="5:7" s="84" customFormat="1" ht="12.75" hidden="1" x14ac:dyDescent="0.25">
      <c r="E195" s="82"/>
      <c r="F195" s="86"/>
      <c r="G195" s="86"/>
    </row>
    <row r="196" spans="5:7" s="84" customFormat="1" ht="12.75" hidden="1" x14ac:dyDescent="0.25">
      <c r="E196" s="82"/>
      <c r="F196" s="86"/>
      <c r="G196" s="86"/>
    </row>
    <row r="197" spans="5:7" s="84" customFormat="1" ht="12.75" hidden="1" x14ac:dyDescent="0.25">
      <c r="E197" s="82"/>
      <c r="F197" s="86"/>
      <c r="G197" s="86"/>
    </row>
    <row r="198" spans="5:7" s="84" customFormat="1" ht="12.75" hidden="1" x14ac:dyDescent="0.25">
      <c r="E198" s="82"/>
      <c r="F198" s="86"/>
      <c r="G198" s="86"/>
    </row>
    <row r="199" spans="5:7" s="84" customFormat="1" ht="12.75" hidden="1" x14ac:dyDescent="0.25">
      <c r="E199" s="82"/>
      <c r="F199" s="86"/>
      <c r="G199" s="86"/>
    </row>
    <row r="200" spans="5:7" s="84" customFormat="1" ht="12.75" hidden="1" x14ac:dyDescent="0.25">
      <c r="E200" s="82"/>
      <c r="F200" s="86"/>
      <c r="G200" s="86"/>
    </row>
    <row r="201" spans="5:7" s="84" customFormat="1" ht="12.75" hidden="1" x14ac:dyDescent="0.25">
      <c r="E201" s="82"/>
      <c r="F201" s="86"/>
      <c r="G201" s="86"/>
    </row>
    <row r="202" spans="5:7" s="84" customFormat="1" ht="12.75" hidden="1" x14ac:dyDescent="0.25">
      <c r="E202" s="82"/>
      <c r="F202" s="86"/>
      <c r="G202" s="86"/>
    </row>
    <row r="203" spans="5:7" s="84" customFormat="1" ht="12.75" hidden="1" x14ac:dyDescent="0.25">
      <c r="E203" s="82"/>
      <c r="F203" s="86"/>
      <c r="G203" s="86"/>
    </row>
    <row r="204" spans="5:7" s="84" customFormat="1" ht="12.75" hidden="1" x14ac:dyDescent="0.25">
      <c r="E204" s="82"/>
      <c r="F204" s="86"/>
      <c r="G204" s="86"/>
    </row>
    <row r="205" spans="5:7" s="84" customFormat="1" ht="12.75" hidden="1" x14ac:dyDescent="0.25">
      <c r="E205" s="82"/>
      <c r="F205" s="86"/>
      <c r="G205" s="86"/>
    </row>
    <row r="206" spans="5:7" s="84" customFormat="1" ht="12.75" hidden="1" x14ac:dyDescent="0.25">
      <c r="E206" s="82"/>
      <c r="F206" s="86"/>
      <c r="G206" s="86"/>
    </row>
    <row r="207" spans="5:7" s="84" customFormat="1" ht="12.75" hidden="1" x14ac:dyDescent="0.25">
      <c r="E207" s="82"/>
      <c r="F207" s="86"/>
      <c r="G207" s="86"/>
    </row>
    <row r="208" spans="5:7" s="84" customFormat="1" ht="12.75" hidden="1" x14ac:dyDescent="0.25">
      <c r="E208" s="82"/>
      <c r="F208" s="86"/>
      <c r="G208" s="86"/>
    </row>
    <row r="209" spans="3:8" s="84" customFormat="1" ht="12.75" hidden="1" x14ac:dyDescent="0.25">
      <c r="E209" s="82"/>
      <c r="F209" s="86"/>
      <c r="G209" s="86"/>
    </row>
    <row r="210" spans="3:8" s="84" customFormat="1" ht="12.75" hidden="1" x14ac:dyDescent="0.25">
      <c r="E210" s="82"/>
      <c r="F210" s="86"/>
      <c r="G210" s="86"/>
    </row>
    <row r="211" spans="3:8" s="84" customFormat="1" ht="12.75" hidden="1" x14ac:dyDescent="0.25">
      <c r="E211" s="82"/>
      <c r="F211" s="86"/>
      <c r="G211" s="86"/>
    </row>
    <row r="212" spans="3:8" s="84" customFormat="1" ht="12.75" hidden="1" x14ac:dyDescent="0.25">
      <c r="E212" s="82"/>
      <c r="F212" s="86"/>
      <c r="G212" s="86"/>
    </row>
    <row r="213" spans="3:8" s="84" customFormat="1" ht="12.75" hidden="1" x14ac:dyDescent="0.25">
      <c r="E213" s="82"/>
      <c r="F213" s="86"/>
      <c r="G213" s="86"/>
    </row>
    <row r="214" spans="3:8" s="84" customFormat="1" hidden="1" x14ac:dyDescent="0.25">
      <c r="E214" s="82"/>
      <c r="F214" s="87"/>
      <c r="G214" s="58"/>
      <c r="H214" s="5"/>
    </row>
    <row r="215" spans="3:8" hidden="1" x14ac:dyDescent="0.25">
      <c r="C215" s="86"/>
      <c r="D215" s="86"/>
      <c r="F215" s="87"/>
    </row>
    <row r="216" spans="3:8" hidden="1" x14ac:dyDescent="0.25"/>
    <row r="217" spans="3:8" hidden="1" x14ac:dyDescent="0.25"/>
    <row r="218" spans="3:8" hidden="1" x14ac:dyDescent="0.25"/>
    <row r="219" spans="3:8" hidden="1" x14ac:dyDescent="0.25"/>
    <row r="220" spans="3:8" hidden="1" x14ac:dyDescent="0.25"/>
    <row r="221" spans="3:8" hidden="1" x14ac:dyDescent="0.25"/>
    <row r="222" spans="3:8" hidden="1" x14ac:dyDescent="0.25"/>
    <row r="223" spans="3:8" hidden="1" x14ac:dyDescent="0.25"/>
    <row r="224" spans="3:8"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sheetData>
  <mergeCells count="6">
    <mergeCell ref="C1:D1"/>
    <mergeCell ref="E1:F1"/>
    <mergeCell ref="C2:D2"/>
    <mergeCell ref="E2:F2"/>
    <mergeCell ref="C3:D3"/>
    <mergeCell ref="E3:F3"/>
  </mergeCells>
  <conditionalFormatting sqref="D7:D12">
    <cfRule type="cellIs" dxfId="77" priority="6" stopIfTrue="1" operator="greaterThan">
      <formula>50</formula>
    </cfRule>
    <cfRule type="cellIs" dxfId="76" priority="15" stopIfTrue="1" operator="equal">
      <formula>0</formula>
    </cfRule>
  </conditionalFormatting>
  <conditionalFormatting sqref="D7:D61">
    <cfRule type="cellIs" dxfId="75" priority="13" stopIfTrue="1" operator="between">
      <formula>-0.1</formula>
      <formula>-50</formula>
    </cfRule>
    <cfRule type="cellIs" dxfId="74" priority="14" stopIfTrue="1" operator="between">
      <formula>0.1</formula>
      <formula>50</formula>
    </cfRule>
  </conditionalFormatting>
  <conditionalFormatting sqref="G152:G181 G7:G150">
    <cfRule type="cellIs" dxfId="73" priority="11" stopIfTrue="1" operator="between">
      <formula>-0.1</formula>
      <formula>-50</formula>
    </cfRule>
    <cfRule type="cellIs" dxfId="72" priority="12" stopIfTrue="1" operator="between">
      <formula>0.1</formula>
      <formula>50</formula>
    </cfRule>
  </conditionalFormatting>
  <conditionalFormatting sqref="D111:D155">
    <cfRule type="cellIs" dxfId="71" priority="9" stopIfTrue="1" operator="between">
      <formula>-0.1</formula>
      <formula>-50</formula>
    </cfRule>
    <cfRule type="cellIs" dxfId="70" priority="10" stopIfTrue="1" operator="between">
      <formula>0.1</formula>
      <formula>50</formula>
    </cfRule>
  </conditionalFormatting>
  <conditionalFormatting sqref="G165">
    <cfRule type="expression" dxfId="69" priority="8" stopIfTrue="1">
      <formula>AND($G$165&gt;0,$G$151&gt;0)</formula>
    </cfRule>
  </conditionalFormatting>
  <conditionalFormatting sqref="G151">
    <cfRule type="expression" dxfId="68" priority="5" stopIfTrue="1">
      <formula>AND($G$151&gt;0,$G$165&gt;0)</formula>
    </cfRule>
  </conditionalFormatting>
  <dataValidations count="11">
    <dataValidation type="custom" operator="greaterThan" showInputMessage="1" showErrorMessage="1" errorTitle="RDM" error="No se admite ingresar RDM como ingresos y egresos a la vez. Tampoco se admiten valores menores a $50._x000a_" sqref="G151">
      <formula1>AND(OR(G151=0, G151&gt;50),G165=0)</formula1>
    </dataValidation>
    <dataValidation type="whole" operator="greaterThan" allowBlank="1" showInputMessage="1" showErrorMessage="1" sqref="D8:D12">
      <formula1>50</formula1>
    </dataValidation>
    <dataValidation type="whole" operator="greaterThan" showInputMessage="1" showErrorMessage="1" errorTitle="eee" error="Valores mayores a $50" sqref="D7">
      <formula1>50</formula1>
    </dataValidation>
    <dataValidation type="custom" operator="greaterThan" showInputMessage="1" showErrorMessage="1" errorTitle="eee" sqref="D56">
      <formula1>OR(D56=0, D56&lt;50)</formula1>
    </dataValidation>
    <dataValidation type="custom" operator="greaterThan" showInputMessage="1" showErrorMessage="1" errorTitle="eee" sqref="D57:D61">
      <formula1>OR(D57=0, D57&lt;0)</formula1>
    </dataValidation>
    <dataValidation type="custom" operator="greaterThan" showInputMessage="1" showErrorMessage="1" errorTitle="eee" sqref="G7:G140 D62:D155 G152:G164 G166:G181 G144:G150 D13:D55">
      <formula1>OR(D7=0, D7&gt;50)</formula1>
    </dataValidation>
    <dataValidation type="whole" allowBlank="1" showErrorMessage="1" errorTitle="Error de datos" error="Debe ingresar un valor entre 1 y 12" sqref="G1:G3">
      <formula1>1</formula1>
      <formula2>12</formula2>
    </dataValidation>
    <dataValidation allowBlank="1" errorTitle="Error de datos" error="Debe introducir una fecha válida" sqref="E3"/>
    <dataValidation allowBlank="1" sqref="G204"/>
    <dataValidation operator="greaterThanOrEqual" allowBlank="1" errorTitle="Error de datos" error="Debe ingresar un valor entero positivo" sqref="F6:F107 F203 C13:C47 C106:C153 F171 F174:F178 F180 F111:F119 C7:C10 F121:F140 F143:F169 C49:C62 C155 F109"/>
    <dataValidation type="custom" operator="greaterThan" showInputMessage="1" showErrorMessage="1" errorTitle="rdm2" error="No se admite ingresar a la vez RDM como ingresos y como egresos. Tampoco se admiten valores negattivos o positivos menores de 50" sqref="G165">
      <formula1>AND(OR(G165=0, G165&gt;50),G151=0)</formula1>
    </dataValidation>
  </dataValidations>
  <pageMargins left="0.7" right="0.7" top="0.75" bottom="0.75" header="0.3" footer="0.3"/>
  <ignoredErrors>
    <ignoredError sqref="E7:E181" numberStoredAsText="1"/>
    <ignoredError sqref="D27 D59 D121 D136 D141 D147" unlockedFormula="1"/>
    <ignoredError sqref="G40" formulaRange="1"/>
  </ignoredErrors>
  <legacy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26"/>
  <sheetViews>
    <sheetView showGridLines="0" workbookViewId="0">
      <selection activeCell="F4" sqref="F4"/>
    </sheetView>
  </sheetViews>
  <sheetFormatPr baseColWidth="10" defaultColWidth="0" defaultRowHeight="15" zeroHeight="1" x14ac:dyDescent="0.25"/>
  <cols>
    <col min="1" max="1" width="3.7109375" style="1" customWidth="1"/>
    <col min="2" max="2" width="14.28515625" style="7" hidden="1" customWidth="1"/>
    <col min="3" max="3" width="58.28515625" style="58" customWidth="1"/>
    <col min="4" max="4" width="25.140625" style="58" customWidth="1"/>
    <col min="5" max="5" width="4.28515625" style="82" customWidth="1"/>
    <col min="6" max="6" width="57.28515625" style="58" customWidth="1"/>
    <col min="7" max="7" width="24.7109375" style="58" customWidth="1"/>
    <col min="8" max="8" width="5.42578125" style="5" customWidth="1"/>
    <col min="9" max="16384" width="0" style="5" hidden="1"/>
  </cols>
  <sheetData>
    <row r="1" spans="1:9" ht="15.75" x14ac:dyDescent="0.25">
      <c r="B1" s="2"/>
      <c r="C1" s="313" t="s">
        <v>0</v>
      </c>
      <c r="D1" s="314"/>
      <c r="E1" s="315" t="str">
        <f>[30]Presentacion!C2</f>
        <v>SOC. MED. QUIR. SALTO</v>
      </c>
      <c r="F1" s="315"/>
      <c r="G1" s="3"/>
      <c r="H1" s="4"/>
    </row>
    <row r="2" spans="1:9" ht="15.75" x14ac:dyDescent="0.25">
      <c r="B2" s="6"/>
      <c r="C2" s="313" t="s">
        <v>1</v>
      </c>
      <c r="D2" s="314"/>
      <c r="E2" s="315" t="str">
        <f>[30]Presentacion!C3</f>
        <v>Salto</v>
      </c>
      <c r="F2" s="315"/>
      <c r="G2" s="3"/>
      <c r="H2" s="4"/>
    </row>
    <row r="3" spans="1:9" ht="15.75" x14ac:dyDescent="0.25">
      <c r="B3" s="6"/>
      <c r="C3" s="313" t="s">
        <v>2</v>
      </c>
      <c r="D3" s="316"/>
      <c r="E3" s="317" t="s">
        <v>3</v>
      </c>
      <c r="F3" s="317"/>
      <c r="G3" s="3"/>
      <c r="H3" s="4"/>
    </row>
    <row r="4" spans="1:9" ht="15.75" thickBot="1" x14ac:dyDescent="0.3">
      <c r="C4" s="287"/>
      <c r="D4" s="8"/>
      <c r="E4" s="9"/>
      <c r="F4" s="10"/>
      <c r="G4" s="11"/>
    </row>
    <row r="5" spans="1:9" ht="16.5" thickBot="1" x14ac:dyDescent="0.3">
      <c r="B5" s="12"/>
      <c r="C5" s="13" t="s">
        <v>4</v>
      </c>
      <c r="D5" s="284" t="s">
        <v>5</v>
      </c>
      <c r="E5" s="14"/>
      <c r="F5" s="13" t="s">
        <v>6</v>
      </c>
      <c r="G5" s="284" t="s">
        <v>5</v>
      </c>
      <c r="I5" s="15"/>
    </row>
    <row r="6" spans="1:9" ht="16.5" thickBot="1" x14ac:dyDescent="0.3">
      <c r="B6" s="12"/>
      <c r="C6" s="16" t="s">
        <v>7</v>
      </c>
      <c r="D6" s="290">
        <f>+[30]E.S.P.!D6</f>
        <v>2020</v>
      </c>
      <c r="E6" s="18"/>
      <c r="F6" s="16" t="s">
        <v>8</v>
      </c>
      <c r="G6" s="290">
        <f>+D6</f>
        <v>2020</v>
      </c>
      <c r="H6" s="15"/>
    </row>
    <row r="7" spans="1:9" x14ac:dyDescent="0.25">
      <c r="B7" s="6" t="s">
        <v>9</v>
      </c>
      <c r="C7" s="19" t="s">
        <v>10</v>
      </c>
      <c r="D7" s="20">
        <v>40792405</v>
      </c>
      <c r="E7" s="21" t="s">
        <v>11</v>
      </c>
      <c r="F7" s="22" t="s">
        <v>12</v>
      </c>
      <c r="G7" s="23">
        <v>4154590</v>
      </c>
    </row>
    <row r="8" spans="1:9" x14ac:dyDescent="0.25">
      <c r="B8" s="6" t="s">
        <v>13</v>
      </c>
      <c r="C8" s="19" t="s">
        <v>14</v>
      </c>
      <c r="D8" s="20">
        <v>112374615</v>
      </c>
      <c r="E8" s="21" t="s">
        <v>15</v>
      </c>
      <c r="F8" s="19" t="s">
        <v>16</v>
      </c>
      <c r="G8" s="24">
        <v>181497411</v>
      </c>
    </row>
    <row r="9" spans="1:9" x14ac:dyDescent="0.25">
      <c r="B9" s="6" t="s">
        <v>17</v>
      </c>
      <c r="C9" s="19" t="s">
        <v>18</v>
      </c>
      <c r="D9" s="20">
        <f>1786913678+9778677</f>
        <v>1796692355</v>
      </c>
      <c r="E9" s="21" t="s">
        <v>19</v>
      </c>
      <c r="F9" s="19" t="s">
        <v>20</v>
      </c>
      <c r="G9" s="20">
        <v>77856142</v>
      </c>
    </row>
    <row r="10" spans="1:9" x14ac:dyDescent="0.25">
      <c r="B10" s="6" t="s">
        <v>21</v>
      </c>
      <c r="C10" s="19" t="s">
        <v>22</v>
      </c>
      <c r="D10" s="20">
        <v>166126232</v>
      </c>
      <c r="E10" s="21" t="s">
        <v>23</v>
      </c>
      <c r="F10" s="19" t="s">
        <v>24</v>
      </c>
      <c r="G10" s="20">
        <v>265999215</v>
      </c>
    </row>
    <row r="11" spans="1:9" x14ac:dyDescent="0.25">
      <c r="B11" s="6" t="s">
        <v>25</v>
      </c>
      <c r="C11" s="19" t="s">
        <v>26</v>
      </c>
      <c r="D11" s="20">
        <v>39442669</v>
      </c>
      <c r="E11" s="21" t="s">
        <v>27</v>
      </c>
      <c r="F11" s="19" t="s">
        <v>28</v>
      </c>
      <c r="G11" s="20">
        <v>223828365</v>
      </c>
    </row>
    <row r="12" spans="1:9" x14ac:dyDescent="0.25">
      <c r="B12" s="6" t="s">
        <v>29</v>
      </c>
      <c r="C12" s="19" t="s">
        <v>30</v>
      </c>
      <c r="D12" s="20">
        <v>42138452</v>
      </c>
      <c r="E12" s="21" t="s">
        <v>31</v>
      </c>
      <c r="F12" s="19" t="s">
        <v>32</v>
      </c>
      <c r="G12" s="20">
        <v>65547691</v>
      </c>
    </row>
    <row r="13" spans="1:9" x14ac:dyDescent="0.25">
      <c r="B13" s="6" t="s">
        <v>33</v>
      </c>
      <c r="C13" s="19" t="s">
        <v>34</v>
      </c>
      <c r="D13" s="20">
        <v>255905</v>
      </c>
      <c r="E13" s="21" t="s">
        <v>35</v>
      </c>
      <c r="F13" s="19" t="s">
        <v>36</v>
      </c>
      <c r="G13" s="20">
        <v>20175310</v>
      </c>
    </row>
    <row r="14" spans="1:9" x14ac:dyDescent="0.25">
      <c r="A14" s="25"/>
      <c r="B14" s="6" t="s">
        <v>37</v>
      </c>
      <c r="C14" s="19" t="s">
        <v>38</v>
      </c>
      <c r="D14" s="20"/>
      <c r="E14" s="21" t="s">
        <v>39</v>
      </c>
      <c r="F14" s="19" t="s">
        <v>40</v>
      </c>
      <c r="G14" s="20">
        <v>187913181</v>
      </c>
    </row>
    <row r="15" spans="1:9" x14ac:dyDescent="0.25">
      <c r="B15" s="6" t="s">
        <v>41</v>
      </c>
      <c r="C15" s="26" t="s">
        <v>42</v>
      </c>
      <c r="D15" s="20"/>
      <c r="E15" s="21" t="s">
        <v>43</v>
      </c>
      <c r="F15" s="19" t="s">
        <v>44</v>
      </c>
      <c r="G15" s="20"/>
    </row>
    <row r="16" spans="1:9" x14ac:dyDescent="0.25">
      <c r="B16" s="6" t="s">
        <v>45</v>
      </c>
      <c r="C16" s="19" t="s">
        <v>46</v>
      </c>
      <c r="D16" s="20"/>
      <c r="E16" s="21" t="s">
        <v>47</v>
      </c>
      <c r="F16" s="19" t="s">
        <v>48</v>
      </c>
      <c r="G16" s="20">
        <v>43283232</v>
      </c>
    </row>
    <row r="17" spans="1:7" x14ac:dyDescent="0.25">
      <c r="B17" s="6" t="s">
        <v>49</v>
      </c>
      <c r="C17" s="19" t="s">
        <v>50</v>
      </c>
      <c r="D17" s="20"/>
      <c r="E17" s="21" t="s">
        <v>51</v>
      </c>
      <c r="F17" s="19" t="s">
        <v>52</v>
      </c>
      <c r="G17" s="20">
        <v>0</v>
      </c>
    </row>
    <row r="18" spans="1:7" x14ac:dyDescent="0.25">
      <c r="A18" s="25"/>
      <c r="B18" s="6" t="s">
        <v>53</v>
      </c>
      <c r="C18" s="19" t="s">
        <v>54</v>
      </c>
      <c r="D18" s="20"/>
      <c r="E18" s="21" t="s">
        <v>55</v>
      </c>
      <c r="F18" s="19" t="s">
        <v>56</v>
      </c>
      <c r="G18" s="27">
        <v>45620715</v>
      </c>
    </row>
    <row r="19" spans="1:7" ht="15.75" thickBot="1" x14ac:dyDescent="0.3">
      <c r="A19" s="25"/>
      <c r="B19" s="6" t="s">
        <v>57</v>
      </c>
      <c r="C19" s="19" t="s">
        <v>58</v>
      </c>
      <c r="D19" s="20">
        <v>90709921</v>
      </c>
      <c r="E19" s="21"/>
      <c r="F19" s="28" t="s">
        <v>59</v>
      </c>
      <c r="G19" s="29">
        <f>SUM(G7:G18)</f>
        <v>1115875852</v>
      </c>
    </row>
    <row r="20" spans="1:7" ht="15.75" thickBot="1" x14ac:dyDescent="0.3">
      <c r="B20" s="6"/>
      <c r="C20" s="28" t="s">
        <v>60</v>
      </c>
      <c r="D20" s="29">
        <f>SUM(D7:D19)</f>
        <v>2288532554</v>
      </c>
      <c r="E20" s="21" t="s">
        <v>61</v>
      </c>
      <c r="F20" s="22" t="s">
        <v>62</v>
      </c>
      <c r="G20" s="23">
        <v>303420</v>
      </c>
    </row>
    <row r="21" spans="1:7" x14ac:dyDescent="0.25">
      <c r="B21" s="6"/>
      <c r="C21" s="30" t="s">
        <v>63</v>
      </c>
      <c r="D21" s="31">
        <f>SUM(D22:D28)</f>
        <v>25412161</v>
      </c>
      <c r="E21" s="21" t="s">
        <v>64</v>
      </c>
      <c r="F21" s="19" t="s">
        <v>65</v>
      </c>
      <c r="G21" s="20">
        <v>54714498</v>
      </c>
    </row>
    <row r="22" spans="1:7" x14ac:dyDescent="0.25">
      <c r="B22" s="6" t="s">
        <v>66</v>
      </c>
      <c r="C22" s="19" t="s">
        <v>67</v>
      </c>
      <c r="D22" s="20">
        <v>15848501</v>
      </c>
      <c r="E22" s="21" t="s">
        <v>68</v>
      </c>
      <c r="F22" s="19" t="s">
        <v>69</v>
      </c>
      <c r="G22" s="20">
        <v>3897189</v>
      </c>
    </row>
    <row r="23" spans="1:7" x14ac:dyDescent="0.25">
      <c r="B23" s="6" t="s">
        <v>70</v>
      </c>
      <c r="C23" s="19" t="s">
        <v>71</v>
      </c>
      <c r="D23" s="20">
        <v>2239481</v>
      </c>
      <c r="E23" s="21" t="s">
        <v>72</v>
      </c>
      <c r="F23" s="19" t="s">
        <v>73</v>
      </c>
      <c r="G23" s="20">
        <v>10510787</v>
      </c>
    </row>
    <row r="24" spans="1:7" x14ac:dyDescent="0.25">
      <c r="B24" s="6" t="s">
        <v>74</v>
      </c>
      <c r="C24" s="19" t="s">
        <v>75</v>
      </c>
      <c r="D24" s="20">
        <v>4002204</v>
      </c>
      <c r="E24" s="21" t="s">
        <v>76</v>
      </c>
      <c r="F24" s="19" t="s">
        <v>77</v>
      </c>
      <c r="G24" s="20">
        <v>15637422</v>
      </c>
    </row>
    <row r="25" spans="1:7" x14ac:dyDescent="0.25">
      <c r="B25" s="6" t="s">
        <v>78</v>
      </c>
      <c r="C25" s="19" t="s">
        <v>79</v>
      </c>
      <c r="D25" s="20"/>
      <c r="E25" s="21" t="s">
        <v>80</v>
      </c>
      <c r="F25" s="19" t="s">
        <v>81</v>
      </c>
      <c r="G25" s="20">
        <v>10093113.199999999</v>
      </c>
    </row>
    <row r="26" spans="1:7" x14ac:dyDescent="0.25">
      <c r="B26" s="6" t="s">
        <v>82</v>
      </c>
      <c r="C26" s="19" t="s">
        <v>83</v>
      </c>
      <c r="D26" s="20">
        <f>648762-1110</f>
        <v>647652</v>
      </c>
      <c r="E26" s="21" t="s">
        <v>84</v>
      </c>
      <c r="F26" s="19" t="s">
        <v>85</v>
      </c>
      <c r="G26" s="27">
        <v>4510672</v>
      </c>
    </row>
    <row r="27" spans="1:7" ht="15.75" thickBot="1" x14ac:dyDescent="0.3">
      <c r="B27" s="6" t="s">
        <v>86</v>
      </c>
      <c r="C27" s="19" t="s">
        <v>87</v>
      </c>
      <c r="D27" s="20"/>
      <c r="E27" s="21"/>
      <c r="F27" s="28" t="s">
        <v>88</v>
      </c>
      <c r="G27" s="29">
        <f>SUM(G20:G26)</f>
        <v>99667101.200000003</v>
      </c>
    </row>
    <row r="28" spans="1:7" x14ac:dyDescent="0.25">
      <c r="B28" s="6" t="s">
        <v>89</v>
      </c>
      <c r="C28" s="19" t="s">
        <v>90</v>
      </c>
      <c r="D28" s="20">
        <v>2674323</v>
      </c>
      <c r="E28" s="21" t="s">
        <v>91</v>
      </c>
      <c r="F28" s="22" t="s">
        <v>92</v>
      </c>
      <c r="G28" s="23">
        <v>67132310</v>
      </c>
    </row>
    <row r="29" spans="1:7" x14ac:dyDescent="0.25">
      <c r="B29" s="6"/>
      <c r="C29" s="32" t="s">
        <v>93</v>
      </c>
      <c r="D29" s="31">
        <f>SUM(D30:D34)</f>
        <v>142570467</v>
      </c>
      <c r="E29" s="21" t="s">
        <v>94</v>
      </c>
      <c r="F29" s="19" t="s">
        <v>95</v>
      </c>
      <c r="G29" s="20"/>
    </row>
    <row r="30" spans="1:7" x14ac:dyDescent="0.25">
      <c r="B30" s="6" t="s">
        <v>96</v>
      </c>
      <c r="C30" s="19" t="s">
        <v>97</v>
      </c>
      <c r="D30" s="20">
        <v>115632265</v>
      </c>
      <c r="E30" s="21" t="s">
        <v>98</v>
      </c>
      <c r="F30" s="19" t="s">
        <v>99</v>
      </c>
      <c r="G30" s="20">
        <v>5102226</v>
      </c>
    </row>
    <row r="31" spans="1:7" x14ac:dyDescent="0.25">
      <c r="B31" s="6" t="s">
        <v>100</v>
      </c>
      <c r="C31" s="19" t="s">
        <v>101</v>
      </c>
      <c r="D31" s="20">
        <v>21105196</v>
      </c>
      <c r="E31" s="21" t="s">
        <v>102</v>
      </c>
      <c r="F31" s="19" t="s">
        <v>103</v>
      </c>
      <c r="G31" s="27">
        <v>2275825</v>
      </c>
    </row>
    <row r="32" spans="1:7" ht="15.75" thickBot="1" x14ac:dyDescent="0.3">
      <c r="B32" s="6" t="s">
        <v>104</v>
      </c>
      <c r="C32" s="19" t="s">
        <v>105</v>
      </c>
      <c r="D32" s="20"/>
      <c r="E32" s="21"/>
      <c r="F32" s="28" t="s">
        <v>106</v>
      </c>
      <c r="G32" s="29">
        <f>SUM(G28:G31)</f>
        <v>74510361</v>
      </c>
    </row>
    <row r="33" spans="2:7" x14ac:dyDescent="0.25">
      <c r="B33" s="6" t="s">
        <v>107</v>
      </c>
      <c r="C33" s="19" t="s">
        <v>108</v>
      </c>
      <c r="D33" s="20"/>
      <c r="E33" s="21"/>
      <c r="F33" s="32" t="s">
        <v>109</v>
      </c>
      <c r="G33" s="31">
        <f>SUM(G34:G39)</f>
        <v>144790122</v>
      </c>
    </row>
    <row r="34" spans="2:7" x14ac:dyDescent="0.25">
      <c r="B34" s="6" t="s">
        <v>110</v>
      </c>
      <c r="C34" s="19" t="s">
        <v>111</v>
      </c>
      <c r="D34" s="20">
        <v>5833006</v>
      </c>
      <c r="E34" s="21" t="s">
        <v>112</v>
      </c>
      <c r="F34" s="19" t="s">
        <v>113</v>
      </c>
      <c r="G34" s="20">
        <v>17997244</v>
      </c>
    </row>
    <row r="35" spans="2:7" ht="15.75" thickBot="1" x14ac:dyDescent="0.3">
      <c r="B35" s="6"/>
      <c r="C35" s="28" t="s">
        <v>114</v>
      </c>
      <c r="D35" s="29">
        <f>+D21+D29</f>
        <v>167982628</v>
      </c>
      <c r="E35" s="21" t="s">
        <v>115</v>
      </c>
      <c r="F35" s="19" t="s">
        <v>116</v>
      </c>
      <c r="G35" s="20">
        <v>8187366</v>
      </c>
    </row>
    <row r="36" spans="2:7" x14ac:dyDescent="0.25">
      <c r="B36" s="6" t="s">
        <v>117</v>
      </c>
      <c r="C36" s="19" t="s">
        <v>118</v>
      </c>
      <c r="D36" s="20"/>
      <c r="E36" s="21" t="s">
        <v>119</v>
      </c>
      <c r="F36" s="19" t="s">
        <v>120</v>
      </c>
      <c r="G36" s="20">
        <v>21993366</v>
      </c>
    </row>
    <row r="37" spans="2:7" x14ac:dyDescent="0.25">
      <c r="B37" s="6" t="s">
        <v>121</v>
      </c>
      <c r="C37" s="19" t="s">
        <v>122</v>
      </c>
      <c r="D37" s="20"/>
      <c r="E37" s="21" t="s">
        <v>123</v>
      </c>
      <c r="F37" s="19" t="s">
        <v>124</v>
      </c>
      <c r="G37" s="20">
        <v>16217338</v>
      </c>
    </row>
    <row r="38" spans="2:7" x14ac:dyDescent="0.25">
      <c r="B38" s="6" t="s">
        <v>125</v>
      </c>
      <c r="C38" s="19" t="s">
        <v>126</v>
      </c>
      <c r="D38" s="20"/>
      <c r="E38" s="21" t="s">
        <v>127</v>
      </c>
      <c r="F38" s="19" t="s">
        <v>128</v>
      </c>
      <c r="G38" s="20">
        <v>34056447</v>
      </c>
    </row>
    <row r="39" spans="2:7" x14ac:dyDescent="0.25">
      <c r="B39" s="6" t="s">
        <v>129</v>
      </c>
      <c r="C39" s="19" t="s">
        <v>130</v>
      </c>
      <c r="D39" s="20"/>
      <c r="E39" s="21" t="s">
        <v>131</v>
      </c>
      <c r="F39" s="19" t="s">
        <v>132</v>
      </c>
      <c r="G39" s="20">
        <v>46338361</v>
      </c>
    </row>
    <row r="40" spans="2:7" x14ac:dyDescent="0.25">
      <c r="B40" s="6" t="s">
        <v>133</v>
      </c>
      <c r="C40" s="19" t="s">
        <v>134</v>
      </c>
      <c r="D40" s="20"/>
      <c r="E40" s="21"/>
      <c r="F40" s="33" t="s">
        <v>135</v>
      </c>
      <c r="G40" s="34">
        <f>SUM(G41:G46)</f>
        <v>46084071</v>
      </c>
    </row>
    <row r="41" spans="2:7" x14ac:dyDescent="0.25">
      <c r="B41" s="6" t="s">
        <v>136</v>
      </c>
      <c r="C41" s="19" t="s">
        <v>137</v>
      </c>
      <c r="D41" s="20">
        <v>120271903</v>
      </c>
      <c r="E41" s="21" t="s">
        <v>138</v>
      </c>
      <c r="F41" s="19" t="s">
        <v>139</v>
      </c>
      <c r="G41" s="20">
        <v>1168939</v>
      </c>
    </row>
    <row r="42" spans="2:7" x14ac:dyDescent="0.25">
      <c r="B42" s="6" t="s">
        <v>140</v>
      </c>
      <c r="C42" s="19" t="s">
        <v>141</v>
      </c>
      <c r="D42" s="20">
        <v>94919815</v>
      </c>
      <c r="E42" s="21" t="s">
        <v>142</v>
      </c>
      <c r="F42" s="19" t="s">
        <v>143</v>
      </c>
      <c r="G42" s="20">
        <v>11372</v>
      </c>
    </row>
    <row r="43" spans="2:7" x14ac:dyDescent="0.25">
      <c r="B43" s="6" t="s">
        <v>144</v>
      </c>
      <c r="C43" s="19" t="s">
        <v>145</v>
      </c>
      <c r="D43" s="20"/>
      <c r="E43" s="21" t="s">
        <v>146</v>
      </c>
      <c r="F43" s="19" t="s">
        <v>147</v>
      </c>
      <c r="G43" s="20">
        <v>27774070</v>
      </c>
    </row>
    <row r="44" spans="2:7" x14ac:dyDescent="0.25">
      <c r="B44" s="6" t="s">
        <v>148</v>
      </c>
      <c r="C44" s="19" t="s">
        <v>149</v>
      </c>
      <c r="D44" s="20">
        <v>428401</v>
      </c>
      <c r="E44" s="21" t="s">
        <v>150</v>
      </c>
      <c r="F44" s="19" t="s">
        <v>151</v>
      </c>
      <c r="G44" s="20">
        <v>4245348</v>
      </c>
    </row>
    <row r="45" spans="2:7" x14ac:dyDescent="0.25">
      <c r="B45" s="6" t="s">
        <v>152</v>
      </c>
      <c r="C45" s="19" t="s">
        <v>153</v>
      </c>
      <c r="D45" s="20"/>
      <c r="E45" s="21" t="s">
        <v>154</v>
      </c>
      <c r="F45" s="19" t="s">
        <v>155</v>
      </c>
      <c r="G45" s="20">
        <v>6237874</v>
      </c>
    </row>
    <row r="46" spans="2:7" x14ac:dyDescent="0.25">
      <c r="B46" s="6" t="s">
        <v>156</v>
      </c>
      <c r="C46" s="19" t="s">
        <v>157</v>
      </c>
      <c r="D46" s="20">
        <v>7742759</v>
      </c>
      <c r="E46" s="21" t="s">
        <v>158</v>
      </c>
      <c r="F46" s="19" t="s">
        <v>159</v>
      </c>
      <c r="G46" s="20">
        <f>12646468+4000000-10000000</f>
        <v>6646468</v>
      </c>
    </row>
    <row r="47" spans="2:7" ht="15.75" thickBot="1" x14ac:dyDescent="0.3">
      <c r="B47" s="6"/>
      <c r="C47" s="28" t="s">
        <v>160</v>
      </c>
      <c r="D47" s="29">
        <f>SUM(D36:D46)</f>
        <v>223362878</v>
      </c>
      <c r="E47" s="21" t="s">
        <v>161</v>
      </c>
      <c r="F47" s="19" t="s">
        <v>162</v>
      </c>
      <c r="G47" s="27">
        <f>2904441+10000000</f>
        <v>12904441</v>
      </c>
    </row>
    <row r="48" spans="2:7" ht="15.75" thickBot="1" x14ac:dyDescent="0.3">
      <c r="B48" s="6"/>
      <c r="C48" s="35" t="s">
        <v>163</v>
      </c>
      <c r="D48" s="36"/>
      <c r="E48" s="21"/>
      <c r="F48" s="28" t="s">
        <v>164</v>
      </c>
      <c r="G48" s="37">
        <f>+G33+G40+G47</f>
        <v>203778634</v>
      </c>
    </row>
    <row r="49" spans="2:7" x14ac:dyDescent="0.25">
      <c r="B49" s="6" t="s">
        <v>165</v>
      </c>
      <c r="C49" s="38" t="s">
        <v>166</v>
      </c>
      <c r="D49" s="39"/>
      <c r="E49" s="21" t="s">
        <v>167</v>
      </c>
      <c r="F49" s="22" t="s">
        <v>168</v>
      </c>
      <c r="G49" s="23"/>
    </row>
    <row r="50" spans="2:7" x14ac:dyDescent="0.25">
      <c r="B50" s="6" t="s">
        <v>169</v>
      </c>
      <c r="C50" s="19" t="s">
        <v>163</v>
      </c>
      <c r="D50" s="20"/>
      <c r="E50" s="21" t="s">
        <v>170</v>
      </c>
      <c r="F50" s="19" t="s">
        <v>171</v>
      </c>
      <c r="G50" s="20">
        <v>73429475.939999998</v>
      </c>
    </row>
    <row r="51" spans="2:7" x14ac:dyDescent="0.25">
      <c r="B51" s="6" t="s">
        <v>172</v>
      </c>
      <c r="C51" s="19" t="s">
        <v>173</v>
      </c>
      <c r="D51" s="27"/>
      <c r="E51" s="21" t="s">
        <v>174</v>
      </c>
      <c r="F51" s="19" t="s">
        <v>175</v>
      </c>
      <c r="G51" s="20">
        <v>1688024</v>
      </c>
    </row>
    <row r="52" spans="2:7" ht="15.75" thickBot="1" x14ac:dyDescent="0.3">
      <c r="B52" s="12"/>
      <c r="C52" s="28" t="s">
        <v>176</v>
      </c>
      <c r="D52" s="29">
        <f>SUM(D49:D51)</f>
        <v>0</v>
      </c>
      <c r="E52" s="21" t="s">
        <v>177</v>
      </c>
      <c r="F52" s="19" t="s">
        <v>178</v>
      </c>
      <c r="G52" s="20">
        <v>2642319</v>
      </c>
    </row>
    <row r="53" spans="2:7" ht="15.75" thickBot="1" x14ac:dyDescent="0.3">
      <c r="B53" s="6"/>
      <c r="C53" s="40" t="s">
        <v>179</v>
      </c>
      <c r="D53" s="41">
        <f>D20+D35+D47+D52</f>
        <v>2679878060</v>
      </c>
      <c r="E53" s="21" t="s">
        <v>180</v>
      </c>
      <c r="F53" s="19" t="s">
        <v>181</v>
      </c>
      <c r="G53" s="20"/>
    </row>
    <row r="54" spans="2:7" x14ac:dyDescent="0.25">
      <c r="C54" s="42"/>
      <c r="D54" s="43"/>
      <c r="E54" s="21" t="s">
        <v>182</v>
      </c>
      <c r="F54" s="19" t="s">
        <v>183</v>
      </c>
      <c r="G54" s="20">
        <v>3322981.78</v>
      </c>
    </row>
    <row r="55" spans="2:7" x14ac:dyDescent="0.25">
      <c r="C55" s="44" t="s">
        <v>184</v>
      </c>
      <c r="D55" s="45"/>
      <c r="E55" s="21" t="s">
        <v>185</v>
      </c>
      <c r="F55" s="19" t="s">
        <v>186</v>
      </c>
      <c r="G55" s="20"/>
    </row>
    <row r="56" spans="2:7" x14ac:dyDescent="0.25">
      <c r="B56" s="6" t="s">
        <v>187</v>
      </c>
      <c r="C56" s="46" t="s">
        <v>188</v>
      </c>
      <c r="D56" s="20"/>
      <c r="E56" s="21" t="s">
        <v>189</v>
      </c>
      <c r="F56" s="19" t="s">
        <v>190</v>
      </c>
      <c r="G56" s="27">
        <v>9194017</v>
      </c>
    </row>
    <row r="57" spans="2:7" ht="15.75" thickBot="1" x14ac:dyDescent="0.3">
      <c r="B57" s="6" t="s">
        <v>191</v>
      </c>
      <c r="C57" s="46" t="s">
        <v>192</v>
      </c>
      <c r="D57" s="20"/>
      <c r="E57" s="21"/>
      <c r="F57" s="28" t="s">
        <v>193</v>
      </c>
      <c r="G57" s="29">
        <f>SUM(G49:G56)</f>
        <v>90276817.719999999</v>
      </c>
    </row>
    <row r="58" spans="2:7" x14ac:dyDescent="0.25">
      <c r="B58" s="6" t="s">
        <v>194</v>
      </c>
      <c r="C58" s="46" t="s">
        <v>195</v>
      </c>
      <c r="D58" s="20"/>
      <c r="E58" s="21" t="s">
        <v>196</v>
      </c>
      <c r="F58" s="22" t="s">
        <v>197</v>
      </c>
      <c r="G58" s="23"/>
    </row>
    <row r="59" spans="2:7" x14ac:dyDescent="0.25">
      <c r="B59" s="6" t="s">
        <v>198</v>
      </c>
      <c r="C59" s="19" t="s">
        <v>199</v>
      </c>
      <c r="D59" s="27"/>
      <c r="E59" s="21" t="s">
        <v>200</v>
      </c>
      <c r="F59" s="19" t="s">
        <v>201</v>
      </c>
      <c r="G59" s="20">
        <v>220947689</v>
      </c>
    </row>
    <row r="60" spans="2:7" ht="15.75" thickBot="1" x14ac:dyDescent="0.3">
      <c r="B60" s="6"/>
      <c r="C60" s="28" t="s">
        <v>202</v>
      </c>
      <c r="D60" s="29">
        <f>SUM(D56:D59)</f>
        <v>0</v>
      </c>
      <c r="E60" s="21" t="s">
        <v>203</v>
      </c>
      <c r="F60" s="19" t="s">
        <v>204</v>
      </c>
      <c r="G60" s="20">
        <v>67761246</v>
      </c>
    </row>
    <row r="61" spans="2:7" ht="16.5" thickBot="1" x14ac:dyDescent="0.3">
      <c r="B61" s="47"/>
      <c r="C61" s="48" t="s">
        <v>205</v>
      </c>
      <c r="D61" s="49">
        <f>D53+D60</f>
        <v>2679878060</v>
      </c>
      <c r="E61" s="21" t="s">
        <v>206</v>
      </c>
      <c r="F61" s="19" t="s">
        <v>207</v>
      </c>
      <c r="G61" s="20">
        <v>10980247</v>
      </c>
    </row>
    <row r="62" spans="2:7" x14ac:dyDescent="0.25">
      <c r="B62" s="50"/>
      <c r="C62" s="51"/>
      <c r="D62" s="51"/>
      <c r="E62" s="21" t="s">
        <v>208</v>
      </c>
      <c r="F62" s="19" t="s">
        <v>209</v>
      </c>
      <c r="G62" s="20"/>
    </row>
    <row r="63" spans="2:7" x14ac:dyDescent="0.25">
      <c r="B63" s="52"/>
      <c r="C63" s="53" t="s">
        <v>8</v>
      </c>
      <c r="D63" s="53"/>
      <c r="E63" s="21" t="s">
        <v>210</v>
      </c>
      <c r="F63" s="19" t="s">
        <v>211</v>
      </c>
      <c r="G63" s="20">
        <v>83765371.939999998</v>
      </c>
    </row>
    <row r="64" spans="2:7" x14ac:dyDescent="0.25">
      <c r="B64" s="54" t="s">
        <v>212</v>
      </c>
      <c r="C64" s="55" t="s">
        <v>213</v>
      </c>
      <c r="D64" s="55">
        <f>[30]Amortizaciones!D6</f>
        <v>19760634.875</v>
      </c>
      <c r="E64" s="21" t="s">
        <v>214</v>
      </c>
      <c r="F64" s="19" t="s">
        <v>215</v>
      </c>
      <c r="G64" s="20"/>
    </row>
    <row r="65" spans="2:7" x14ac:dyDescent="0.25">
      <c r="B65" s="54" t="s">
        <v>216</v>
      </c>
      <c r="C65" s="55" t="s">
        <v>217</v>
      </c>
      <c r="D65" s="55">
        <f>[30]Amortizaciones!D7</f>
        <v>0</v>
      </c>
      <c r="E65" s="21" t="s">
        <v>218</v>
      </c>
      <c r="F65" s="19" t="s">
        <v>219</v>
      </c>
      <c r="G65" s="20">
        <v>64495778</v>
      </c>
    </row>
    <row r="66" spans="2:7" x14ac:dyDescent="0.25">
      <c r="B66" s="54" t="s">
        <v>220</v>
      </c>
      <c r="C66" s="55" t="s">
        <v>221</v>
      </c>
      <c r="D66" s="55">
        <f>[30]Amortizaciones!D8</f>
        <v>24624476.300000001</v>
      </c>
      <c r="E66" s="21" t="s">
        <v>222</v>
      </c>
      <c r="F66" s="19" t="s">
        <v>223</v>
      </c>
      <c r="G66" s="20"/>
    </row>
    <row r="67" spans="2:7" x14ac:dyDescent="0.25">
      <c r="B67" s="54" t="s">
        <v>224</v>
      </c>
      <c r="C67" s="55" t="s">
        <v>225</v>
      </c>
      <c r="D67" s="55">
        <f>[30]Amortizaciones!D9</f>
        <v>2602267.6</v>
      </c>
      <c r="E67" s="21" t="s">
        <v>226</v>
      </c>
      <c r="F67" s="19" t="s">
        <v>227</v>
      </c>
      <c r="G67" s="20">
        <v>14252285.17</v>
      </c>
    </row>
    <row r="68" spans="2:7" x14ac:dyDescent="0.25">
      <c r="B68" s="54" t="s">
        <v>228</v>
      </c>
      <c r="C68" s="55" t="s">
        <v>229</v>
      </c>
      <c r="D68" s="55">
        <f>[30]Amortizaciones!D10</f>
        <v>0</v>
      </c>
      <c r="E68" s="21" t="s">
        <v>230</v>
      </c>
      <c r="F68" s="19" t="s">
        <v>231</v>
      </c>
      <c r="G68" s="20"/>
    </row>
    <row r="69" spans="2:7" x14ac:dyDescent="0.25">
      <c r="B69" s="54" t="s">
        <v>232</v>
      </c>
      <c r="C69" s="55" t="s">
        <v>233</v>
      </c>
      <c r="D69" s="55">
        <f>[30]Amortizaciones!D11</f>
        <v>0</v>
      </c>
      <c r="E69" s="21" t="s">
        <v>234</v>
      </c>
      <c r="F69" s="19" t="s">
        <v>235</v>
      </c>
      <c r="G69" s="20"/>
    </row>
    <row r="70" spans="2:7" x14ac:dyDescent="0.25">
      <c r="B70" s="54" t="s">
        <v>236</v>
      </c>
      <c r="C70" s="55" t="s">
        <v>237</v>
      </c>
      <c r="D70" s="55">
        <f>[30]Amortizaciones!D12</f>
        <v>0</v>
      </c>
      <c r="E70" s="21" t="s">
        <v>238</v>
      </c>
      <c r="F70" s="19" t="s">
        <v>239</v>
      </c>
      <c r="G70" s="20"/>
    </row>
    <row r="71" spans="2:7" x14ac:dyDescent="0.25">
      <c r="B71" s="54" t="s">
        <v>240</v>
      </c>
      <c r="C71" s="55" t="s">
        <v>241</v>
      </c>
      <c r="D71" s="55">
        <f>[30]Amortizaciones!D13</f>
        <v>920946.2</v>
      </c>
      <c r="E71" s="21" t="s">
        <v>242</v>
      </c>
      <c r="F71" s="19" t="s">
        <v>243</v>
      </c>
      <c r="G71" s="20"/>
    </row>
    <row r="72" spans="2:7" x14ac:dyDescent="0.25">
      <c r="B72" s="54" t="s">
        <v>244</v>
      </c>
      <c r="C72" s="55" t="s">
        <v>245</v>
      </c>
      <c r="D72" s="55">
        <f>[30]Amortizaciones!D14</f>
        <v>0</v>
      </c>
      <c r="E72" s="21" t="s">
        <v>246</v>
      </c>
      <c r="F72" s="19" t="s">
        <v>247</v>
      </c>
      <c r="G72" s="20">
        <v>12238421</v>
      </c>
    </row>
    <row r="73" spans="2:7" x14ac:dyDescent="0.25">
      <c r="B73" s="54" t="s">
        <v>248</v>
      </c>
      <c r="C73" s="55" t="s">
        <v>249</v>
      </c>
      <c r="D73" s="55">
        <f>[30]Amortizaciones!D15</f>
        <v>0</v>
      </c>
      <c r="E73" s="21" t="s">
        <v>250</v>
      </c>
      <c r="F73" s="19" t="s">
        <v>251</v>
      </c>
      <c r="G73" s="20"/>
    </row>
    <row r="74" spans="2:7" x14ac:dyDescent="0.25">
      <c r="B74" s="54" t="s">
        <v>252</v>
      </c>
      <c r="C74" s="55" t="s">
        <v>253</v>
      </c>
      <c r="D74" s="55">
        <f>[30]Amortizaciones!D16</f>
        <v>0</v>
      </c>
      <c r="E74" s="21" t="s">
        <v>254</v>
      </c>
      <c r="F74" s="19" t="s">
        <v>255</v>
      </c>
      <c r="G74" s="20"/>
    </row>
    <row r="75" spans="2:7" x14ac:dyDescent="0.25">
      <c r="B75" s="54" t="s">
        <v>256</v>
      </c>
      <c r="C75" s="55" t="s">
        <v>257</v>
      </c>
      <c r="D75" s="55">
        <f>[30]Amortizaciones!D17</f>
        <v>0</v>
      </c>
      <c r="E75" s="21" t="s">
        <v>258</v>
      </c>
      <c r="F75" s="19" t="s">
        <v>259</v>
      </c>
      <c r="G75" s="20">
        <v>9649172</v>
      </c>
    </row>
    <row r="76" spans="2:7" x14ac:dyDescent="0.25">
      <c r="B76" s="54" t="s">
        <v>260</v>
      </c>
      <c r="C76" s="55" t="s">
        <v>261</v>
      </c>
      <c r="D76" s="55">
        <f>[30]Amortizaciones!D18</f>
        <v>0</v>
      </c>
      <c r="E76" s="21" t="s">
        <v>262</v>
      </c>
      <c r="F76" s="19" t="s">
        <v>263</v>
      </c>
      <c r="G76" s="20">
        <v>6761571</v>
      </c>
    </row>
    <row r="77" spans="2:7" x14ac:dyDescent="0.25">
      <c r="B77" s="54" t="s">
        <v>264</v>
      </c>
      <c r="C77" s="55" t="s">
        <v>265</v>
      </c>
      <c r="D77" s="55">
        <f>SUM(D64:D76)</f>
        <v>47908324.975000001</v>
      </c>
      <c r="E77" s="21" t="s">
        <v>266</v>
      </c>
      <c r="F77" s="19" t="s">
        <v>267</v>
      </c>
      <c r="G77" s="20">
        <v>130100691.69</v>
      </c>
    </row>
    <row r="78" spans="2:7" x14ac:dyDescent="0.25">
      <c r="B78" s="54"/>
      <c r="C78" s="55"/>
      <c r="D78" s="55"/>
      <c r="E78" s="21" t="s">
        <v>268</v>
      </c>
      <c r="F78" s="19" t="s">
        <v>269</v>
      </c>
      <c r="G78" s="27">
        <v>25672045</v>
      </c>
    </row>
    <row r="79" spans="2:7" ht="15.75" thickBot="1" x14ac:dyDescent="0.3">
      <c r="B79" s="54"/>
      <c r="C79" s="53" t="s">
        <v>270</v>
      </c>
      <c r="D79" s="56"/>
      <c r="E79" s="21"/>
      <c r="F79" s="28" t="s">
        <v>271</v>
      </c>
      <c r="G79" s="29">
        <f>SUM(G58:G78)</f>
        <v>646624517.79999995</v>
      </c>
    </row>
    <row r="80" spans="2:7" x14ac:dyDescent="0.25">
      <c r="B80" s="54" t="s">
        <v>272</v>
      </c>
      <c r="C80" s="55" t="s">
        <v>237</v>
      </c>
      <c r="D80" s="55">
        <f>[30]Amortizaciones!D22</f>
        <v>2772575.8000000003</v>
      </c>
      <c r="E80" s="21" t="s">
        <v>273</v>
      </c>
      <c r="F80" s="22" t="s">
        <v>274</v>
      </c>
      <c r="G80" s="23"/>
    </row>
    <row r="81" spans="2:7" x14ac:dyDescent="0.25">
      <c r="B81" s="54" t="s">
        <v>275</v>
      </c>
      <c r="C81" s="55" t="s">
        <v>241</v>
      </c>
      <c r="D81" s="55">
        <f>[30]Amortizaciones!D23</f>
        <v>0</v>
      </c>
      <c r="E81" s="21" t="s">
        <v>276</v>
      </c>
      <c r="F81" s="19" t="s">
        <v>277</v>
      </c>
      <c r="G81" s="20">
        <v>19382085</v>
      </c>
    </row>
    <row r="82" spans="2:7" x14ac:dyDescent="0.25">
      <c r="B82" s="54" t="s">
        <v>278</v>
      </c>
      <c r="C82" s="55" t="s">
        <v>245</v>
      </c>
      <c r="D82" s="55">
        <f>[30]Amortizaciones!D24</f>
        <v>2016729.9</v>
      </c>
      <c r="E82" s="21" t="s">
        <v>279</v>
      </c>
      <c r="F82" s="19" t="s">
        <v>280</v>
      </c>
      <c r="G82" s="20">
        <v>4392212.4800000004</v>
      </c>
    </row>
    <row r="83" spans="2:7" x14ac:dyDescent="0.25">
      <c r="B83" s="54" t="s">
        <v>281</v>
      </c>
      <c r="C83" s="55" t="s">
        <v>249</v>
      </c>
      <c r="D83" s="55">
        <f>[30]Amortizaciones!D25</f>
        <v>0</v>
      </c>
      <c r="E83" s="21" t="s">
        <v>282</v>
      </c>
      <c r="F83" s="19" t="s">
        <v>283</v>
      </c>
      <c r="G83" s="20">
        <v>2570865</v>
      </c>
    </row>
    <row r="84" spans="2:7" x14ac:dyDescent="0.25">
      <c r="B84" s="54" t="s">
        <v>284</v>
      </c>
      <c r="C84" s="55" t="s">
        <v>285</v>
      </c>
      <c r="D84" s="55">
        <v>0</v>
      </c>
      <c r="E84" s="21" t="s">
        <v>286</v>
      </c>
      <c r="F84" s="19" t="s">
        <v>287</v>
      </c>
      <c r="G84" s="20">
        <v>12075725</v>
      </c>
    </row>
    <row r="85" spans="2:7" x14ac:dyDescent="0.25">
      <c r="B85" s="54" t="s">
        <v>288</v>
      </c>
      <c r="C85" s="55" t="s">
        <v>289</v>
      </c>
      <c r="D85" s="55">
        <f>[30]Amortizaciones!D27</f>
        <v>0</v>
      </c>
      <c r="E85" s="21" t="s">
        <v>290</v>
      </c>
      <c r="F85" s="19" t="s">
        <v>291</v>
      </c>
      <c r="G85" s="20">
        <v>12254813</v>
      </c>
    </row>
    <row r="86" spans="2:7" x14ac:dyDescent="0.25">
      <c r="B86" s="54" t="s">
        <v>292</v>
      </c>
      <c r="C86" s="55" t="s">
        <v>293</v>
      </c>
      <c r="D86" s="55">
        <f>[30]Amortizaciones!D28</f>
        <v>0</v>
      </c>
      <c r="E86" s="21" t="s">
        <v>294</v>
      </c>
      <c r="F86" s="19" t="s">
        <v>295</v>
      </c>
      <c r="G86" s="20">
        <v>10269718</v>
      </c>
    </row>
    <row r="87" spans="2:7" x14ac:dyDescent="0.25">
      <c r="B87" s="54" t="s">
        <v>296</v>
      </c>
      <c r="C87" s="55" t="s">
        <v>297</v>
      </c>
      <c r="D87" s="55">
        <f>[30]Amortizaciones!D29</f>
        <v>0</v>
      </c>
      <c r="E87" s="21" t="s">
        <v>298</v>
      </c>
      <c r="F87" s="19" t="s">
        <v>299</v>
      </c>
      <c r="G87" s="20"/>
    </row>
    <row r="88" spans="2:7" x14ac:dyDescent="0.25">
      <c r="B88" s="54" t="s">
        <v>300</v>
      </c>
      <c r="C88" s="55" t="s">
        <v>301</v>
      </c>
      <c r="D88" s="55">
        <f>[30]Amortizaciones!D30</f>
        <v>0</v>
      </c>
      <c r="E88" s="21" t="s">
        <v>302</v>
      </c>
      <c r="F88" s="19" t="s">
        <v>303</v>
      </c>
      <c r="G88" s="20">
        <v>7160272.1300000027</v>
      </c>
    </row>
    <row r="89" spans="2:7" x14ac:dyDescent="0.25">
      <c r="B89" s="54" t="s">
        <v>304</v>
      </c>
      <c r="C89" s="55" t="s">
        <v>213</v>
      </c>
      <c r="D89" s="55">
        <f>[30]Amortizaciones!D31</f>
        <v>0</v>
      </c>
      <c r="E89" s="21" t="s">
        <v>305</v>
      </c>
      <c r="F89" s="19" t="s">
        <v>306</v>
      </c>
      <c r="G89" s="20"/>
    </row>
    <row r="90" spans="2:7" x14ac:dyDescent="0.25">
      <c r="B90" s="54" t="s">
        <v>307</v>
      </c>
      <c r="C90" s="55" t="s">
        <v>229</v>
      </c>
      <c r="D90" s="55">
        <f>[30]Amortizaciones!D32</f>
        <v>0</v>
      </c>
      <c r="E90" s="21" t="s">
        <v>308</v>
      </c>
      <c r="F90" s="19" t="s">
        <v>309</v>
      </c>
      <c r="G90" s="20">
        <v>3647627</v>
      </c>
    </row>
    <row r="91" spans="2:7" x14ac:dyDescent="0.25">
      <c r="B91" s="54" t="s">
        <v>310</v>
      </c>
      <c r="C91" s="55" t="s">
        <v>311</v>
      </c>
      <c r="D91" s="55">
        <f>SUM(D80:D90)</f>
        <v>4789305.7</v>
      </c>
      <c r="E91" s="52" t="s">
        <v>312</v>
      </c>
      <c r="F91" s="19" t="s">
        <v>313</v>
      </c>
      <c r="G91" s="20"/>
    </row>
    <row r="92" spans="2:7" x14ac:dyDescent="0.25">
      <c r="B92" s="54"/>
      <c r="C92" s="57" t="s">
        <v>314</v>
      </c>
      <c r="D92" s="55">
        <f>D77+D91</f>
        <v>52697630.675000004</v>
      </c>
      <c r="E92" s="52" t="s">
        <v>315</v>
      </c>
      <c r="F92" s="19" t="s">
        <v>316</v>
      </c>
      <c r="G92" s="20"/>
    </row>
    <row r="93" spans="2:7" x14ac:dyDescent="0.25">
      <c r="E93" s="52" t="s">
        <v>317</v>
      </c>
      <c r="F93" s="19" t="s">
        <v>318</v>
      </c>
      <c r="G93" s="20">
        <v>17980699.390000001</v>
      </c>
    </row>
    <row r="94" spans="2:7" x14ac:dyDescent="0.25">
      <c r="E94" s="52" t="s">
        <v>319</v>
      </c>
      <c r="F94" s="19" t="s">
        <v>320</v>
      </c>
      <c r="G94" s="27">
        <v>2150368</v>
      </c>
    </row>
    <row r="95" spans="2:7" ht="13.5" customHeight="1" thickBot="1" x14ac:dyDescent="0.3">
      <c r="E95" s="21"/>
      <c r="F95" s="28" t="s">
        <v>321</v>
      </c>
      <c r="G95" s="29">
        <f>SUM(G80:G94)</f>
        <v>91884385.000000015</v>
      </c>
    </row>
    <row r="96" spans="2:7" x14ac:dyDescent="0.25">
      <c r="E96" s="52" t="s">
        <v>322</v>
      </c>
      <c r="F96" s="22" t="s">
        <v>323</v>
      </c>
      <c r="G96" s="23">
        <v>3049599.26</v>
      </c>
    </row>
    <row r="97" spans="2:7" x14ac:dyDescent="0.25">
      <c r="E97" s="52" t="s">
        <v>324</v>
      </c>
      <c r="F97" s="19" t="s">
        <v>325</v>
      </c>
      <c r="G97" s="20">
        <v>4175428.99</v>
      </c>
    </row>
    <row r="98" spans="2:7" x14ac:dyDescent="0.25">
      <c r="E98" s="52" t="s">
        <v>326</v>
      </c>
      <c r="F98" s="19" t="s">
        <v>327</v>
      </c>
      <c r="G98" s="20">
        <v>5649821.5399999991</v>
      </c>
    </row>
    <row r="99" spans="2:7" x14ac:dyDescent="0.25">
      <c r="E99" s="52" t="s">
        <v>328</v>
      </c>
      <c r="F99" s="19" t="s">
        <v>329</v>
      </c>
      <c r="G99" s="20">
        <v>4942326.1100000013</v>
      </c>
    </row>
    <row r="100" spans="2:7" x14ac:dyDescent="0.25">
      <c r="E100" s="52" t="s">
        <v>330</v>
      </c>
      <c r="F100" s="19" t="s">
        <v>331</v>
      </c>
      <c r="G100" s="27">
        <v>1448844</v>
      </c>
    </row>
    <row r="101" spans="2:7" ht="15.75" thickBot="1" x14ac:dyDescent="0.3">
      <c r="E101" s="21"/>
      <c r="F101" s="28" t="s">
        <v>332</v>
      </c>
      <c r="G101" s="29">
        <f>SUM(G96:G100)</f>
        <v>19266019.899999999</v>
      </c>
    </row>
    <row r="102" spans="2:7" ht="15.75" thickBot="1" x14ac:dyDescent="0.3">
      <c r="E102" s="52"/>
      <c r="F102" s="59" t="s">
        <v>333</v>
      </c>
      <c r="G102" s="60">
        <f>[30]Amortizaciones!D19</f>
        <v>47908324.975000001</v>
      </c>
    </row>
    <row r="103" spans="2:7" x14ac:dyDescent="0.25">
      <c r="E103" s="52" t="s">
        <v>334</v>
      </c>
      <c r="F103" s="19" t="s">
        <v>335</v>
      </c>
      <c r="G103" s="23"/>
    </row>
    <row r="104" spans="2:7" x14ac:dyDescent="0.25">
      <c r="E104" s="52" t="s">
        <v>336</v>
      </c>
      <c r="F104" s="61" t="s">
        <v>337</v>
      </c>
      <c r="G104" s="20"/>
    </row>
    <row r="105" spans="2:7" ht="15.75" thickBot="1" x14ac:dyDescent="0.3">
      <c r="E105" s="21"/>
      <c r="F105" s="28" t="s">
        <v>338</v>
      </c>
      <c r="G105" s="29">
        <f>SUM(G103:G104)</f>
        <v>0</v>
      </c>
    </row>
    <row r="106" spans="2:7" ht="13.7" customHeight="1" thickBot="1" x14ac:dyDescent="0.3">
      <c r="B106" s="6"/>
      <c r="C106" s="62"/>
      <c r="D106" s="62"/>
      <c r="E106" s="52"/>
      <c r="F106" s="48" t="s">
        <v>339</v>
      </c>
      <c r="G106" s="49">
        <f>G19+G27+G32+G48+G57+G79+G95+G101+G102+G105</f>
        <v>2389792013.5950003</v>
      </c>
    </row>
    <row r="107" spans="2:7" ht="13.7" customHeight="1" x14ac:dyDescent="0.25">
      <c r="B107" s="6"/>
      <c r="C107" s="62"/>
      <c r="D107" s="62"/>
      <c r="E107" s="21"/>
      <c r="F107" s="63"/>
      <c r="G107" s="64"/>
    </row>
    <row r="108" spans="2:7" ht="13.7" customHeight="1" thickBot="1" x14ac:dyDescent="0.3">
      <c r="B108" s="6"/>
      <c r="C108" s="62"/>
      <c r="D108" s="62"/>
      <c r="E108" s="21"/>
    </row>
    <row r="109" spans="2:7" ht="13.7" customHeight="1" thickBot="1" x14ac:dyDescent="0.3">
      <c r="B109" s="6"/>
      <c r="C109" s="62"/>
      <c r="D109" s="62"/>
      <c r="E109" s="21"/>
      <c r="F109" s="13" t="s">
        <v>340</v>
      </c>
      <c r="G109" s="65">
        <f>D61-G106</f>
        <v>290086046.40499973</v>
      </c>
    </row>
    <row r="110" spans="2:7" ht="13.7" customHeight="1" thickBot="1" x14ac:dyDescent="0.3">
      <c r="B110" s="6"/>
      <c r="C110" s="62"/>
      <c r="D110" s="62"/>
      <c r="E110" s="21"/>
    </row>
    <row r="111" spans="2:7" ht="13.7" customHeight="1" thickBot="1" x14ac:dyDescent="0.3">
      <c r="C111" s="48" t="s">
        <v>270</v>
      </c>
      <c r="D111" s="17">
        <f>+[30]E.S.P.!D6</f>
        <v>2020</v>
      </c>
      <c r="E111" s="52"/>
      <c r="F111" s="48" t="s">
        <v>341</v>
      </c>
      <c r="G111" s="17">
        <f>+[30]E.S.P.!D6</f>
        <v>2020</v>
      </c>
    </row>
    <row r="112" spans="2:7" ht="13.7" customHeight="1" x14ac:dyDescent="0.25">
      <c r="B112" s="6" t="s">
        <v>342</v>
      </c>
      <c r="C112" s="66" t="s">
        <v>343</v>
      </c>
      <c r="D112" s="67">
        <v>14741228</v>
      </c>
      <c r="E112" s="21" t="s">
        <v>344</v>
      </c>
      <c r="F112" s="66" t="s">
        <v>309</v>
      </c>
      <c r="G112" s="67">
        <v>324698</v>
      </c>
    </row>
    <row r="113" spans="2:7" ht="13.7" customHeight="1" x14ac:dyDescent="0.25">
      <c r="B113" s="6" t="s">
        <v>345</v>
      </c>
      <c r="C113" s="68" t="s">
        <v>346</v>
      </c>
      <c r="D113" s="69">
        <v>140650302</v>
      </c>
      <c r="E113" s="21" t="s">
        <v>347</v>
      </c>
      <c r="F113" s="68" t="s">
        <v>348</v>
      </c>
      <c r="G113" s="69"/>
    </row>
    <row r="114" spans="2:7" ht="13.7" customHeight="1" x14ac:dyDescent="0.25">
      <c r="B114" s="6" t="s">
        <v>349</v>
      </c>
      <c r="C114" s="68" t="s">
        <v>48</v>
      </c>
      <c r="D114" s="69"/>
      <c r="E114" s="21" t="s">
        <v>350</v>
      </c>
      <c r="F114" s="68" t="s">
        <v>351</v>
      </c>
      <c r="G114" s="69"/>
    </row>
    <row r="115" spans="2:7" ht="13.7" customHeight="1" x14ac:dyDescent="0.25">
      <c r="B115" s="6" t="s">
        <v>352</v>
      </c>
      <c r="C115" s="68" t="s">
        <v>353</v>
      </c>
      <c r="D115" s="69">
        <v>670174</v>
      </c>
      <c r="E115" s="21" t="s">
        <v>354</v>
      </c>
      <c r="F115" s="68" t="s">
        <v>355</v>
      </c>
      <c r="G115" s="69"/>
    </row>
    <row r="116" spans="2:7" ht="13.7" customHeight="1" x14ac:dyDescent="0.25">
      <c r="B116" s="6" t="s">
        <v>356</v>
      </c>
      <c r="C116" s="68" t="s">
        <v>357</v>
      </c>
      <c r="D116" s="69">
        <v>6394326</v>
      </c>
      <c r="E116" s="21" t="s">
        <v>358</v>
      </c>
      <c r="F116" s="68" t="s">
        <v>359</v>
      </c>
      <c r="G116" s="69">
        <v>544928</v>
      </c>
    </row>
    <row r="117" spans="2:7" ht="13.7" customHeight="1" x14ac:dyDescent="0.25">
      <c r="B117" s="6" t="s">
        <v>360</v>
      </c>
      <c r="C117" s="68" t="s">
        <v>361</v>
      </c>
      <c r="D117" s="69"/>
      <c r="E117" s="21" t="s">
        <v>362</v>
      </c>
      <c r="F117" s="68" t="s">
        <v>363</v>
      </c>
      <c r="G117" s="69"/>
    </row>
    <row r="118" spans="2:7" ht="13.7" customHeight="1" x14ac:dyDescent="0.25">
      <c r="B118" s="6" t="s">
        <v>364</v>
      </c>
      <c r="C118" s="68" t="s">
        <v>365</v>
      </c>
      <c r="D118" s="69"/>
      <c r="E118" s="21" t="s">
        <v>366</v>
      </c>
      <c r="F118" s="68" t="s">
        <v>367</v>
      </c>
      <c r="G118" s="69"/>
    </row>
    <row r="119" spans="2:7" ht="13.7" customHeight="1" x14ac:dyDescent="0.25">
      <c r="B119" s="6" t="s">
        <v>368</v>
      </c>
      <c r="C119" s="68" t="s">
        <v>369</v>
      </c>
      <c r="D119" s="69"/>
      <c r="E119" s="21" t="s">
        <v>370</v>
      </c>
      <c r="F119" s="68" t="s">
        <v>371</v>
      </c>
      <c r="G119" s="69"/>
    </row>
    <row r="120" spans="2:7" ht="13.7" customHeight="1" x14ac:dyDescent="0.25">
      <c r="B120" s="6" t="s">
        <v>372</v>
      </c>
      <c r="C120" s="68" t="s">
        <v>373</v>
      </c>
      <c r="D120" s="69"/>
      <c r="E120" s="21" t="s">
        <v>374</v>
      </c>
      <c r="F120" s="68" t="s">
        <v>375</v>
      </c>
      <c r="G120" s="69"/>
    </row>
    <row r="121" spans="2:7" ht="13.7" customHeight="1" x14ac:dyDescent="0.25">
      <c r="B121" s="6" t="s">
        <v>376</v>
      </c>
      <c r="C121" s="19" t="s">
        <v>377</v>
      </c>
      <c r="D121" s="69">
        <v>8908003</v>
      </c>
      <c r="E121" s="21" t="s">
        <v>378</v>
      </c>
      <c r="F121" s="68" t="s">
        <v>379</v>
      </c>
      <c r="G121" s="69">
        <v>875665</v>
      </c>
    </row>
    <row r="122" spans="2:7" ht="13.7" customHeight="1" thickBot="1" x14ac:dyDescent="0.3">
      <c r="B122" s="6"/>
      <c r="C122" s="28" t="s">
        <v>380</v>
      </c>
      <c r="D122" s="37">
        <f>SUM(D112:D121)</f>
        <v>171364033</v>
      </c>
      <c r="E122" s="21" t="s">
        <v>381</v>
      </c>
      <c r="F122" s="19" t="s">
        <v>382</v>
      </c>
      <c r="G122" s="20">
        <v>89058</v>
      </c>
    </row>
    <row r="123" spans="2:7" ht="13.7" customHeight="1" thickBot="1" x14ac:dyDescent="0.3">
      <c r="B123" s="6" t="s">
        <v>383</v>
      </c>
      <c r="C123" s="70" t="s">
        <v>309</v>
      </c>
      <c r="D123" s="67"/>
      <c r="E123" s="52"/>
      <c r="F123" s="28" t="s">
        <v>384</v>
      </c>
      <c r="G123" s="37">
        <f>SUM(G112:G122)</f>
        <v>1834349</v>
      </c>
    </row>
    <row r="124" spans="2:7" ht="13.7" customHeight="1" x14ac:dyDescent="0.25">
      <c r="B124" s="6" t="s">
        <v>385</v>
      </c>
      <c r="C124" s="68" t="s">
        <v>313</v>
      </c>
      <c r="D124" s="69"/>
      <c r="E124" s="21" t="s">
        <v>386</v>
      </c>
      <c r="F124" s="68" t="s">
        <v>387</v>
      </c>
      <c r="G124" s="69"/>
    </row>
    <row r="125" spans="2:7" ht="13.7" customHeight="1" x14ac:dyDescent="0.25">
      <c r="B125" s="6" t="s">
        <v>388</v>
      </c>
      <c r="C125" s="19" t="s">
        <v>389</v>
      </c>
      <c r="D125" s="69"/>
      <c r="E125" s="21" t="s">
        <v>390</v>
      </c>
      <c r="F125" s="68" t="s">
        <v>391</v>
      </c>
      <c r="G125" s="69">
        <v>46901</v>
      </c>
    </row>
    <row r="126" spans="2:7" ht="13.7" customHeight="1" thickBot="1" x14ac:dyDescent="0.3">
      <c r="B126" s="6"/>
      <c r="C126" s="28" t="s">
        <v>392</v>
      </c>
      <c r="D126" s="37">
        <f>SUM(D123:D125)</f>
        <v>0</v>
      </c>
      <c r="E126" s="21" t="s">
        <v>393</v>
      </c>
      <c r="F126" s="68" t="s">
        <v>394</v>
      </c>
      <c r="G126" s="69"/>
    </row>
    <row r="127" spans="2:7" ht="13.7" customHeight="1" x14ac:dyDescent="0.25">
      <c r="B127" s="6" t="s">
        <v>395</v>
      </c>
      <c r="C127" s="66" t="s">
        <v>274</v>
      </c>
      <c r="D127" s="67">
        <v>3710526</v>
      </c>
      <c r="E127" s="21" t="s">
        <v>396</v>
      </c>
      <c r="F127" s="68" t="s">
        <v>397</v>
      </c>
      <c r="G127" s="69"/>
    </row>
    <row r="128" spans="2:7" ht="13.7" customHeight="1" x14ac:dyDescent="0.25">
      <c r="B128" s="6" t="s">
        <v>398</v>
      </c>
      <c r="C128" s="68" t="s">
        <v>399</v>
      </c>
      <c r="D128" s="69">
        <v>2754200</v>
      </c>
      <c r="E128" s="21" t="s">
        <v>400</v>
      </c>
      <c r="F128" s="68" t="s">
        <v>401</v>
      </c>
      <c r="G128" s="69"/>
    </row>
    <row r="129" spans="2:7" ht="13.7" customHeight="1" x14ac:dyDescent="0.25">
      <c r="B129" s="6" t="s">
        <v>402</v>
      </c>
      <c r="C129" s="68" t="s">
        <v>277</v>
      </c>
      <c r="D129" s="69"/>
      <c r="E129" s="21" t="s">
        <v>403</v>
      </c>
      <c r="F129" s="68" t="s">
        <v>404</v>
      </c>
      <c r="G129" s="69"/>
    </row>
    <row r="130" spans="2:7" ht="13.7" customHeight="1" x14ac:dyDescent="0.25">
      <c r="B130" s="6" t="s">
        <v>405</v>
      </c>
      <c r="C130" s="68" t="s">
        <v>283</v>
      </c>
      <c r="D130" s="69"/>
      <c r="E130" s="21" t="s">
        <v>406</v>
      </c>
      <c r="F130" s="68" t="s">
        <v>407</v>
      </c>
      <c r="G130" s="69"/>
    </row>
    <row r="131" spans="2:7" ht="13.7" customHeight="1" x14ac:dyDescent="0.25">
      <c r="B131" s="6" t="s">
        <v>408</v>
      </c>
      <c r="C131" s="68" t="s">
        <v>287</v>
      </c>
      <c r="D131" s="69"/>
      <c r="E131" s="21" t="s">
        <v>409</v>
      </c>
      <c r="F131" s="68" t="s">
        <v>410</v>
      </c>
      <c r="G131" s="69"/>
    </row>
    <row r="132" spans="2:7" ht="13.7" customHeight="1" x14ac:dyDescent="0.25">
      <c r="B132" s="6" t="s">
        <v>411</v>
      </c>
      <c r="C132" s="68" t="s">
        <v>291</v>
      </c>
      <c r="D132" s="69"/>
      <c r="E132" s="21" t="s">
        <v>412</v>
      </c>
      <c r="F132" s="68" t="s">
        <v>413</v>
      </c>
      <c r="G132" s="69"/>
    </row>
    <row r="133" spans="2:7" ht="13.7" customHeight="1" x14ac:dyDescent="0.25">
      <c r="B133" s="6" t="s">
        <v>414</v>
      </c>
      <c r="C133" s="68" t="s">
        <v>295</v>
      </c>
      <c r="D133" s="69"/>
      <c r="E133" s="21" t="s">
        <v>415</v>
      </c>
      <c r="F133" s="68" t="s">
        <v>416</v>
      </c>
      <c r="G133" s="69"/>
    </row>
    <row r="134" spans="2:7" ht="13.7" customHeight="1" x14ac:dyDescent="0.25">
      <c r="B134" s="6" t="s">
        <v>417</v>
      </c>
      <c r="C134" s="68" t="s">
        <v>418</v>
      </c>
      <c r="D134" s="69">
        <v>3114306.48</v>
      </c>
      <c r="E134" s="21" t="s">
        <v>419</v>
      </c>
      <c r="F134" s="68" t="s">
        <v>420</v>
      </c>
      <c r="G134" s="69">
        <v>4471404</v>
      </c>
    </row>
    <row r="135" spans="2:7" ht="13.7" customHeight="1" x14ac:dyDescent="0.25">
      <c r="B135" s="6" t="s">
        <v>421</v>
      </c>
      <c r="C135" s="68" t="s">
        <v>422</v>
      </c>
      <c r="D135" s="69"/>
      <c r="E135" s="21" t="s">
        <v>423</v>
      </c>
      <c r="F135" s="68" t="s">
        <v>424</v>
      </c>
      <c r="G135" s="69"/>
    </row>
    <row r="136" spans="2:7" ht="13.7" customHeight="1" x14ac:dyDescent="0.25">
      <c r="B136" s="6" t="s">
        <v>425</v>
      </c>
      <c r="C136" s="68" t="s">
        <v>318</v>
      </c>
      <c r="D136" s="69">
        <f>45209877.87+759241.85</f>
        <v>45969119.719999999</v>
      </c>
      <c r="E136" s="21" t="s">
        <v>426</v>
      </c>
      <c r="F136" s="68" t="s">
        <v>427</v>
      </c>
      <c r="G136" s="69"/>
    </row>
    <row r="137" spans="2:7" ht="13.7" customHeight="1" x14ac:dyDescent="0.25">
      <c r="B137" s="6" t="s">
        <v>428</v>
      </c>
      <c r="C137" s="19" t="s">
        <v>320</v>
      </c>
      <c r="D137" s="71">
        <v>2243226</v>
      </c>
      <c r="E137" s="21" t="s">
        <v>429</v>
      </c>
      <c r="F137" s="68" t="s">
        <v>430</v>
      </c>
      <c r="G137" s="69"/>
    </row>
    <row r="138" spans="2:7" ht="13.7" customHeight="1" thickBot="1" x14ac:dyDescent="0.3">
      <c r="B138" s="6"/>
      <c r="C138" s="28" t="s">
        <v>321</v>
      </c>
      <c r="D138" s="37">
        <f>SUM(D127:D137)</f>
        <v>57791378.200000003</v>
      </c>
      <c r="E138" s="21" t="s">
        <v>431</v>
      </c>
      <c r="F138" s="19" t="s">
        <v>432</v>
      </c>
      <c r="G138" s="20">
        <v>-180465</v>
      </c>
    </row>
    <row r="139" spans="2:7" ht="13.7" customHeight="1" thickBot="1" x14ac:dyDescent="0.3">
      <c r="B139" s="6" t="s">
        <v>433</v>
      </c>
      <c r="C139" s="66" t="s">
        <v>327</v>
      </c>
      <c r="D139" s="67"/>
      <c r="E139" s="7"/>
      <c r="F139" s="28" t="s">
        <v>434</v>
      </c>
      <c r="G139" s="37">
        <f>SUM(G124:G138)</f>
        <v>4337840</v>
      </c>
    </row>
    <row r="140" spans="2:7" ht="13.7" customHeight="1" thickBot="1" x14ac:dyDescent="0.3">
      <c r="B140" s="6" t="s">
        <v>435</v>
      </c>
      <c r="C140" s="68" t="s">
        <v>329</v>
      </c>
      <c r="D140" s="69">
        <v>2220423.27</v>
      </c>
      <c r="E140" s="7"/>
      <c r="F140" s="48" t="s">
        <v>436</v>
      </c>
      <c r="G140" s="72">
        <f>G123-G139</f>
        <v>-2503491</v>
      </c>
    </row>
    <row r="141" spans="2:7" ht="13.7" customHeight="1" x14ac:dyDescent="0.25">
      <c r="B141" s="6" t="s">
        <v>437</v>
      </c>
      <c r="C141" s="19" t="s">
        <v>331</v>
      </c>
      <c r="D141" s="71">
        <v>86132</v>
      </c>
      <c r="E141" s="73"/>
    </row>
    <row r="142" spans="2:7" ht="13.7" customHeight="1" thickBot="1" x14ac:dyDescent="0.3">
      <c r="B142" s="6"/>
      <c r="C142" s="28" t="s">
        <v>332</v>
      </c>
      <c r="D142" s="37">
        <f>SUM(D139:D141)</f>
        <v>2306555.27</v>
      </c>
      <c r="E142" s="73"/>
    </row>
    <row r="143" spans="2:7" ht="13.7" customHeight="1" thickBot="1" x14ac:dyDescent="0.3">
      <c r="B143" s="6"/>
      <c r="C143" s="59" t="s">
        <v>438</v>
      </c>
      <c r="D143" s="74">
        <f>[30]Amortizaciones!D33</f>
        <v>4789305.7</v>
      </c>
      <c r="E143" s="21"/>
      <c r="F143" s="48" t="s">
        <v>439</v>
      </c>
      <c r="G143" s="17">
        <f>+[30]E.S.P.!D6</f>
        <v>2020</v>
      </c>
    </row>
    <row r="144" spans="2:7" ht="13.7" customHeight="1" x14ac:dyDescent="0.25">
      <c r="B144" s="6" t="s">
        <v>440</v>
      </c>
      <c r="C144" s="66" t="s">
        <v>441</v>
      </c>
      <c r="D144" s="67">
        <v>2817580</v>
      </c>
      <c r="E144" s="21" t="s">
        <v>442</v>
      </c>
      <c r="F144" s="66" t="s">
        <v>443</v>
      </c>
      <c r="G144" s="67">
        <v>12201122</v>
      </c>
    </row>
    <row r="145" spans="2:7" ht="13.7" customHeight="1" x14ac:dyDescent="0.25">
      <c r="B145" s="6" t="s">
        <v>444</v>
      </c>
      <c r="C145" s="68" t="s">
        <v>445</v>
      </c>
      <c r="D145" s="69"/>
      <c r="E145" s="21" t="s">
        <v>446</v>
      </c>
      <c r="F145" s="68" t="s">
        <v>447</v>
      </c>
      <c r="G145" s="69"/>
    </row>
    <row r="146" spans="2:7" ht="13.7" customHeight="1" x14ac:dyDescent="0.25">
      <c r="B146" s="6" t="s">
        <v>448</v>
      </c>
      <c r="C146" s="75" t="s">
        <v>449</v>
      </c>
      <c r="D146" s="69">
        <v>24463</v>
      </c>
      <c r="E146" s="21" t="s">
        <v>450</v>
      </c>
      <c r="F146" s="68" t="s">
        <v>451</v>
      </c>
      <c r="G146" s="69">
        <v>3685925</v>
      </c>
    </row>
    <row r="147" spans="2:7" ht="13.7" customHeight="1" x14ac:dyDescent="0.25">
      <c r="B147" s="6" t="s">
        <v>452</v>
      </c>
      <c r="C147" s="19" t="s">
        <v>453</v>
      </c>
      <c r="D147" s="71">
        <v>107455</v>
      </c>
      <c r="E147" s="21" t="s">
        <v>454</v>
      </c>
      <c r="F147" s="68" t="s">
        <v>455</v>
      </c>
      <c r="G147" s="69"/>
    </row>
    <row r="148" spans="2:7" ht="13.7" customHeight="1" thickBot="1" x14ac:dyDescent="0.3">
      <c r="B148" s="6"/>
      <c r="C148" s="28" t="s">
        <v>456</v>
      </c>
      <c r="D148" s="37">
        <f>SUM(D144:D147)</f>
        <v>2949498</v>
      </c>
      <c r="E148" s="21" t="s">
        <v>457</v>
      </c>
      <c r="F148" s="68" t="s">
        <v>458</v>
      </c>
      <c r="G148" s="69"/>
    </row>
    <row r="149" spans="2:7" ht="13.7" customHeight="1" x14ac:dyDescent="0.25">
      <c r="B149" s="6" t="s">
        <v>459</v>
      </c>
      <c r="C149" s="66" t="s">
        <v>460</v>
      </c>
      <c r="D149" s="67">
        <v>-760556.19</v>
      </c>
      <c r="E149" s="21" t="s">
        <v>461</v>
      </c>
      <c r="F149" s="68" t="s">
        <v>462</v>
      </c>
      <c r="G149" s="69"/>
    </row>
    <row r="150" spans="2:7" ht="13.7" customHeight="1" x14ac:dyDescent="0.25">
      <c r="B150" s="6" t="s">
        <v>463</v>
      </c>
      <c r="C150" s="68" t="s">
        <v>464</v>
      </c>
      <c r="D150" s="69">
        <v>1524706</v>
      </c>
      <c r="E150" s="21" t="s">
        <v>465</v>
      </c>
      <c r="F150" s="68" t="s">
        <v>466</v>
      </c>
      <c r="G150" s="69"/>
    </row>
    <row r="151" spans="2:7" ht="13.7" customHeight="1" x14ac:dyDescent="0.25">
      <c r="B151" s="6" t="s">
        <v>467</v>
      </c>
      <c r="C151" s="19" t="s">
        <v>468</v>
      </c>
      <c r="D151" s="71">
        <v>121502</v>
      </c>
      <c r="E151" s="21" t="s">
        <v>469</v>
      </c>
      <c r="F151" s="68" t="s">
        <v>470</v>
      </c>
      <c r="G151" s="69">
        <v>36959503</v>
      </c>
    </row>
    <row r="152" spans="2:7" ht="13.7" customHeight="1" thickBot="1" x14ac:dyDescent="0.3">
      <c r="B152" s="6"/>
      <c r="C152" s="28" t="s">
        <v>471</v>
      </c>
      <c r="D152" s="37">
        <f>SUM(D149:D151)</f>
        <v>885651.81</v>
      </c>
      <c r="E152" s="21" t="s">
        <v>472</v>
      </c>
      <c r="F152" s="68" t="s">
        <v>473</v>
      </c>
      <c r="G152" s="69"/>
    </row>
    <row r="153" spans="2:7" ht="13.7" customHeight="1" thickBot="1" x14ac:dyDescent="0.3">
      <c r="B153" s="6"/>
      <c r="C153" s="48" t="s">
        <v>474</v>
      </c>
      <c r="D153" s="76">
        <f>D122+D126+D138+D142+D143+D148+D152</f>
        <v>240086421.97999999</v>
      </c>
      <c r="E153" s="21" t="s">
        <v>475</v>
      </c>
      <c r="F153" s="19" t="s">
        <v>476</v>
      </c>
      <c r="G153" s="20">
        <v>508451</v>
      </c>
    </row>
    <row r="154" spans="2:7" ht="13.7" customHeight="1" thickBot="1" x14ac:dyDescent="0.3">
      <c r="B154" s="6"/>
      <c r="E154" s="21"/>
      <c r="F154" s="28" t="s">
        <v>477</v>
      </c>
      <c r="G154" s="37">
        <f>SUM(G144:G153)</f>
        <v>53355001</v>
      </c>
    </row>
    <row r="155" spans="2:7" ht="13.7" customHeight="1" thickBot="1" x14ac:dyDescent="0.3">
      <c r="B155" s="6"/>
      <c r="C155" s="77" t="s">
        <v>478</v>
      </c>
      <c r="D155" s="65">
        <f>G109-D153</f>
        <v>49999624.424999744</v>
      </c>
      <c r="E155" s="21" t="s">
        <v>479</v>
      </c>
      <c r="F155" s="66" t="s">
        <v>480</v>
      </c>
      <c r="G155" s="67"/>
    </row>
    <row r="156" spans="2:7" ht="13.7" customHeight="1" x14ac:dyDescent="0.25">
      <c r="E156" s="21" t="s">
        <v>481</v>
      </c>
      <c r="F156" s="68" t="s">
        <v>482</v>
      </c>
      <c r="G156" s="69"/>
    </row>
    <row r="157" spans="2:7" ht="13.7" customHeight="1" x14ac:dyDescent="0.25">
      <c r="E157" s="21" t="s">
        <v>483</v>
      </c>
      <c r="F157" s="68" t="s">
        <v>484</v>
      </c>
      <c r="G157" s="69"/>
    </row>
    <row r="158" spans="2:7" ht="13.7" customHeight="1" x14ac:dyDescent="0.25">
      <c r="E158" s="21" t="s">
        <v>485</v>
      </c>
      <c r="F158" s="68" t="s">
        <v>486</v>
      </c>
      <c r="G158" s="69"/>
    </row>
    <row r="159" spans="2:7" ht="13.7" customHeight="1" x14ac:dyDescent="0.25">
      <c r="E159" s="21" t="s">
        <v>487</v>
      </c>
      <c r="F159" s="68" t="s">
        <v>488</v>
      </c>
      <c r="G159" s="69"/>
    </row>
    <row r="160" spans="2:7" ht="13.7" customHeight="1" x14ac:dyDescent="0.25">
      <c r="E160" s="21" t="s">
        <v>489</v>
      </c>
      <c r="F160" s="68" t="s">
        <v>490</v>
      </c>
      <c r="G160" s="69"/>
    </row>
    <row r="161" spans="5:7" ht="13.7" customHeight="1" x14ac:dyDescent="0.25">
      <c r="E161" s="21" t="s">
        <v>491</v>
      </c>
      <c r="F161" s="68" t="s">
        <v>492</v>
      </c>
      <c r="G161" s="69"/>
    </row>
    <row r="162" spans="5:7" ht="13.7" customHeight="1" x14ac:dyDescent="0.25">
      <c r="E162" s="21" t="s">
        <v>493</v>
      </c>
      <c r="F162" s="68" t="s">
        <v>494</v>
      </c>
      <c r="G162" s="69"/>
    </row>
    <row r="163" spans="5:7" ht="13.7" customHeight="1" x14ac:dyDescent="0.25">
      <c r="E163" s="21" t="s">
        <v>495</v>
      </c>
      <c r="F163" s="68" t="s">
        <v>496</v>
      </c>
      <c r="G163" s="69"/>
    </row>
    <row r="164" spans="5:7" ht="13.7" customHeight="1" x14ac:dyDescent="0.25">
      <c r="E164" s="21" t="s">
        <v>497</v>
      </c>
      <c r="F164" s="68" t="s">
        <v>498</v>
      </c>
      <c r="G164" s="69"/>
    </row>
    <row r="165" spans="5:7" ht="13.7" customHeight="1" x14ac:dyDescent="0.25">
      <c r="E165" s="21" t="s">
        <v>499</v>
      </c>
      <c r="F165" s="68" t="s">
        <v>500</v>
      </c>
      <c r="G165" s="69"/>
    </row>
    <row r="166" spans="5:7" ht="13.7" customHeight="1" x14ac:dyDescent="0.25">
      <c r="E166" s="21" t="s">
        <v>501</v>
      </c>
      <c r="F166" s="68" t="s">
        <v>502</v>
      </c>
      <c r="G166" s="69">
        <v>1778794.7500000019</v>
      </c>
    </row>
    <row r="167" spans="5:7" ht="13.7" customHeight="1" x14ac:dyDescent="0.25">
      <c r="E167" s="21" t="s">
        <v>503</v>
      </c>
      <c r="F167" s="19" t="s">
        <v>504</v>
      </c>
      <c r="G167" s="20">
        <v>75026</v>
      </c>
    </row>
    <row r="168" spans="5:7" ht="13.7" customHeight="1" thickBot="1" x14ac:dyDescent="0.3">
      <c r="E168" s="21"/>
      <c r="F168" s="28" t="s">
        <v>505</v>
      </c>
      <c r="G168" s="37">
        <f>SUM(G155:G167)</f>
        <v>1853820.7500000019</v>
      </c>
    </row>
    <row r="169" spans="5:7" ht="13.7" customHeight="1" thickBot="1" x14ac:dyDescent="0.3">
      <c r="E169" s="21"/>
      <c r="F169" s="48" t="s">
        <v>506</v>
      </c>
      <c r="G169" s="72">
        <f>G154-G168</f>
        <v>51501180.25</v>
      </c>
    </row>
    <row r="170" spans="5:7" ht="13.7" customHeight="1" thickBot="1" x14ac:dyDescent="0.3">
      <c r="E170" s="21"/>
      <c r="F170" s="78"/>
      <c r="G170" s="78"/>
    </row>
    <row r="171" spans="5:7" ht="13.7" customHeight="1" thickBot="1" x14ac:dyDescent="0.3">
      <c r="E171" s="21"/>
      <c r="F171" s="77" t="s">
        <v>507</v>
      </c>
      <c r="G171" s="79"/>
    </row>
    <row r="172" spans="5:7" ht="13.7" customHeight="1" thickBot="1" x14ac:dyDescent="0.3">
      <c r="E172" s="21"/>
      <c r="F172" s="80"/>
      <c r="G172" s="81">
        <f>+D155+G140+G169</f>
        <v>98997313.674999744</v>
      </c>
    </row>
    <row r="173" spans="5:7" ht="13.7" customHeight="1" thickBot="1" x14ac:dyDescent="0.3">
      <c r="E173" s="21"/>
      <c r="F173" s="5"/>
      <c r="G173" s="5"/>
    </row>
    <row r="174" spans="5:7" ht="13.7" customHeight="1" thickBot="1" x14ac:dyDescent="0.3">
      <c r="E174" s="21"/>
      <c r="F174" s="48" t="s">
        <v>508</v>
      </c>
      <c r="G174" s="17">
        <f>+G143</f>
        <v>2020</v>
      </c>
    </row>
    <row r="175" spans="5:7" ht="13.7" customHeight="1" x14ac:dyDescent="0.25">
      <c r="E175" s="21"/>
      <c r="F175" s="66" t="s">
        <v>509</v>
      </c>
      <c r="G175" s="67"/>
    </row>
    <row r="176" spans="5:7" ht="13.7" customHeight="1" x14ac:dyDescent="0.25">
      <c r="E176" s="21"/>
      <c r="F176" s="68" t="s">
        <v>510</v>
      </c>
      <c r="G176" s="69"/>
    </row>
    <row r="177" spans="1:8" ht="13.7" customHeight="1" thickBot="1" x14ac:dyDescent="0.3">
      <c r="F177" s="68" t="s">
        <v>511</v>
      </c>
      <c r="G177" s="69"/>
    </row>
    <row r="178" spans="1:8" ht="13.7" customHeight="1" thickBot="1" x14ac:dyDescent="0.3">
      <c r="F178" s="48" t="s">
        <v>512</v>
      </c>
      <c r="G178" s="72">
        <f>SUM(G175:G177)</f>
        <v>0</v>
      </c>
    </row>
    <row r="179" spans="1:8" ht="13.7" customHeight="1" thickBot="1" x14ac:dyDescent="0.3"/>
    <row r="180" spans="1:8" ht="13.7" customHeight="1" thickBot="1" x14ac:dyDescent="0.3">
      <c r="F180" s="77" t="s">
        <v>513</v>
      </c>
      <c r="G180" s="79"/>
    </row>
    <row r="181" spans="1:8" ht="13.7" customHeight="1" thickBot="1" x14ac:dyDescent="0.3">
      <c r="F181" s="83"/>
      <c r="G181" s="81">
        <f>+G172+G178</f>
        <v>98997313.674999744</v>
      </c>
    </row>
    <row r="182" spans="1:8" ht="13.7" customHeight="1" x14ac:dyDescent="0.25"/>
    <row r="183" spans="1:8" ht="13.5" customHeight="1" x14ac:dyDescent="0.25"/>
    <row r="184" spans="1:8" ht="13.7" customHeight="1" x14ac:dyDescent="0.25">
      <c r="E184" s="84"/>
      <c r="F184" s="84"/>
      <c r="G184" s="84"/>
      <c r="H184" s="84"/>
    </row>
    <row r="185" spans="1:8" s="84" customFormat="1" ht="13.7" customHeight="1" x14ac:dyDescent="0.25">
      <c r="A185" s="85"/>
      <c r="E185" s="82"/>
      <c r="F185" s="86"/>
      <c r="G185" s="86"/>
    </row>
    <row r="186" spans="1:8" s="84" customFormat="1" ht="12.75" x14ac:dyDescent="0.25">
      <c r="A186" s="85"/>
      <c r="E186" s="82"/>
      <c r="F186" s="86"/>
      <c r="G186" s="86"/>
    </row>
    <row r="187" spans="1:8" s="84" customFormat="1" ht="12.75" hidden="1" x14ac:dyDescent="0.25">
      <c r="A187" s="85"/>
      <c r="E187" s="82"/>
      <c r="F187" s="86"/>
      <c r="G187" s="86"/>
    </row>
    <row r="188" spans="1:8" s="84" customFormat="1" ht="12.75" hidden="1" x14ac:dyDescent="0.25">
      <c r="A188" s="85"/>
      <c r="E188" s="82"/>
      <c r="F188" s="86"/>
      <c r="G188" s="86"/>
    </row>
    <row r="189" spans="1:8" s="84" customFormat="1" ht="12.75" hidden="1" x14ac:dyDescent="0.25">
      <c r="A189" s="85"/>
      <c r="E189" s="82"/>
      <c r="F189" s="86"/>
      <c r="G189" s="86"/>
    </row>
    <row r="190" spans="1:8" s="84" customFormat="1" ht="12.75" hidden="1" x14ac:dyDescent="0.25">
      <c r="A190" s="85"/>
      <c r="E190" s="82"/>
      <c r="F190" s="86"/>
      <c r="G190" s="86"/>
    </row>
    <row r="191" spans="1:8" s="84" customFormat="1" ht="12.75" hidden="1" x14ac:dyDescent="0.25">
      <c r="A191" s="85"/>
      <c r="E191" s="82"/>
      <c r="F191" s="86"/>
      <c r="G191" s="86"/>
    </row>
    <row r="192" spans="1:8" s="84" customFormat="1" ht="12.75" hidden="1" x14ac:dyDescent="0.25">
      <c r="A192" s="85"/>
      <c r="E192" s="82"/>
      <c r="F192" s="86"/>
      <c r="G192" s="86"/>
    </row>
    <row r="193" spans="5:7" s="84" customFormat="1" ht="12.75" hidden="1" x14ac:dyDescent="0.25">
      <c r="E193" s="82"/>
      <c r="F193" s="86"/>
      <c r="G193" s="86"/>
    </row>
    <row r="194" spans="5:7" s="84" customFormat="1" ht="12.75" hidden="1" x14ac:dyDescent="0.25">
      <c r="E194" s="82"/>
      <c r="F194" s="86"/>
      <c r="G194" s="86"/>
    </row>
    <row r="195" spans="5:7" s="84" customFormat="1" ht="12.75" hidden="1" x14ac:dyDescent="0.25">
      <c r="E195" s="82"/>
      <c r="F195" s="86"/>
      <c r="G195" s="86"/>
    </row>
    <row r="196" spans="5:7" s="84" customFormat="1" ht="12.75" hidden="1" x14ac:dyDescent="0.25">
      <c r="E196" s="82"/>
      <c r="F196" s="86"/>
      <c r="G196" s="86"/>
    </row>
    <row r="197" spans="5:7" s="84" customFormat="1" ht="12.75" hidden="1" x14ac:dyDescent="0.25">
      <c r="E197" s="82"/>
      <c r="F197" s="86"/>
      <c r="G197" s="86"/>
    </row>
    <row r="198" spans="5:7" s="84" customFormat="1" ht="12.75" hidden="1" x14ac:dyDescent="0.25">
      <c r="E198" s="82"/>
      <c r="F198" s="86"/>
      <c r="G198" s="86"/>
    </row>
    <row r="199" spans="5:7" s="84" customFormat="1" ht="12.75" hidden="1" x14ac:dyDescent="0.25">
      <c r="E199" s="82"/>
      <c r="F199" s="86"/>
      <c r="G199" s="86"/>
    </row>
    <row r="200" spans="5:7" s="84" customFormat="1" ht="12.75" hidden="1" x14ac:dyDescent="0.25">
      <c r="E200" s="82"/>
      <c r="F200" s="86"/>
      <c r="G200" s="86"/>
    </row>
    <row r="201" spans="5:7" s="84" customFormat="1" ht="12.75" hidden="1" x14ac:dyDescent="0.25">
      <c r="E201" s="82"/>
      <c r="F201" s="86"/>
      <c r="G201" s="86"/>
    </row>
    <row r="202" spans="5:7" s="84" customFormat="1" ht="12.75" hidden="1" x14ac:dyDescent="0.25">
      <c r="E202" s="82"/>
      <c r="F202" s="86"/>
      <c r="G202" s="86"/>
    </row>
    <row r="203" spans="5:7" s="84" customFormat="1" ht="12.75" hidden="1" x14ac:dyDescent="0.25">
      <c r="E203" s="82"/>
      <c r="F203" s="86"/>
      <c r="G203" s="86"/>
    </row>
    <row r="204" spans="5:7" s="84" customFormat="1" ht="12.75" hidden="1" x14ac:dyDescent="0.25">
      <c r="E204" s="82"/>
      <c r="F204" s="86"/>
      <c r="G204" s="86"/>
    </row>
    <row r="205" spans="5:7" s="84" customFormat="1" ht="12.75" hidden="1" x14ac:dyDescent="0.25">
      <c r="E205" s="82"/>
      <c r="F205" s="86"/>
      <c r="G205" s="86"/>
    </row>
    <row r="206" spans="5:7" s="84" customFormat="1" ht="12.75" hidden="1" x14ac:dyDescent="0.25">
      <c r="E206" s="82"/>
      <c r="F206" s="86"/>
      <c r="G206" s="86"/>
    </row>
    <row r="207" spans="5:7" s="84" customFormat="1" ht="12.75" hidden="1" x14ac:dyDescent="0.25">
      <c r="E207" s="82"/>
      <c r="F207" s="86"/>
      <c r="G207" s="86"/>
    </row>
    <row r="208" spans="5:7" s="84" customFormat="1" ht="12.75" hidden="1" x14ac:dyDescent="0.25">
      <c r="E208" s="82"/>
      <c r="F208" s="86"/>
      <c r="G208" s="86"/>
    </row>
    <row r="209" spans="3:8" s="84" customFormat="1" ht="12.75" hidden="1" x14ac:dyDescent="0.25">
      <c r="E209" s="82"/>
      <c r="F209" s="86"/>
      <c r="G209" s="86"/>
    </row>
    <row r="210" spans="3:8" s="84" customFormat="1" ht="12.75" hidden="1" x14ac:dyDescent="0.25">
      <c r="E210" s="82"/>
      <c r="F210" s="86"/>
      <c r="G210" s="86"/>
    </row>
    <row r="211" spans="3:8" s="84" customFormat="1" ht="12.75" hidden="1" x14ac:dyDescent="0.25">
      <c r="E211" s="82"/>
      <c r="F211" s="86"/>
      <c r="G211" s="86"/>
    </row>
    <row r="212" spans="3:8" s="84" customFormat="1" ht="12.75" hidden="1" x14ac:dyDescent="0.25">
      <c r="E212" s="82"/>
      <c r="F212" s="86"/>
      <c r="G212" s="86"/>
    </row>
    <row r="213" spans="3:8" s="84" customFormat="1" ht="12.75" hidden="1" x14ac:dyDescent="0.25">
      <c r="E213" s="82"/>
      <c r="F213" s="86"/>
      <c r="G213" s="86"/>
    </row>
    <row r="214" spans="3:8" s="84" customFormat="1" hidden="1" x14ac:dyDescent="0.25">
      <c r="E214" s="82"/>
      <c r="F214" s="87"/>
      <c r="G214" s="58"/>
      <c r="H214" s="5"/>
    </row>
    <row r="215" spans="3:8" hidden="1" x14ac:dyDescent="0.25">
      <c r="C215" s="86"/>
      <c r="D215" s="86"/>
      <c r="F215" s="87"/>
    </row>
    <row r="216" spans="3:8" hidden="1" x14ac:dyDescent="0.25"/>
    <row r="217" spans="3:8" hidden="1" x14ac:dyDescent="0.25"/>
    <row r="218" spans="3:8" hidden="1" x14ac:dyDescent="0.25"/>
    <row r="219" spans="3:8" hidden="1" x14ac:dyDescent="0.25"/>
    <row r="220" spans="3:8" hidden="1" x14ac:dyDescent="0.25"/>
    <row r="221" spans="3:8" hidden="1" x14ac:dyDescent="0.25"/>
    <row r="222" spans="3:8" hidden="1" x14ac:dyDescent="0.25"/>
    <row r="223" spans="3:8" hidden="1" x14ac:dyDescent="0.25"/>
    <row r="224" spans="3:8"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sheetData>
  <mergeCells count="6">
    <mergeCell ref="C1:D1"/>
    <mergeCell ref="E1:F1"/>
    <mergeCell ref="C2:D2"/>
    <mergeCell ref="E2:F2"/>
    <mergeCell ref="C3:D3"/>
    <mergeCell ref="E3:F3"/>
  </mergeCells>
  <conditionalFormatting sqref="G152:G181 G7:G150">
    <cfRule type="cellIs" dxfId="67" priority="170" stopIfTrue="1" operator="between">
      <formula>-0.1</formula>
      <formula>-50</formula>
    </cfRule>
    <cfRule type="cellIs" dxfId="66" priority="171" stopIfTrue="1" operator="between">
      <formula>0.1</formula>
      <formula>50</formula>
    </cfRule>
  </conditionalFormatting>
  <conditionalFormatting sqref="D111:D155">
    <cfRule type="cellIs" dxfId="65" priority="168" stopIfTrue="1" operator="between">
      <formula>-0.1</formula>
      <formula>-50</formula>
    </cfRule>
    <cfRule type="cellIs" dxfId="64" priority="169" stopIfTrue="1" operator="between">
      <formula>0.1</formula>
      <formula>50</formula>
    </cfRule>
  </conditionalFormatting>
  <conditionalFormatting sqref="D7:D12">
    <cfRule type="cellIs" dxfId="63" priority="166" stopIfTrue="1" operator="greaterThan">
      <formula>50</formula>
    </cfRule>
    <cfRule type="cellIs" dxfId="62" priority="174" stopIfTrue="1" operator="equal">
      <formula>0</formula>
    </cfRule>
  </conditionalFormatting>
  <conditionalFormatting sqref="D7:D61">
    <cfRule type="cellIs" dxfId="61" priority="172" stopIfTrue="1" operator="between">
      <formula>-0.1</formula>
      <formula>-50</formula>
    </cfRule>
    <cfRule type="cellIs" dxfId="60" priority="173" stopIfTrue="1" operator="between">
      <formula>0.1</formula>
      <formula>50</formula>
    </cfRule>
  </conditionalFormatting>
  <conditionalFormatting sqref="G165">
    <cfRule type="expression" dxfId="59" priority="167" stopIfTrue="1">
      <formula>AND($G$165&gt;0,$G$151&gt;0)</formula>
    </cfRule>
  </conditionalFormatting>
  <conditionalFormatting sqref="G151">
    <cfRule type="expression" dxfId="58" priority="165" stopIfTrue="1">
      <formula>AND($G$151&gt;0,$G$165&gt;0)</formula>
    </cfRule>
  </conditionalFormatting>
  <dataValidations count="11">
    <dataValidation type="custom" operator="greaterThan" showInputMessage="1" showErrorMessage="1" errorTitle="RDM" error="No se admite ingresar RDM como ingresos y egresos a la vez. Tampoco se admiten valores menores a $50._x000a_" sqref="G151">
      <formula1>AND(OR(G151=0, G151&gt;50),G165=0)</formula1>
    </dataValidation>
    <dataValidation type="whole" operator="greaterThan" allowBlank="1" showInputMessage="1" showErrorMessage="1" sqref="D8:D12">
      <formula1>50</formula1>
    </dataValidation>
    <dataValidation type="whole" operator="greaterThan" showInputMessage="1" showErrorMessage="1" errorTitle="eee" error="Valores mayores a $50" sqref="D7">
      <formula1>50</formula1>
    </dataValidation>
    <dataValidation type="custom" operator="greaterThan" showInputMessage="1" showErrorMessage="1" errorTitle="eee" sqref="D56">
      <formula1>OR(D56=0, D56&lt;50)</formula1>
    </dataValidation>
    <dataValidation type="custom" operator="greaterThan" showInputMessage="1" showErrorMessage="1" errorTitle="eee" sqref="D57:D61">
      <formula1>OR(D57=0, D57&lt;0)</formula1>
    </dataValidation>
    <dataValidation type="custom" operator="greaterThan" showInputMessage="1" showErrorMessage="1" errorTitle="eee" sqref="G7:G140 D62:D155 G152:G164 G166:G181 G144:G150 D13:D55">
      <formula1>OR(D7=0, D7&gt;50)</formula1>
    </dataValidation>
    <dataValidation type="whole" allowBlank="1" showErrorMessage="1" errorTitle="Error de datos" error="Debe ingresar un valor entre 1 y 12" sqref="G1:G3">
      <formula1>1</formula1>
      <formula2>12</formula2>
    </dataValidation>
    <dataValidation allowBlank="1" errorTitle="Error de datos" error="Debe introducir una fecha válida" sqref="E3"/>
    <dataValidation allowBlank="1" sqref="G204"/>
    <dataValidation operator="greaterThanOrEqual" allowBlank="1" errorTitle="Error de datos" error="Debe ingresar un valor entero positivo" sqref="F203 F6:F107 C13:C47 C106:C153 F171 F174:F178 F180 F111:F119 C7:C10 F121:F140 F143:F169 C49:C62 C155 F109"/>
    <dataValidation type="custom" operator="greaterThan" showInputMessage="1" showErrorMessage="1" errorTitle="rdm2" error="No se admite ingresar a la vez RDM como ingresos y como egresos. Tampoco se admiten valores negattivos o positivos menores de 50" sqref="G165">
      <formula1>AND(OR(G165=0, G165&gt;50),G151=0)</formula1>
    </dataValidation>
  </dataValidations>
  <pageMargins left="0.7" right="0.7" top="0.75" bottom="0.75" header="0.3" footer="0.3"/>
  <ignoredErrors>
    <ignoredError sqref="E7:E182" numberStoredAsText="1"/>
    <ignoredError sqref="D9 D26 G46:G47 D136" unlockedFormula="1"/>
  </ignoredErrors>
  <legacy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15"/>
  <sheetViews>
    <sheetView showGridLines="0" workbookViewId="0">
      <selection activeCell="F4" sqref="F4"/>
    </sheetView>
  </sheetViews>
  <sheetFormatPr baseColWidth="10" defaultColWidth="0" defaultRowHeight="15" zeroHeight="1" x14ac:dyDescent="0.25"/>
  <cols>
    <col min="1" max="1" width="3.7109375" style="1" customWidth="1"/>
    <col min="2" max="2" width="14.28515625" style="7" hidden="1" customWidth="1"/>
    <col min="3" max="3" width="58.42578125" style="58" customWidth="1"/>
    <col min="4" max="4" width="25.140625" style="58" customWidth="1"/>
    <col min="5" max="5" width="5.85546875" style="82" customWidth="1"/>
    <col min="6" max="6" width="57.28515625" style="58" customWidth="1"/>
    <col min="7" max="7" width="24.7109375" style="58" customWidth="1"/>
    <col min="8" max="8" width="5.42578125" style="5" customWidth="1"/>
    <col min="9" max="16384" width="0" style="5" hidden="1"/>
  </cols>
  <sheetData>
    <row r="1" spans="1:9" ht="15.75" x14ac:dyDescent="0.25">
      <c r="B1" s="2"/>
      <c r="C1" s="313" t="s">
        <v>0</v>
      </c>
      <c r="D1" s="314"/>
      <c r="E1" s="315" t="str">
        <f>[31]Presentacion!C2</f>
        <v>ASOC. MED. SAN JOSE</v>
      </c>
      <c r="F1" s="315"/>
      <c r="G1" s="3"/>
      <c r="H1" s="4"/>
    </row>
    <row r="2" spans="1:9" ht="15.75" x14ac:dyDescent="0.25">
      <c r="B2" s="6"/>
      <c r="C2" s="313" t="s">
        <v>1</v>
      </c>
      <c r="D2" s="314"/>
      <c r="E2" s="315" t="str">
        <f>[31]Presentacion!C3</f>
        <v>San Jose</v>
      </c>
      <c r="F2" s="315"/>
      <c r="G2" s="3"/>
      <c r="H2" s="4"/>
    </row>
    <row r="3" spans="1:9" ht="15.75" x14ac:dyDescent="0.25">
      <c r="B3" s="6"/>
      <c r="C3" s="313" t="s">
        <v>2</v>
      </c>
      <c r="D3" s="316"/>
      <c r="E3" s="317" t="s">
        <v>3</v>
      </c>
      <c r="F3" s="317"/>
      <c r="G3" s="3"/>
      <c r="H3" s="4"/>
    </row>
    <row r="4" spans="1:9" ht="15.75" thickBot="1" x14ac:dyDescent="0.3">
      <c r="C4" s="287"/>
      <c r="D4" s="8"/>
      <c r="E4" s="9"/>
      <c r="F4" s="10"/>
      <c r="G4" s="11"/>
    </row>
    <row r="5" spans="1:9" ht="16.5" thickBot="1" x14ac:dyDescent="0.3">
      <c r="B5" s="12"/>
      <c r="C5" s="13" t="s">
        <v>4</v>
      </c>
      <c r="D5" s="284" t="s">
        <v>5</v>
      </c>
      <c r="E5" s="14"/>
      <c r="F5" s="13" t="s">
        <v>6</v>
      </c>
      <c r="G5" s="284" t="s">
        <v>5</v>
      </c>
      <c r="I5" s="15"/>
    </row>
    <row r="6" spans="1:9" ht="16.5" thickBot="1" x14ac:dyDescent="0.3">
      <c r="B6" s="12"/>
      <c r="C6" s="16" t="s">
        <v>7</v>
      </c>
      <c r="D6" s="290">
        <f>+[31]E.S.P.!D6</f>
        <v>2020</v>
      </c>
      <c r="E6" s="18"/>
      <c r="F6" s="16" t="s">
        <v>8</v>
      </c>
      <c r="G6" s="290">
        <f>+D6</f>
        <v>2020</v>
      </c>
      <c r="H6" s="15"/>
    </row>
    <row r="7" spans="1:9" x14ac:dyDescent="0.25">
      <c r="B7" s="6" t="s">
        <v>9</v>
      </c>
      <c r="C7" s="19" t="s">
        <v>10</v>
      </c>
      <c r="D7" s="20">
        <v>27557418</v>
      </c>
      <c r="E7" s="21" t="s">
        <v>11</v>
      </c>
      <c r="F7" s="22" t="s">
        <v>12</v>
      </c>
      <c r="G7" s="23">
        <v>10063097.019999966</v>
      </c>
    </row>
    <row r="8" spans="1:9" x14ac:dyDescent="0.25">
      <c r="B8" s="6" t="s">
        <v>13</v>
      </c>
      <c r="C8" s="19" t="s">
        <v>14</v>
      </c>
      <c r="D8" s="20">
        <v>71164323</v>
      </c>
      <c r="E8" s="21" t="s">
        <v>15</v>
      </c>
      <c r="F8" s="19" t="s">
        <v>16</v>
      </c>
      <c r="G8" s="24">
        <v>71817261.980000049</v>
      </c>
    </row>
    <row r="9" spans="1:9" x14ac:dyDescent="0.25">
      <c r="B9" s="6" t="s">
        <v>17</v>
      </c>
      <c r="C9" s="19" t="s">
        <v>18</v>
      </c>
      <c r="D9" s="20">
        <v>1416063566</v>
      </c>
      <c r="E9" s="21" t="s">
        <v>19</v>
      </c>
      <c r="F9" s="19" t="s">
        <v>20</v>
      </c>
      <c r="G9" s="20"/>
    </row>
    <row r="10" spans="1:9" x14ac:dyDescent="0.25">
      <c r="B10" s="6" t="s">
        <v>21</v>
      </c>
      <c r="C10" s="19" t="s">
        <v>22</v>
      </c>
      <c r="D10" s="20">
        <v>149158430</v>
      </c>
      <c r="E10" s="21" t="s">
        <v>23</v>
      </c>
      <c r="F10" s="19" t="s">
        <v>24</v>
      </c>
      <c r="G10" s="20">
        <v>432528643.56000054</v>
      </c>
    </row>
    <row r="11" spans="1:9" x14ac:dyDescent="0.25">
      <c r="B11" s="6" t="s">
        <v>25</v>
      </c>
      <c r="C11" s="19" t="s">
        <v>26</v>
      </c>
      <c r="D11" s="20">
        <v>33272250</v>
      </c>
      <c r="E11" s="21" t="s">
        <v>27</v>
      </c>
      <c r="F11" s="19" t="s">
        <v>28</v>
      </c>
      <c r="G11" s="20"/>
    </row>
    <row r="12" spans="1:9" x14ac:dyDescent="0.25">
      <c r="B12" s="6" t="s">
        <v>29</v>
      </c>
      <c r="C12" s="19" t="s">
        <v>30</v>
      </c>
      <c r="D12" s="20">
        <v>28093745</v>
      </c>
      <c r="E12" s="21" t="s">
        <v>31</v>
      </c>
      <c r="F12" s="19" t="s">
        <v>32</v>
      </c>
      <c r="G12" s="20">
        <v>92957973.689999953</v>
      </c>
    </row>
    <row r="13" spans="1:9" x14ac:dyDescent="0.25">
      <c r="B13" s="6" t="s">
        <v>33</v>
      </c>
      <c r="C13" s="19" t="s">
        <v>34</v>
      </c>
      <c r="D13" s="20">
        <v>1024959.49</v>
      </c>
      <c r="E13" s="21" t="s">
        <v>35</v>
      </c>
      <c r="F13" s="19" t="s">
        <v>36</v>
      </c>
      <c r="G13" s="20"/>
    </row>
    <row r="14" spans="1:9" x14ac:dyDescent="0.25">
      <c r="A14" s="25"/>
      <c r="B14" s="6" t="s">
        <v>37</v>
      </c>
      <c r="C14" s="19" t="s">
        <v>38</v>
      </c>
      <c r="D14" s="20">
        <v>8466694</v>
      </c>
      <c r="E14" s="21" t="s">
        <v>39</v>
      </c>
      <c r="F14" s="19" t="s">
        <v>40</v>
      </c>
      <c r="G14" s="20">
        <v>214056211.02999976</v>
      </c>
    </row>
    <row r="15" spans="1:9" x14ac:dyDescent="0.25">
      <c r="B15" s="6" t="s">
        <v>41</v>
      </c>
      <c r="C15" s="26" t="s">
        <v>42</v>
      </c>
      <c r="D15" s="20">
        <v>13819287</v>
      </c>
      <c r="E15" s="21" t="s">
        <v>43</v>
      </c>
      <c r="F15" s="19" t="s">
        <v>44</v>
      </c>
      <c r="G15" s="20">
        <v>131563660.78</v>
      </c>
    </row>
    <row r="16" spans="1:9" x14ac:dyDescent="0.25">
      <c r="B16" s="6" t="s">
        <v>45</v>
      </c>
      <c r="C16" s="19" t="s">
        <v>46</v>
      </c>
      <c r="D16" s="20"/>
      <c r="E16" s="21" t="s">
        <v>47</v>
      </c>
      <c r="F16" s="19" t="s">
        <v>48</v>
      </c>
      <c r="G16" s="20">
        <v>125850856.7899998</v>
      </c>
    </row>
    <row r="17" spans="1:7" x14ac:dyDescent="0.25">
      <c r="B17" s="6" t="s">
        <v>49</v>
      </c>
      <c r="C17" s="19" t="s">
        <v>50</v>
      </c>
      <c r="D17" s="20"/>
      <c r="E17" s="21" t="s">
        <v>51</v>
      </c>
      <c r="F17" s="19" t="s">
        <v>52</v>
      </c>
      <c r="G17" s="20"/>
    </row>
    <row r="18" spans="1:7" x14ac:dyDescent="0.25">
      <c r="A18" s="25"/>
      <c r="B18" s="6" t="s">
        <v>53</v>
      </c>
      <c r="C18" s="19" t="s">
        <v>54</v>
      </c>
      <c r="D18" s="20"/>
      <c r="E18" s="21" t="s">
        <v>55</v>
      </c>
      <c r="F18" s="19" t="s">
        <v>56</v>
      </c>
      <c r="G18" s="27">
        <v>46866877</v>
      </c>
    </row>
    <row r="19" spans="1:7" ht="15.75" thickBot="1" x14ac:dyDescent="0.3">
      <c r="A19" s="25"/>
      <c r="B19" s="6" t="s">
        <v>57</v>
      </c>
      <c r="C19" s="19" t="s">
        <v>58</v>
      </c>
      <c r="D19" s="20">
        <v>74056876</v>
      </c>
      <c r="E19" s="21"/>
      <c r="F19" s="28" t="s">
        <v>59</v>
      </c>
      <c r="G19" s="29">
        <f>SUM(G7:G18)</f>
        <v>1125704581.8499999</v>
      </c>
    </row>
    <row r="20" spans="1:7" ht="15.75" thickBot="1" x14ac:dyDescent="0.3">
      <c r="B20" s="6"/>
      <c r="C20" s="28" t="s">
        <v>60</v>
      </c>
      <c r="D20" s="29">
        <f>SUM(D7:D19)</f>
        <v>1822677548.49</v>
      </c>
      <c r="E20" s="21" t="s">
        <v>61</v>
      </c>
      <c r="F20" s="22" t="s">
        <v>62</v>
      </c>
      <c r="G20" s="23">
        <v>693449.73000000254</v>
      </c>
    </row>
    <row r="21" spans="1:7" x14ac:dyDescent="0.25">
      <c r="B21" s="6"/>
      <c r="C21" s="30" t="s">
        <v>63</v>
      </c>
      <c r="D21" s="31">
        <f>SUM(D22:D28)</f>
        <v>23510297.179999959</v>
      </c>
      <c r="E21" s="21" t="s">
        <v>64</v>
      </c>
      <c r="F21" s="19" t="s">
        <v>65</v>
      </c>
      <c r="G21" s="20">
        <v>35454472.269999996</v>
      </c>
    </row>
    <row r="22" spans="1:7" x14ac:dyDescent="0.25">
      <c r="B22" s="6" t="s">
        <v>66</v>
      </c>
      <c r="C22" s="19" t="s">
        <v>67</v>
      </c>
      <c r="D22" s="20">
        <v>10154602</v>
      </c>
      <c r="E22" s="21" t="s">
        <v>68</v>
      </c>
      <c r="F22" s="19" t="s">
        <v>69</v>
      </c>
      <c r="G22" s="20">
        <v>3972012.3800000013</v>
      </c>
    </row>
    <row r="23" spans="1:7" x14ac:dyDescent="0.25">
      <c r="B23" s="6" t="s">
        <v>70</v>
      </c>
      <c r="C23" s="19" t="s">
        <v>71</v>
      </c>
      <c r="D23" s="20">
        <v>966969.81999999902</v>
      </c>
      <c r="E23" s="21" t="s">
        <v>72</v>
      </c>
      <c r="F23" s="19" t="s">
        <v>73</v>
      </c>
      <c r="G23" s="20">
        <v>20058434.409999982</v>
      </c>
    </row>
    <row r="24" spans="1:7" x14ac:dyDescent="0.25">
      <c r="B24" s="6" t="s">
        <v>74</v>
      </c>
      <c r="C24" s="19" t="s">
        <v>75</v>
      </c>
      <c r="D24" s="20">
        <v>2352150.7799999798</v>
      </c>
      <c r="E24" s="21" t="s">
        <v>76</v>
      </c>
      <c r="F24" s="19" t="s">
        <v>77</v>
      </c>
      <c r="G24" s="20"/>
    </row>
    <row r="25" spans="1:7" x14ac:dyDescent="0.25">
      <c r="B25" s="6" t="s">
        <v>78</v>
      </c>
      <c r="C25" s="19" t="s">
        <v>79</v>
      </c>
      <c r="D25" s="20">
        <v>48172</v>
      </c>
      <c r="E25" s="21" t="s">
        <v>80</v>
      </c>
      <c r="F25" s="19" t="s">
        <v>81</v>
      </c>
      <c r="G25" s="20">
        <v>6836566.7599999933</v>
      </c>
    </row>
    <row r="26" spans="1:7" x14ac:dyDescent="0.25">
      <c r="B26" s="6" t="s">
        <v>82</v>
      </c>
      <c r="C26" s="19" t="s">
        <v>83</v>
      </c>
      <c r="D26" s="20">
        <v>2654747.5799999801</v>
      </c>
      <c r="E26" s="21" t="s">
        <v>84</v>
      </c>
      <c r="F26" s="19" t="s">
        <v>85</v>
      </c>
      <c r="G26" s="27">
        <v>2904747</v>
      </c>
    </row>
    <row r="27" spans="1:7" ht="15.75" thickBot="1" x14ac:dyDescent="0.3">
      <c r="B27" s="6" t="s">
        <v>86</v>
      </c>
      <c r="C27" s="19" t="s">
        <v>87</v>
      </c>
      <c r="D27" s="20">
        <v>6316981</v>
      </c>
      <c r="E27" s="21"/>
      <c r="F27" s="28" t="s">
        <v>88</v>
      </c>
      <c r="G27" s="29">
        <f>SUM(G20:G26)</f>
        <v>69919682.549999982</v>
      </c>
    </row>
    <row r="28" spans="1:7" x14ac:dyDescent="0.25">
      <c r="B28" s="6" t="s">
        <v>89</v>
      </c>
      <c r="C28" s="19" t="s">
        <v>90</v>
      </c>
      <c r="D28" s="20">
        <v>1016674</v>
      </c>
      <c r="E28" s="21" t="s">
        <v>91</v>
      </c>
      <c r="F28" s="22" t="s">
        <v>92</v>
      </c>
      <c r="G28" s="23">
        <f>72675937.6500001+'[32]BALANCETE RESUMIDO'!$C$202</f>
        <v>82510674.410000101</v>
      </c>
    </row>
    <row r="29" spans="1:7" x14ac:dyDescent="0.25">
      <c r="B29" s="6"/>
      <c r="C29" s="32" t="s">
        <v>93</v>
      </c>
      <c r="D29" s="31">
        <f>SUM(D30:D34)</f>
        <v>75005132.870002702</v>
      </c>
      <c r="E29" s="21" t="s">
        <v>94</v>
      </c>
      <c r="F29" s="19" t="s">
        <v>95</v>
      </c>
      <c r="G29" s="20">
        <v>26160133.899999999</v>
      </c>
    </row>
    <row r="30" spans="1:7" x14ac:dyDescent="0.25">
      <c r="B30" s="6" t="s">
        <v>96</v>
      </c>
      <c r="C30" s="19" t="s">
        <v>97</v>
      </c>
      <c r="D30" s="20">
        <v>62424867.570002899</v>
      </c>
      <c r="E30" s="21" t="s">
        <v>98</v>
      </c>
      <c r="F30" s="19" t="s">
        <v>99</v>
      </c>
      <c r="G30" s="20">
        <f>+'[32]BALANCETE RESUMIDO'!$C$201</f>
        <v>33751011.330000028</v>
      </c>
    </row>
    <row r="31" spans="1:7" x14ac:dyDescent="0.25">
      <c r="B31" s="6" t="s">
        <v>100</v>
      </c>
      <c r="C31" s="19" t="s">
        <v>101</v>
      </c>
      <c r="D31" s="20"/>
      <c r="E31" s="21" t="s">
        <v>102</v>
      </c>
      <c r="F31" s="19" t="s">
        <v>103</v>
      </c>
      <c r="G31" s="27">
        <v>6291353</v>
      </c>
    </row>
    <row r="32" spans="1:7" ht="15.75" thickBot="1" x14ac:dyDescent="0.3">
      <c r="B32" s="6" t="s">
        <v>104</v>
      </c>
      <c r="C32" s="19" t="s">
        <v>105</v>
      </c>
      <c r="D32" s="20">
        <v>9442746.2999997996</v>
      </c>
      <c r="E32" s="21"/>
      <c r="F32" s="28" t="s">
        <v>106</v>
      </c>
      <c r="G32" s="29">
        <f>SUM(G28:G31)</f>
        <v>148713172.6400001</v>
      </c>
    </row>
    <row r="33" spans="2:7" x14ac:dyDescent="0.25">
      <c r="B33" s="6" t="s">
        <v>107</v>
      </c>
      <c r="C33" s="19" t="s">
        <v>108</v>
      </c>
      <c r="D33" s="20"/>
      <c r="E33" s="21"/>
      <c r="F33" s="32" t="s">
        <v>109</v>
      </c>
      <c r="G33" s="31">
        <f>SUM(G34:G39)</f>
        <v>116149451.82999998</v>
      </c>
    </row>
    <row r="34" spans="2:7" x14ac:dyDescent="0.25">
      <c r="B34" s="6" t="s">
        <v>110</v>
      </c>
      <c r="C34" s="19" t="s">
        <v>111</v>
      </c>
      <c r="D34" s="20">
        <v>3137519</v>
      </c>
      <c r="E34" s="21" t="s">
        <v>112</v>
      </c>
      <c r="F34" s="19" t="s">
        <v>113</v>
      </c>
      <c r="G34" s="20">
        <v>6077017.3400000008</v>
      </c>
    </row>
    <row r="35" spans="2:7" ht="15.75" thickBot="1" x14ac:dyDescent="0.3">
      <c r="B35" s="6"/>
      <c r="C35" s="28" t="s">
        <v>114</v>
      </c>
      <c r="D35" s="29">
        <f>+D21+D29</f>
        <v>98515430.050002664</v>
      </c>
      <c r="E35" s="21" t="s">
        <v>115</v>
      </c>
      <c r="F35" s="19" t="s">
        <v>116</v>
      </c>
      <c r="G35" s="20">
        <v>4681339.9999999991</v>
      </c>
    </row>
    <row r="36" spans="2:7" x14ac:dyDescent="0.25">
      <c r="B36" s="6" t="s">
        <v>117</v>
      </c>
      <c r="C36" s="19" t="s">
        <v>118</v>
      </c>
      <c r="D36" s="20">
        <v>4277660.18</v>
      </c>
      <c r="E36" s="21" t="s">
        <v>119</v>
      </c>
      <c r="F36" s="19" t="s">
        <v>120</v>
      </c>
      <c r="G36" s="20">
        <v>1967693.96</v>
      </c>
    </row>
    <row r="37" spans="2:7" x14ac:dyDescent="0.25">
      <c r="B37" s="6" t="s">
        <v>121</v>
      </c>
      <c r="C37" s="19" t="s">
        <v>122</v>
      </c>
      <c r="D37" s="20">
        <v>11991312.02</v>
      </c>
      <c r="E37" s="21" t="s">
        <v>123</v>
      </c>
      <c r="F37" s="19" t="s">
        <v>124</v>
      </c>
      <c r="G37" s="20">
        <v>8624943.370000001</v>
      </c>
    </row>
    <row r="38" spans="2:7" x14ac:dyDescent="0.25">
      <c r="B38" s="6" t="s">
        <v>125</v>
      </c>
      <c r="C38" s="19" t="s">
        <v>126</v>
      </c>
      <c r="D38" s="20"/>
      <c r="E38" s="21" t="s">
        <v>127</v>
      </c>
      <c r="F38" s="19" t="s">
        <v>128</v>
      </c>
      <c r="G38" s="20">
        <v>8729972.0999999996</v>
      </c>
    </row>
    <row r="39" spans="2:7" x14ac:dyDescent="0.25">
      <c r="B39" s="6" t="s">
        <v>129</v>
      </c>
      <c r="C39" s="19" t="s">
        <v>130</v>
      </c>
      <c r="D39" s="20">
        <v>11877013.16</v>
      </c>
      <c r="E39" s="21" t="s">
        <v>131</v>
      </c>
      <c r="F39" s="19" t="s">
        <v>132</v>
      </c>
      <c r="G39" s="20">
        <v>86068485.059999987</v>
      </c>
    </row>
    <row r="40" spans="2:7" x14ac:dyDescent="0.25">
      <c r="B40" s="6" t="s">
        <v>133</v>
      </c>
      <c r="C40" s="19" t="s">
        <v>134</v>
      </c>
      <c r="D40" s="20">
        <v>577792.43999999994</v>
      </c>
      <c r="E40" s="21"/>
      <c r="F40" s="33" t="s">
        <v>135</v>
      </c>
      <c r="G40" s="34">
        <f>SUM(G41:G46)</f>
        <v>21783687.020000003</v>
      </c>
    </row>
    <row r="41" spans="2:7" x14ac:dyDescent="0.25">
      <c r="B41" s="6" t="s">
        <v>136</v>
      </c>
      <c r="C41" s="19" t="s">
        <v>137</v>
      </c>
      <c r="D41" s="20">
        <v>41723324.630000003</v>
      </c>
      <c r="E41" s="21" t="s">
        <v>138</v>
      </c>
      <c r="F41" s="19" t="s">
        <v>139</v>
      </c>
      <c r="G41" s="20">
        <v>3963033.66</v>
      </c>
    </row>
    <row r="42" spans="2:7" x14ac:dyDescent="0.25">
      <c r="B42" s="6" t="s">
        <v>140</v>
      </c>
      <c r="C42" s="19" t="s">
        <v>141</v>
      </c>
      <c r="D42" s="20">
        <v>17585689.489999998</v>
      </c>
      <c r="E42" s="21" t="s">
        <v>142</v>
      </c>
      <c r="F42" s="19" t="s">
        <v>143</v>
      </c>
      <c r="G42" s="20"/>
    </row>
    <row r="43" spans="2:7" x14ac:dyDescent="0.25">
      <c r="B43" s="6" t="s">
        <v>144</v>
      </c>
      <c r="C43" s="19" t="s">
        <v>145</v>
      </c>
      <c r="D43" s="20"/>
      <c r="E43" s="21" t="s">
        <v>146</v>
      </c>
      <c r="F43" s="19" t="s">
        <v>147</v>
      </c>
      <c r="G43" s="20">
        <v>499407.24000000005</v>
      </c>
    </row>
    <row r="44" spans="2:7" x14ac:dyDescent="0.25">
      <c r="B44" s="6" t="s">
        <v>148</v>
      </c>
      <c r="C44" s="19" t="s">
        <v>149</v>
      </c>
      <c r="D44" s="20"/>
      <c r="E44" s="21" t="s">
        <v>150</v>
      </c>
      <c r="F44" s="19" t="s">
        <v>151</v>
      </c>
      <c r="G44" s="20">
        <v>430714.25</v>
      </c>
    </row>
    <row r="45" spans="2:7" x14ac:dyDescent="0.25">
      <c r="B45" s="6" t="s">
        <v>152</v>
      </c>
      <c r="C45" s="19" t="s">
        <v>153</v>
      </c>
      <c r="D45" s="20">
        <v>29879763</v>
      </c>
      <c r="E45" s="21" t="s">
        <v>154</v>
      </c>
      <c r="F45" s="19" t="s">
        <v>155</v>
      </c>
      <c r="G45" s="20">
        <v>905376.44</v>
      </c>
    </row>
    <row r="46" spans="2:7" x14ac:dyDescent="0.25">
      <c r="B46" s="6" t="s">
        <v>156</v>
      </c>
      <c r="C46" s="19" t="s">
        <v>157</v>
      </c>
      <c r="D46" s="20">
        <v>5016204</v>
      </c>
      <c r="E46" s="21" t="s">
        <v>158</v>
      </c>
      <c r="F46" s="19" t="s">
        <v>159</v>
      </c>
      <c r="G46" s="20">
        <v>15985155.430000003</v>
      </c>
    </row>
    <row r="47" spans="2:7" ht="15.75" thickBot="1" x14ac:dyDescent="0.3">
      <c r="B47" s="6"/>
      <c r="C47" s="28" t="s">
        <v>160</v>
      </c>
      <c r="D47" s="29">
        <f>SUM(D36:D46)</f>
        <v>122928758.92</v>
      </c>
      <c r="E47" s="21" t="s">
        <v>161</v>
      </c>
      <c r="F47" s="19" t="s">
        <v>162</v>
      </c>
      <c r="G47" s="27">
        <v>5745521</v>
      </c>
    </row>
    <row r="48" spans="2:7" ht="15.75" thickBot="1" x14ac:dyDescent="0.3">
      <c r="B48" s="6"/>
      <c r="C48" s="35" t="s">
        <v>163</v>
      </c>
      <c r="D48" s="36"/>
      <c r="E48" s="21"/>
      <c r="F48" s="28" t="s">
        <v>164</v>
      </c>
      <c r="G48" s="37">
        <f>+G33+G40+G47</f>
        <v>143678659.84999999</v>
      </c>
    </row>
    <row r="49" spans="2:7" x14ac:dyDescent="0.25">
      <c r="B49" s="6" t="s">
        <v>165</v>
      </c>
      <c r="C49" s="38" t="s">
        <v>166</v>
      </c>
      <c r="D49" s="39"/>
      <c r="E49" s="21" t="s">
        <v>167</v>
      </c>
      <c r="F49" s="22" t="s">
        <v>168</v>
      </c>
      <c r="G49" s="23">
        <v>38751741.759999998</v>
      </c>
    </row>
    <row r="50" spans="2:7" x14ac:dyDescent="0.25">
      <c r="B50" s="6" t="s">
        <v>169</v>
      </c>
      <c r="C50" s="19" t="s">
        <v>163</v>
      </c>
      <c r="D50" s="20"/>
      <c r="E50" s="21" t="s">
        <v>170</v>
      </c>
      <c r="F50" s="19" t="s">
        <v>171</v>
      </c>
      <c r="G50" s="20">
        <v>37068012.399999991</v>
      </c>
    </row>
    <row r="51" spans="2:7" x14ac:dyDescent="0.25">
      <c r="B51" s="6" t="s">
        <v>172</v>
      </c>
      <c r="C51" s="19" t="s">
        <v>173</v>
      </c>
      <c r="D51" s="27"/>
      <c r="E51" s="21" t="s">
        <v>174</v>
      </c>
      <c r="F51" s="19" t="s">
        <v>175</v>
      </c>
      <c r="G51" s="20">
        <v>4470325.7200000044</v>
      </c>
    </row>
    <row r="52" spans="2:7" ht="15.75" thickBot="1" x14ac:dyDescent="0.3">
      <c r="B52" s="12"/>
      <c r="C52" s="28" t="s">
        <v>176</v>
      </c>
      <c r="D52" s="29">
        <f>SUM(D49:D51)</f>
        <v>0</v>
      </c>
      <c r="E52" s="21" t="s">
        <v>177</v>
      </c>
      <c r="F52" s="19" t="s">
        <v>178</v>
      </c>
      <c r="G52" s="20">
        <v>490213.9099999998</v>
      </c>
    </row>
    <row r="53" spans="2:7" ht="15.75" thickBot="1" x14ac:dyDescent="0.3">
      <c r="B53" s="6"/>
      <c r="C53" s="40" t="s">
        <v>179</v>
      </c>
      <c r="D53" s="41">
        <f>D20+D35+D47+D52</f>
        <v>2044121737.4600027</v>
      </c>
      <c r="E53" s="21" t="s">
        <v>180</v>
      </c>
      <c r="F53" s="19" t="s">
        <v>181</v>
      </c>
      <c r="G53" s="20">
        <v>14260916.66</v>
      </c>
    </row>
    <row r="54" spans="2:7" x14ac:dyDescent="0.25">
      <c r="C54" s="42"/>
      <c r="D54" s="43"/>
      <c r="E54" s="21" t="s">
        <v>182</v>
      </c>
      <c r="F54" s="19" t="s">
        <v>183</v>
      </c>
      <c r="G54" s="20">
        <v>10945486.51</v>
      </c>
    </row>
    <row r="55" spans="2:7" x14ac:dyDescent="0.25">
      <c r="C55" s="44" t="s">
        <v>184</v>
      </c>
      <c r="D55" s="45"/>
      <c r="E55" s="21" t="s">
        <v>185</v>
      </c>
      <c r="F55" s="19" t="s">
        <v>186</v>
      </c>
      <c r="G55" s="20">
        <v>2969605.9599999962</v>
      </c>
    </row>
    <row r="56" spans="2:7" x14ac:dyDescent="0.25">
      <c r="B56" s="6" t="s">
        <v>187</v>
      </c>
      <c r="C56" s="46" t="s">
        <v>188</v>
      </c>
      <c r="D56" s="20"/>
      <c r="E56" s="21" t="s">
        <v>189</v>
      </c>
      <c r="F56" s="19" t="s">
        <v>190</v>
      </c>
      <c r="G56" s="27">
        <v>4642297</v>
      </c>
    </row>
    <row r="57" spans="2:7" ht="15.75" thickBot="1" x14ac:dyDescent="0.3">
      <c r="B57" s="6" t="s">
        <v>191</v>
      </c>
      <c r="C57" s="46" t="s">
        <v>192</v>
      </c>
      <c r="D57" s="20"/>
      <c r="E57" s="21"/>
      <c r="F57" s="28" t="s">
        <v>193</v>
      </c>
      <c r="G57" s="29">
        <f>SUM(G49:G56)</f>
        <v>113598599.91999999</v>
      </c>
    </row>
    <row r="58" spans="2:7" x14ac:dyDescent="0.25">
      <c r="B58" s="6" t="s">
        <v>194</v>
      </c>
      <c r="C58" s="46" t="s">
        <v>195</v>
      </c>
      <c r="D58" s="20"/>
      <c r="E58" s="21" t="s">
        <v>196</v>
      </c>
      <c r="F58" s="22" t="s">
        <v>197</v>
      </c>
      <c r="G58" s="23">
        <v>4082554.0100000016</v>
      </c>
    </row>
    <row r="59" spans="2:7" x14ac:dyDescent="0.25">
      <c r="B59" s="6" t="s">
        <v>198</v>
      </c>
      <c r="C59" s="19" t="s">
        <v>199</v>
      </c>
      <c r="D59" s="27"/>
      <c r="E59" s="21" t="s">
        <v>200</v>
      </c>
      <c r="F59" s="19" t="s">
        <v>201</v>
      </c>
      <c r="G59" s="20">
        <v>37606869.850000031</v>
      </c>
    </row>
    <row r="60" spans="2:7" ht="15.75" thickBot="1" x14ac:dyDescent="0.3">
      <c r="B60" s="6"/>
      <c r="C60" s="28" t="s">
        <v>202</v>
      </c>
      <c r="D60" s="29">
        <f>SUM(D56:D59)</f>
        <v>0</v>
      </c>
      <c r="E60" s="21" t="s">
        <v>203</v>
      </c>
      <c r="F60" s="19" t="s">
        <v>204</v>
      </c>
      <c r="G60" s="20">
        <v>6609827.6899999985</v>
      </c>
    </row>
    <row r="61" spans="2:7" ht="16.5" thickBot="1" x14ac:dyDescent="0.3">
      <c r="B61" s="47"/>
      <c r="C61" s="48" t="s">
        <v>205</v>
      </c>
      <c r="D61" s="49">
        <f>D53+D60</f>
        <v>2044121737.4600027</v>
      </c>
      <c r="E61" s="21" t="s">
        <v>206</v>
      </c>
      <c r="F61" s="19" t="s">
        <v>207</v>
      </c>
      <c r="G61" s="20">
        <v>3930189.6999999997</v>
      </c>
    </row>
    <row r="62" spans="2:7" x14ac:dyDescent="0.25">
      <c r="B62" s="50"/>
      <c r="C62" s="51"/>
      <c r="D62" s="51"/>
      <c r="E62" s="21" t="s">
        <v>208</v>
      </c>
      <c r="F62" s="19" t="s">
        <v>209</v>
      </c>
      <c r="G62" s="20"/>
    </row>
    <row r="63" spans="2:7" x14ac:dyDescent="0.25">
      <c r="B63" s="52"/>
      <c r="C63" s="53" t="s">
        <v>8</v>
      </c>
      <c r="D63" s="53"/>
      <c r="E63" s="21" t="s">
        <v>210</v>
      </c>
      <c r="F63" s="19" t="s">
        <v>211</v>
      </c>
      <c r="G63" s="20">
        <v>8520388.2800000012</v>
      </c>
    </row>
    <row r="64" spans="2:7" x14ac:dyDescent="0.25">
      <c r="B64" s="54" t="s">
        <v>212</v>
      </c>
      <c r="C64" s="55" t="s">
        <v>213</v>
      </c>
      <c r="D64" s="55">
        <f>[31]Amortizaciones!D6</f>
        <v>20335850</v>
      </c>
      <c r="E64" s="21" t="s">
        <v>214</v>
      </c>
      <c r="F64" s="19" t="s">
        <v>215</v>
      </c>
      <c r="G64" s="20">
        <v>1559320.1600000004</v>
      </c>
    </row>
    <row r="65" spans="2:7" x14ac:dyDescent="0.25">
      <c r="B65" s="54" t="s">
        <v>216</v>
      </c>
      <c r="C65" s="55" t="s">
        <v>217</v>
      </c>
      <c r="D65" s="55">
        <f>[31]Amortizaciones!D7</f>
        <v>0</v>
      </c>
      <c r="E65" s="21" t="s">
        <v>218</v>
      </c>
      <c r="F65" s="19" t="s">
        <v>219</v>
      </c>
      <c r="G65" s="20">
        <v>2750188.3699999996</v>
      </c>
    </row>
    <row r="66" spans="2:7" x14ac:dyDescent="0.25">
      <c r="B66" s="54" t="s">
        <v>220</v>
      </c>
      <c r="C66" s="55" t="s">
        <v>221</v>
      </c>
      <c r="D66" s="55">
        <f>[31]Amortizaciones!D8</f>
        <v>11814859</v>
      </c>
      <c r="E66" s="21" t="s">
        <v>222</v>
      </c>
      <c r="F66" s="19" t="s">
        <v>223</v>
      </c>
      <c r="G66" s="20">
        <v>11087311.15</v>
      </c>
    </row>
    <row r="67" spans="2:7" x14ac:dyDescent="0.25">
      <c r="B67" s="54" t="s">
        <v>224</v>
      </c>
      <c r="C67" s="55" t="s">
        <v>225</v>
      </c>
      <c r="D67" s="55">
        <f>[31]Amortizaciones!D9</f>
        <v>0</v>
      </c>
      <c r="E67" s="21" t="s">
        <v>226</v>
      </c>
      <c r="F67" s="19" t="s">
        <v>227</v>
      </c>
      <c r="G67" s="20">
        <v>89289.140000000014</v>
      </c>
    </row>
    <row r="68" spans="2:7" x14ac:dyDescent="0.25">
      <c r="B68" s="54" t="s">
        <v>228</v>
      </c>
      <c r="C68" s="55" t="s">
        <v>229</v>
      </c>
      <c r="D68" s="55">
        <f>[31]Amortizaciones!D10</f>
        <v>672948</v>
      </c>
      <c r="E68" s="21" t="s">
        <v>230</v>
      </c>
      <c r="F68" s="19" t="s">
        <v>231</v>
      </c>
      <c r="G68" s="20"/>
    </row>
    <row r="69" spans="2:7" x14ac:dyDescent="0.25">
      <c r="B69" s="54" t="s">
        <v>232</v>
      </c>
      <c r="C69" s="55" t="s">
        <v>233</v>
      </c>
      <c r="D69" s="55">
        <f>[31]Amortizaciones!D11</f>
        <v>1211666</v>
      </c>
      <c r="E69" s="21" t="s">
        <v>234</v>
      </c>
      <c r="F69" s="19" t="s">
        <v>235</v>
      </c>
      <c r="G69" s="20">
        <v>2498871.4300000002</v>
      </c>
    </row>
    <row r="70" spans="2:7" x14ac:dyDescent="0.25">
      <c r="B70" s="54" t="s">
        <v>236</v>
      </c>
      <c r="C70" s="55" t="s">
        <v>237</v>
      </c>
      <c r="D70" s="55">
        <f>[31]Amortizaciones!D12</f>
        <v>1304247</v>
      </c>
      <c r="E70" s="21" t="s">
        <v>238</v>
      </c>
      <c r="F70" s="19" t="s">
        <v>239</v>
      </c>
      <c r="G70" s="20">
        <v>1651589.3</v>
      </c>
    </row>
    <row r="71" spans="2:7" x14ac:dyDescent="0.25">
      <c r="B71" s="54" t="s">
        <v>240</v>
      </c>
      <c r="C71" s="55" t="s">
        <v>241</v>
      </c>
      <c r="D71" s="55">
        <f>[31]Amortizaciones!D13</f>
        <v>4382751</v>
      </c>
      <c r="E71" s="21" t="s">
        <v>242</v>
      </c>
      <c r="F71" s="19" t="s">
        <v>243</v>
      </c>
      <c r="G71" s="20"/>
    </row>
    <row r="72" spans="2:7" x14ac:dyDescent="0.25">
      <c r="B72" s="54" t="s">
        <v>244</v>
      </c>
      <c r="C72" s="55" t="s">
        <v>245</v>
      </c>
      <c r="D72" s="55">
        <f>[31]Amortizaciones!D14</f>
        <v>5564960</v>
      </c>
      <c r="E72" s="21" t="s">
        <v>246</v>
      </c>
      <c r="F72" s="19" t="s">
        <v>247</v>
      </c>
      <c r="G72" s="20">
        <v>4744210.12</v>
      </c>
    </row>
    <row r="73" spans="2:7" x14ac:dyDescent="0.25">
      <c r="B73" s="54" t="s">
        <v>248</v>
      </c>
      <c r="C73" s="55" t="s">
        <v>249</v>
      </c>
      <c r="D73" s="55">
        <f>[31]Amortizaciones!D15</f>
        <v>0</v>
      </c>
      <c r="E73" s="21" t="s">
        <v>250</v>
      </c>
      <c r="F73" s="19" t="s">
        <v>251</v>
      </c>
      <c r="G73" s="20"/>
    </row>
    <row r="74" spans="2:7" x14ac:dyDescent="0.25">
      <c r="B74" s="54" t="s">
        <v>252</v>
      </c>
      <c r="C74" s="55" t="s">
        <v>253</v>
      </c>
      <c r="D74" s="55">
        <f>[31]Amortizaciones!D16</f>
        <v>6482618</v>
      </c>
      <c r="E74" s="21" t="s">
        <v>254</v>
      </c>
      <c r="F74" s="19" t="s">
        <v>255</v>
      </c>
      <c r="G74" s="20"/>
    </row>
    <row r="75" spans="2:7" x14ac:dyDescent="0.25">
      <c r="B75" s="54" t="s">
        <v>256</v>
      </c>
      <c r="C75" s="55" t="s">
        <v>257</v>
      </c>
      <c r="D75" s="55">
        <f>[31]Amortizaciones!D17</f>
        <v>0</v>
      </c>
      <c r="E75" s="21" t="s">
        <v>258</v>
      </c>
      <c r="F75" s="19" t="s">
        <v>259</v>
      </c>
      <c r="G75" s="20">
        <v>8503724.3499999996</v>
      </c>
    </row>
    <row r="76" spans="2:7" x14ac:dyDescent="0.25">
      <c r="B76" s="54" t="s">
        <v>260</v>
      </c>
      <c r="C76" s="55" t="s">
        <v>261</v>
      </c>
      <c r="D76" s="55">
        <f>[31]Amortizaciones!D18</f>
        <v>0</v>
      </c>
      <c r="E76" s="21" t="s">
        <v>262</v>
      </c>
      <c r="F76" s="19" t="s">
        <v>263</v>
      </c>
      <c r="G76" s="20">
        <v>7855768.8400000008</v>
      </c>
    </row>
    <row r="77" spans="2:7" x14ac:dyDescent="0.25">
      <c r="B77" s="54" t="s">
        <v>264</v>
      </c>
      <c r="C77" s="55" t="s">
        <v>265</v>
      </c>
      <c r="D77" s="55">
        <f>SUM(D64:D76)</f>
        <v>51769899</v>
      </c>
      <c r="E77" s="21" t="s">
        <v>266</v>
      </c>
      <c r="F77" s="19" t="s">
        <v>267</v>
      </c>
      <c r="G77" s="20">
        <v>19833121.369999997</v>
      </c>
    </row>
    <row r="78" spans="2:7" x14ac:dyDescent="0.25">
      <c r="B78" s="54"/>
      <c r="C78" s="55"/>
      <c r="D78" s="55"/>
      <c r="E78" s="21" t="s">
        <v>268</v>
      </c>
      <c r="F78" s="19" t="s">
        <v>269</v>
      </c>
      <c r="G78" s="27">
        <v>5032710</v>
      </c>
    </row>
    <row r="79" spans="2:7" ht="15.75" thickBot="1" x14ac:dyDescent="0.3">
      <c r="B79" s="54"/>
      <c r="C79" s="53" t="s">
        <v>270</v>
      </c>
      <c r="D79" s="56"/>
      <c r="E79" s="21"/>
      <c r="F79" s="28" t="s">
        <v>271</v>
      </c>
      <c r="G79" s="29">
        <f>SUM(G58:G78)</f>
        <v>126355933.76000005</v>
      </c>
    </row>
    <row r="80" spans="2:7" x14ac:dyDescent="0.25">
      <c r="B80" s="54" t="s">
        <v>272</v>
      </c>
      <c r="C80" s="55" t="s">
        <v>237</v>
      </c>
      <c r="D80" s="55">
        <f>[31]Amortizaciones!D22</f>
        <v>53545</v>
      </c>
      <c r="E80" s="21" t="s">
        <v>273</v>
      </c>
      <c r="F80" s="22" t="s">
        <v>274</v>
      </c>
      <c r="G80" s="23">
        <v>3777634.3799999929</v>
      </c>
    </row>
    <row r="81" spans="2:7" x14ac:dyDescent="0.25">
      <c r="B81" s="54" t="s">
        <v>275</v>
      </c>
      <c r="C81" s="55" t="s">
        <v>241</v>
      </c>
      <c r="D81" s="55">
        <f>[31]Amortizaciones!D23</f>
        <v>0</v>
      </c>
      <c r="E81" s="21" t="s">
        <v>276</v>
      </c>
      <c r="F81" s="19" t="s">
        <v>277</v>
      </c>
      <c r="G81" s="20">
        <v>17729196.489999957</v>
      </c>
    </row>
    <row r="82" spans="2:7" x14ac:dyDescent="0.25">
      <c r="B82" s="54" t="s">
        <v>278</v>
      </c>
      <c r="C82" s="55" t="s">
        <v>245</v>
      </c>
      <c r="D82" s="55">
        <f>[31]Amortizaciones!D24</f>
        <v>426529</v>
      </c>
      <c r="E82" s="21" t="s">
        <v>279</v>
      </c>
      <c r="F82" s="19" t="s">
        <v>280</v>
      </c>
      <c r="G82" s="20">
        <v>6830339.5599999968</v>
      </c>
    </row>
    <row r="83" spans="2:7" x14ac:dyDescent="0.25">
      <c r="B83" s="54" t="s">
        <v>281</v>
      </c>
      <c r="C83" s="55" t="s">
        <v>249</v>
      </c>
      <c r="D83" s="55">
        <f>[31]Amortizaciones!D25</f>
        <v>0</v>
      </c>
      <c r="E83" s="21" t="s">
        <v>282</v>
      </c>
      <c r="F83" s="19" t="s">
        <v>283</v>
      </c>
      <c r="G83" s="20">
        <v>5706508.2999999886</v>
      </c>
    </row>
    <row r="84" spans="2:7" x14ac:dyDescent="0.25">
      <c r="B84" s="54" t="s">
        <v>284</v>
      </c>
      <c r="C84" s="55" t="s">
        <v>285</v>
      </c>
      <c r="D84" s="55">
        <v>0</v>
      </c>
      <c r="E84" s="21" t="s">
        <v>286</v>
      </c>
      <c r="F84" s="19" t="s">
        <v>287</v>
      </c>
      <c r="G84" s="20">
        <v>9083166.2499999925</v>
      </c>
    </row>
    <row r="85" spans="2:7" x14ac:dyDescent="0.25">
      <c r="B85" s="54" t="s">
        <v>288</v>
      </c>
      <c r="C85" s="55" t="s">
        <v>289</v>
      </c>
      <c r="D85" s="55">
        <f>[31]Amortizaciones!D27</f>
        <v>0</v>
      </c>
      <c r="E85" s="21" t="s">
        <v>290</v>
      </c>
      <c r="F85" s="19" t="s">
        <v>291</v>
      </c>
      <c r="G85" s="20">
        <v>9609893.459999999</v>
      </c>
    </row>
    <row r="86" spans="2:7" x14ac:dyDescent="0.25">
      <c r="B86" s="54" t="s">
        <v>292</v>
      </c>
      <c r="C86" s="55" t="s">
        <v>293</v>
      </c>
      <c r="D86" s="55">
        <f>[31]Amortizaciones!D28</f>
        <v>0</v>
      </c>
      <c r="E86" s="21" t="s">
        <v>294</v>
      </c>
      <c r="F86" s="19" t="s">
        <v>295</v>
      </c>
      <c r="G86" s="20">
        <v>3452495.6399999964</v>
      </c>
    </row>
    <row r="87" spans="2:7" x14ac:dyDescent="0.25">
      <c r="B87" s="54" t="s">
        <v>296</v>
      </c>
      <c r="C87" s="55" t="s">
        <v>297</v>
      </c>
      <c r="D87" s="55">
        <f>[31]Amortizaciones!D29</f>
        <v>0</v>
      </c>
      <c r="E87" s="21" t="s">
        <v>298</v>
      </c>
      <c r="F87" s="19" t="s">
        <v>299</v>
      </c>
      <c r="G87" s="20">
        <v>1087125.7499999998</v>
      </c>
    </row>
    <row r="88" spans="2:7" x14ac:dyDescent="0.25">
      <c r="B88" s="54" t="s">
        <v>300</v>
      </c>
      <c r="C88" s="55" t="s">
        <v>301</v>
      </c>
      <c r="D88" s="55">
        <f>[31]Amortizaciones!D30</f>
        <v>83618</v>
      </c>
      <c r="E88" s="21" t="s">
        <v>302</v>
      </c>
      <c r="F88" s="19" t="s">
        <v>303</v>
      </c>
      <c r="G88" s="20">
        <v>4182651.4999999981</v>
      </c>
    </row>
    <row r="89" spans="2:7" x14ac:dyDescent="0.25">
      <c r="B89" s="54" t="s">
        <v>304</v>
      </c>
      <c r="C89" s="55" t="s">
        <v>213</v>
      </c>
      <c r="D89" s="55">
        <f>[31]Amortizaciones!D31</f>
        <v>1164266</v>
      </c>
      <c r="E89" s="21" t="s">
        <v>305</v>
      </c>
      <c r="F89" s="19" t="s">
        <v>306</v>
      </c>
      <c r="G89" s="20">
        <f>+'[33]BALANCETE 2020'!$C$246</f>
        <v>29455867.929999951</v>
      </c>
    </row>
    <row r="90" spans="2:7" x14ac:dyDescent="0.25">
      <c r="B90" s="54" t="s">
        <v>307</v>
      </c>
      <c r="C90" s="55" t="s">
        <v>229</v>
      </c>
      <c r="D90" s="55">
        <f>[31]Amortizaciones!D32</f>
        <v>197591</v>
      </c>
      <c r="E90" s="21" t="s">
        <v>308</v>
      </c>
      <c r="F90" s="19" t="s">
        <v>309</v>
      </c>
      <c r="G90" s="20">
        <v>2687395.0200000005</v>
      </c>
    </row>
    <row r="91" spans="2:7" x14ac:dyDescent="0.25">
      <c r="B91" s="54" t="s">
        <v>310</v>
      </c>
      <c r="C91" s="55" t="s">
        <v>311</v>
      </c>
      <c r="D91" s="55">
        <f>SUM(D80:D90)</f>
        <v>1925549</v>
      </c>
      <c r="E91" s="52" t="s">
        <v>312</v>
      </c>
      <c r="F91" s="19" t="s">
        <v>313</v>
      </c>
      <c r="G91" s="20">
        <v>1370294.1900000023</v>
      </c>
    </row>
    <row r="92" spans="2:7" x14ac:dyDescent="0.25">
      <c r="B92" s="54"/>
      <c r="C92" s="57" t="s">
        <v>314</v>
      </c>
      <c r="D92" s="55">
        <f>D77+D91</f>
        <v>53695448</v>
      </c>
      <c r="E92" s="52" t="s">
        <v>315</v>
      </c>
      <c r="F92" s="19" t="s">
        <v>316</v>
      </c>
      <c r="G92" s="20"/>
    </row>
    <row r="93" spans="2:7" x14ac:dyDescent="0.25">
      <c r="E93" s="52" t="s">
        <v>317</v>
      </c>
      <c r="F93" s="19" t="s">
        <v>318</v>
      </c>
      <c r="G93" s="20">
        <f>+'[33]BALANCETE 2020'!$C$247+'[33]BALANCETE 2020'!$C$250</f>
        <v>1075097.8799999997</v>
      </c>
    </row>
    <row r="94" spans="2:7" x14ac:dyDescent="0.25">
      <c r="E94" s="52" t="s">
        <v>319</v>
      </c>
      <c r="F94" s="19" t="s">
        <v>320</v>
      </c>
      <c r="G94" s="27">
        <v>3846537</v>
      </c>
    </row>
    <row r="95" spans="2:7" ht="13.5" customHeight="1" thickBot="1" x14ac:dyDescent="0.3">
      <c r="E95" s="21"/>
      <c r="F95" s="28" t="s">
        <v>321</v>
      </c>
      <c r="G95" s="29">
        <f>SUM(G80:G94)</f>
        <v>99894203.34999986</v>
      </c>
    </row>
    <row r="96" spans="2:7" x14ac:dyDescent="0.25">
      <c r="E96" s="52" t="s">
        <v>322</v>
      </c>
      <c r="F96" s="22" t="s">
        <v>323</v>
      </c>
      <c r="G96" s="23">
        <v>11748412.989999967</v>
      </c>
    </row>
    <row r="97" spans="2:7" x14ac:dyDescent="0.25">
      <c r="E97" s="52" t="s">
        <v>324</v>
      </c>
      <c r="F97" s="19" t="s">
        <v>325</v>
      </c>
      <c r="G97" s="20">
        <v>12882112</v>
      </c>
    </row>
    <row r="98" spans="2:7" x14ac:dyDescent="0.25">
      <c r="E98" s="52" t="s">
        <v>326</v>
      </c>
      <c r="F98" s="19" t="s">
        <v>327</v>
      </c>
      <c r="G98" s="20">
        <v>1684069.49</v>
      </c>
    </row>
    <row r="99" spans="2:7" x14ac:dyDescent="0.25">
      <c r="E99" s="52" t="s">
        <v>328</v>
      </c>
      <c r="F99" s="19" t="s">
        <v>329</v>
      </c>
      <c r="G99" s="20">
        <v>9362508</v>
      </c>
    </row>
    <row r="100" spans="2:7" x14ac:dyDescent="0.25">
      <c r="E100" s="52" t="s">
        <v>330</v>
      </c>
      <c r="F100" s="19" t="s">
        <v>331</v>
      </c>
      <c r="G100" s="27">
        <v>1463946</v>
      </c>
    </row>
    <row r="101" spans="2:7" ht="15.75" thickBot="1" x14ac:dyDescent="0.3">
      <c r="E101" s="21"/>
      <c r="F101" s="28" t="s">
        <v>332</v>
      </c>
      <c r="G101" s="29">
        <f>SUM(G96:G100)</f>
        <v>37141048.479999959</v>
      </c>
    </row>
    <row r="102" spans="2:7" ht="15.75" thickBot="1" x14ac:dyDescent="0.3">
      <c r="E102" s="52"/>
      <c r="F102" s="59" t="s">
        <v>333</v>
      </c>
      <c r="G102" s="60">
        <f>[31]Amortizaciones!D19</f>
        <v>51769899</v>
      </c>
    </row>
    <row r="103" spans="2:7" x14ac:dyDescent="0.25">
      <c r="E103" s="52" t="s">
        <v>334</v>
      </c>
      <c r="F103" s="19" t="s">
        <v>335</v>
      </c>
      <c r="G103" s="23"/>
    </row>
    <row r="104" spans="2:7" x14ac:dyDescent="0.25">
      <c r="E104" s="52" t="s">
        <v>336</v>
      </c>
      <c r="F104" s="61" t="s">
        <v>337</v>
      </c>
      <c r="G104" s="20"/>
    </row>
    <row r="105" spans="2:7" ht="15.75" thickBot="1" x14ac:dyDescent="0.3">
      <c r="E105" s="21"/>
      <c r="F105" s="28" t="s">
        <v>338</v>
      </c>
      <c r="G105" s="29">
        <f>SUM(G103:G104)</f>
        <v>0</v>
      </c>
    </row>
    <row r="106" spans="2:7" ht="13.7" customHeight="1" thickBot="1" x14ac:dyDescent="0.3">
      <c r="B106" s="6"/>
      <c r="C106" s="62"/>
      <c r="D106" s="62"/>
      <c r="E106" s="52"/>
      <c r="F106" s="48" t="s">
        <v>339</v>
      </c>
      <c r="G106" s="49">
        <f>G19+G27+G32+G48+G57+G79+G95+G101+G102+G105</f>
        <v>1916775781.3999999</v>
      </c>
    </row>
    <row r="107" spans="2:7" ht="13.7" customHeight="1" x14ac:dyDescent="0.25">
      <c r="B107" s="6"/>
      <c r="C107" s="62"/>
      <c r="D107" s="62"/>
      <c r="E107" s="21"/>
      <c r="F107" s="63"/>
      <c r="G107" s="64"/>
    </row>
    <row r="108" spans="2:7" ht="13.7" customHeight="1" thickBot="1" x14ac:dyDescent="0.3">
      <c r="B108" s="6"/>
      <c r="C108" s="62"/>
      <c r="D108" s="62"/>
      <c r="E108" s="21"/>
    </row>
    <row r="109" spans="2:7" ht="13.7" customHeight="1" thickBot="1" x14ac:dyDescent="0.3">
      <c r="B109" s="6"/>
      <c r="C109" s="62"/>
      <c r="D109" s="62"/>
      <c r="E109" s="21"/>
      <c r="F109" s="13" t="s">
        <v>340</v>
      </c>
      <c r="G109" s="65">
        <f>D61-G106</f>
        <v>127345956.0600028</v>
      </c>
    </row>
    <row r="110" spans="2:7" ht="13.7" customHeight="1" thickBot="1" x14ac:dyDescent="0.3">
      <c r="B110" s="6"/>
      <c r="C110" s="62"/>
      <c r="D110" s="62"/>
      <c r="E110" s="21"/>
    </row>
    <row r="111" spans="2:7" ht="13.7" customHeight="1" thickBot="1" x14ac:dyDescent="0.3">
      <c r="C111" s="48" t="s">
        <v>270</v>
      </c>
      <c r="D111" s="17">
        <f>+[31]E.S.P.!D6</f>
        <v>2020</v>
      </c>
      <c r="E111" s="52"/>
      <c r="F111" s="48" t="s">
        <v>341</v>
      </c>
      <c r="G111" s="17">
        <f>+[31]E.S.P.!D6</f>
        <v>2020</v>
      </c>
    </row>
    <row r="112" spans="2:7" ht="13.7" customHeight="1" x14ac:dyDescent="0.25">
      <c r="B112" s="6" t="s">
        <v>342</v>
      </c>
      <c r="C112" s="66" t="s">
        <v>343</v>
      </c>
      <c r="D112" s="67">
        <v>6568805.6900000051</v>
      </c>
      <c r="E112" s="21" t="s">
        <v>344</v>
      </c>
      <c r="F112" s="66" t="s">
        <v>309</v>
      </c>
      <c r="G112" s="67"/>
    </row>
    <row r="113" spans="2:7" ht="13.7" customHeight="1" x14ac:dyDescent="0.25">
      <c r="B113" s="6" t="s">
        <v>345</v>
      </c>
      <c r="C113" s="68" t="s">
        <v>346</v>
      </c>
      <c r="D113" s="69">
        <v>33064127.089999996</v>
      </c>
      <c r="E113" s="21" t="s">
        <v>347</v>
      </c>
      <c r="F113" s="68" t="s">
        <v>348</v>
      </c>
      <c r="G113" s="69"/>
    </row>
    <row r="114" spans="2:7" ht="13.7" customHeight="1" x14ac:dyDescent="0.25">
      <c r="B114" s="6" t="s">
        <v>349</v>
      </c>
      <c r="C114" s="68" t="s">
        <v>48</v>
      </c>
      <c r="D114" s="69">
        <v>1175881.3900000006</v>
      </c>
      <c r="E114" s="21" t="s">
        <v>350</v>
      </c>
      <c r="F114" s="68" t="s">
        <v>351</v>
      </c>
      <c r="G114" s="69"/>
    </row>
    <row r="115" spans="2:7" ht="13.7" customHeight="1" x14ac:dyDescent="0.25">
      <c r="B115" s="6" t="s">
        <v>352</v>
      </c>
      <c r="C115" s="68" t="s">
        <v>353</v>
      </c>
      <c r="D115" s="69">
        <v>271149.24000000005</v>
      </c>
      <c r="E115" s="21" t="s">
        <v>354</v>
      </c>
      <c r="F115" s="68" t="s">
        <v>355</v>
      </c>
      <c r="G115" s="69"/>
    </row>
    <row r="116" spans="2:7" ht="13.7" customHeight="1" x14ac:dyDescent="0.25">
      <c r="B116" s="6" t="s">
        <v>356</v>
      </c>
      <c r="C116" s="68" t="s">
        <v>357</v>
      </c>
      <c r="D116" s="69">
        <v>1414725.34</v>
      </c>
      <c r="E116" s="21" t="s">
        <v>358</v>
      </c>
      <c r="F116" s="68" t="s">
        <v>359</v>
      </c>
      <c r="G116" s="69">
        <v>445367.85</v>
      </c>
    </row>
    <row r="117" spans="2:7" ht="13.7" customHeight="1" x14ac:dyDescent="0.25">
      <c r="B117" s="6" t="s">
        <v>360</v>
      </c>
      <c r="C117" s="68" t="s">
        <v>361</v>
      </c>
      <c r="D117" s="69">
        <v>44330.429999999993</v>
      </c>
      <c r="E117" s="21" t="s">
        <v>362</v>
      </c>
      <c r="F117" s="68" t="s">
        <v>363</v>
      </c>
      <c r="G117" s="69"/>
    </row>
    <row r="118" spans="2:7" ht="13.7" customHeight="1" x14ac:dyDescent="0.25">
      <c r="B118" s="6" t="s">
        <v>364</v>
      </c>
      <c r="C118" s="68" t="s">
        <v>365</v>
      </c>
      <c r="D118" s="69"/>
      <c r="E118" s="21" t="s">
        <v>366</v>
      </c>
      <c r="F118" s="68" t="s">
        <v>367</v>
      </c>
      <c r="G118" s="69"/>
    </row>
    <row r="119" spans="2:7" ht="13.7" customHeight="1" x14ac:dyDescent="0.25">
      <c r="B119" s="6" t="s">
        <v>368</v>
      </c>
      <c r="C119" s="68" t="s">
        <v>369</v>
      </c>
      <c r="D119" s="69">
        <v>257172.59000000008</v>
      </c>
      <c r="E119" s="21" t="s">
        <v>370</v>
      </c>
      <c r="F119" s="68" t="s">
        <v>371</v>
      </c>
      <c r="G119" s="69"/>
    </row>
    <row r="120" spans="2:7" ht="13.7" customHeight="1" x14ac:dyDescent="0.25">
      <c r="B120" s="6" t="s">
        <v>372</v>
      </c>
      <c r="C120" s="68" t="s">
        <v>373</v>
      </c>
      <c r="D120" s="69"/>
      <c r="E120" s="21" t="s">
        <v>374</v>
      </c>
      <c r="F120" s="68" t="s">
        <v>375</v>
      </c>
      <c r="G120" s="69"/>
    </row>
    <row r="121" spans="2:7" ht="13.7" customHeight="1" x14ac:dyDescent="0.25">
      <c r="B121" s="6" t="s">
        <v>376</v>
      </c>
      <c r="C121" s="19" t="s">
        <v>377</v>
      </c>
      <c r="D121" s="69">
        <v>1944399</v>
      </c>
      <c r="E121" s="21" t="s">
        <v>378</v>
      </c>
      <c r="F121" s="68" t="s">
        <v>379</v>
      </c>
      <c r="G121" s="69">
        <v>1845824</v>
      </c>
    </row>
    <row r="122" spans="2:7" ht="13.7" customHeight="1" thickBot="1" x14ac:dyDescent="0.3">
      <c r="B122" s="6"/>
      <c r="C122" s="28" t="s">
        <v>380</v>
      </c>
      <c r="D122" s="37">
        <f>SUM(D112:D121)</f>
        <v>44740590.770000011</v>
      </c>
      <c r="E122" s="21" t="s">
        <v>381</v>
      </c>
      <c r="F122" s="19" t="s">
        <v>382</v>
      </c>
      <c r="G122" s="20">
        <v>116672</v>
      </c>
    </row>
    <row r="123" spans="2:7" ht="13.7" customHeight="1" thickBot="1" x14ac:dyDescent="0.3">
      <c r="B123" s="6" t="s">
        <v>383</v>
      </c>
      <c r="C123" s="70" t="s">
        <v>309</v>
      </c>
      <c r="D123" s="67"/>
      <c r="E123" s="52"/>
      <c r="F123" s="28" t="s">
        <v>384</v>
      </c>
      <c r="G123" s="37">
        <f>SUM(G112:G122)</f>
        <v>2407863.85</v>
      </c>
    </row>
    <row r="124" spans="2:7" ht="13.7" customHeight="1" x14ac:dyDescent="0.25">
      <c r="B124" s="6" t="s">
        <v>385</v>
      </c>
      <c r="C124" s="68" t="s">
        <v>313</v>
      </c>
      <c r="D124" s="69">
        <v>14300.059999999996</v>
      </c>
      <c r="E124" s="21" t="s">
        <v>386</v>
      </c>
      <c r="F124" s="68" t="s">
        <v>387</v>
      </c>
      <c r="G124" s="69"/>
    </row>
    <row r="125" spans="2:7" ht="13.7" customHeight="1" x14ac:dyDescent="0.25">
      <c r="B125" s="6" t="s">
        <v>388</v>
      </c>
      <c r="C125" s="19" t="s">
        <v>389</v>
      </c>
      <c r="D125" s="69">
        <v>1476</v>
      </c>
      <c r="E125" s="21" t="s">
        <v>390</v>
      </c>
      <c r="F125" s="68" t="s">
        <v>391</v>
      </c>
      <c r="G125" s="69">
        <v>413435.04000000004</v>
      </c>
    </row>
    <row r="126" spans="2:7" ht="13.7" customHeight="1" thickBot="1" x14ac:dyDescent="0.3">
      <c r="B126" s="6"/>
      <c r="C126" s="28" t="s">
        <v>392</v>
      </c>
      <c r="D126" s="37">
        <f>SUM(D123:D125)</f>
        <v>15776.059999999996</v>
      </c>
      <c r="E126" s="21" t="s">
        <v>393</v>
      </c>
      <c r="F126" s="68" t="s">
        <v>394</v>
      </c>
      <c r="G126" s="69"/>
    </row>
    <row r="127" spans="2:7" ht="13.7" customHeight="1" x14ac:dyDescent="0.25">
      <c r="B127" s="6" t="s">
        <v>395</v>
      </c>
      <c r="C127" s="66" t="s">
        <v>274</v>
      </c>
      <c r="D127" s="67">
        <v>3329229.1400000015</v>
      </c>
      <c r="E127" s="21" t="s">
        <v>396</v>
      </c>
      <c r="F127" s="68" t="s">
        <v>397</v>
      </c>
      <c r="G127" s="69"/>
    </row>
    <row r="128" spans="2:7" ht="13.7" customHeight="1" x14ac:dyDescent="0.25">
      <c r="B128" s="6" t="s">
        <v>398</v>
      </c>
      <c r="C128" s="68" t="s">
        <v>399</v>
      </c>
      <c r="D128" s="69">
        <v>3094999.9099999988</v>
      </c>
      <c r="E128" s="21" t="s">
        <v>400</v>
      </c>
      <c r="F128" s="68" t="s">
        <v>401</v>
      </c>
      <c r="G128" s="69"/>
    </row>
    <row r="129" spans="2:7" ht="13.7" customHeight="1" x14ac:dyDescent="0.25">
      <c r="B129" s="6" t="s">
        <v>402</v>
      </c>
      <c r="C129" s="68" t="s">
        <v>277</v>
      </c>
      <c r="D129" s="69"/>
      <c r="E129" s="21" t="s">
        <v>403</v>
      </c>
      <c r="F129" s="68" t="s">
        <v>404</v>
      </c>
      <c r="G129" s="69">
        <v>1974378.1300000004</v>
      </c>
    </row>
    <row r="130" spans="2:7" ht="13.7" customHeight="1" x14ac:dyDescent="0.25">
      <c r="B130" s="6" t="s">
        <v>405</v>
      </c>
      <c r="C130" s="68" t="s">
        <v>283</v>
      </c>
      <c r="D130" s="69">
        <v>56508.960000000014</v>
      </c>
      <c r="E130" s="21" t="s">
        <v>406</v>
      </c>
      <c r="F130" s="68" t="s">
        <v>407</v>
      </c>
      <c r="G130" s="69"/>
    </row>
    <row r="131" spans="2:7" ht="13.7" customHeight="1" x14ac:dyDescent="0.25">
      <c r="B131" s="6" t="s">
        <v>408</v>
      </c>
      <c r="C131" s="68" t="s">
        <v>287</v>
      </c>
      <c r="D131" s="69">
        <v>139201.92000000001</v>
      </c>
      <c r="E131" s="21" t="s">
        <v>409</v>
      </c>
      <c r="F131" s="68" t="s">
        <v>410</v>
      </c>
      <c r="G131" s="69">
        <v>9882.1200000000008</v>
      </c>
    </row>
    <row r="132" spans="2:7" ht="13.7" customHeight="1" x14ac:dyDescent="0.25">
      <c r="B132" s="6" t="s">
        <v>411</v>
      </c>
      <c r="C132" s="68" t="s">
        <v>291</v>
      </c>
      <c r="D132" s="69">
        <v>906598.35000000009</v>
      </c>
      <c r="E132" s="21" t="s">
        <v>412</v>
      </c>
      <c r="F132" s="68" t="s">
        <v>413</v>
      </c>
      <c r="G132" s="69">
        <v>212214.92999999996</v>
      </c>
    </row>
    <row r="133" spans="2:7" ht="13.7" customHeight="1" x14ac:dyDescent="0.25">
      <c r="B133" s="6" t="s">
        <v>414</v>
      </c>
      <c r="C133" s="68" t="s">
        <v>295</v>
      </c>
      <c r="D133" s="69"/>
      <c r="E133" s="21" t="s">
        <v>415</v>
      </c>
      <c r="F133" s="68" t="s">
        <v>416</v>
      </c>
      <c r="G133" s="69"/>
    </row>
    <row r="134" spans="2:7" ht="13.7" customHeight="1" x14ac:dyDescent="0.25">
      <c r="B134" s="6" t="s">
        <v>417</v>
      </c>
      <c r="C134" s="68" t="s">
        <v>418</v>
      </c>
      <c r="D134" s="69">
        <v>3258141.5500000007</v>
      </c>
      <c r="E134" s="21" t="s">
        <v>419</v>
      </c>
      <c r="F134" s="68" t="s">
        <v>420</v>
      </c>
      <c r="G134" s="69">
        <v>1473685</v>
      </c>
    </row>
    <row r="135" spans="2:7" ht="13.7" customHeight="1" x14ac:dyDescent="0.25">
      <c r="B135" s="6" t="s">
        <v>421</v>
      </c>
      <c r="C135" s="68" t="s">
        <v>422</v>
      </c>
      <c r="D135" s="69">
        <v>6556756.2099999934</v>
      </c>
      <c r="E135" s="21" t="s">
        <v>423</v>
      </c>
      <c r="F135" s="68" t="s">
        <v>424</v>
      </c>
      <c r="G135" s="69"/>
    </row>
    <row r="136" spans="2:7" ht="13.7" customHeight="1" x14ac:dyDescent="0.25">
      <c r="B136" s="6" t="s">
        <v>425</v>
      </c>
      <c r="C136" s="68" t="s">
        <v>318</v>
      </c>
      <c r="D136" s="69">
        <v>8379251.4600000009</v>
      </c>
      <c r="E136" s="21" t="s">
        <v>426</v>
      </c>
      <c r="F136" s="68" t="s">
        <v>427</v>
      </c>
      <c r="G136" s="69">
        <v>409956.09</v>
      </c>
    </row>
    <row r="137" spans="2:7" ht="13.7" customHeight="1" x14ac:dyDescent="0.25">
      <c r="B137" s="6" t="s">
        <v>428</v>
      </c>
      <c r="C137" s="19" t="s">
        <v>320</v>
      </c>
      <c r="D137" s="71">
        <v>1004980</v>
      </c>
      <c r="E137" s="21" t="s">
        <v>429</v>
      </c>
      <c r="F137" s="68" t="s">
        <v>430</v>
      </c>
      <c r="G137" s="69">
        <v>21954733</v>
      </c>
    </row>
    <row r="138" spans="2:7" ht="13.7" customHeight="1" thickBot="1" x14ac:dyDescent="0.3">
      <c r="B138" s="6"/>
      <c r="C138" s="28" t="s">
        <v>321</v>
      </c>
      <c r="D138" s="37">
        <f>SUM(D127:D137)</f>
        <v>26725667.499999996</v>
      </c>
      <c r="E138" s="21" t="s">
        <v>431</v>
      </c>
      <c r="F138" s="19" t="s">
        <v>432</v>
      </c>
      <c r="G138" s="20">
        <v>1103960</v>
      </c>
    </row>
    <row r="139" spans="2:7" ht="13.7" customHeight="1" thickBot="1" x14ac:dyDescent="0.3">
      <c r="B139" s="6" t="s">
        <v>433</v>
      </c>
      <c r="C139" s="66" t="s">
        <v>327</v>
      </c>
      <c r="D139" s="67"/>
      <c r="E139" s="7"/>
      <c r="F139" s="28" t="s">
        <v>434</v>
      </c>
      <c r="G139" s="37">
        <f>SUM(G124:G138)</f>
        <v>27552244.310000002</v>
      </c>
    </row>
    <row r="140" spans="2:7" ht="13.7" customHeight="1" thickBot="1" x14ac:dyDescent="0.3">
      <c r="B140" s="6" t="s">
        <v>435</v>
      </c>
      <c r="C140" s="68" t="s">
        <v>329</v>
      </c>
      <c r="D140" s="69">
        <v>523300</v>
      </c>
      <c r="E140" s="7"/>
      <c r="F140" s="48" t="s">
        <v>436</v>
      </c>
      <c r="G140" s="72">
        <f>G123-G139</f>
        <v>-25144380.460000001</v>
      </c>
    </row>
    <row r="141" spans="2:7" ht="13.7" customHeight="1" x14ac:dyDescent="0.25">
      <c r="B141" s="6" t="s">
        <v>437</v>
      </c>
      <c r="C141" s="19" t="s">
        <v>331</v>
      </c>
      <c r="D141" s="71">
        <v>22223</v>
      </c>
      <c r="E141" s="73"/>
    </row>
    <row r="142" spans="2:7" ht="13.7" customHeight="1" thickBot="1" x14ac:dyDescent="0.3">
      <c r="B142" s="6"/>
      <c r="C142" s="28" t="s">
        <v>332</v>
      </c>
      <c r="D142" s="37">
        <f>SUM(D139:D141)</f>
        <v>545523</v>
      </c>
      <c r="E142" s="73"/>
    </row>
    <row r="143" spans="2:7" ht="13.7" customHeight="1" thickBot="1" x14ac:dyDescent="0.3">
      <c r="B143" s="6"/>
      <c r="C143" s="59" t="s">
        <v>438</v>
      </c>
      <c r="D143" s="74">
        <f>[31]Amortizaciones!D33</f>
        <v>1925549</v>
      </c>
      <c r="E143" s="21"/>
      <c r="F143" s="48" t="s">
        <v>439</v>
      </c>
      <c r="G143" s="17">
        <f>+[31]E.S.P.!D6</f>
        <v>2020</v>
      </c>
    </row>
    <row r="144" spans="2:7" ht="13.7" customHeight="1" x14ac:dyDescent="0.25">
      <c r="B144" s="6" t="s">
        <v>440</v>
      </c>
      <c r="C144" s="66" t="s">
        <v>441</v>
      </c>
      <c r="D144" s="67"/>
      <c r="E144" s="21" t="s">
        <v>442</v>
      </c>
      <c r="F144" s="66" t="s">
        <v>443</v>
      </c>
      <c r="G144" s="67">
        <v>5571260.04</v>
      </c>
    </row>
    <row r="145" spans="2:7" ht="13.7" customHeight="1" x14ac:dyDescent="0.25">
      <c r="B145" s="6" t="s">
        <v>444</v>
      </c>
      <c r="C145" s="68" t="s">
        <v>445</v>
      </c>
      <c r="D145" s="69">
        <v>684218</v>
      </c>
      <c r="E145" s="21" t="s">
        <v>446</v>
      </c>
      <c r="F145" s="68" t="s">
        <v>447</v>
      </c>
      <c r="G145" s="69">
        <v>9832009.4700000007</v>
      </c>
    </row>
    <row r="146" spans="2:7" ht="13.7" customHeight="1" x14ac:dyDescent="0.25">
      <c r="B146" s="6" t="s">
        <v>448</v>
      </c>
      <c r="C146" s="75" t="s">
        <v>449</v>
      </c>
      <c r="D146" s="69">
        <v>37796</v>
      </c>
      <c r="E146" s="21" t="s">
        <v>450</v>
      </c>
      <c r="F146" s="68" t="s">
        <v>451</v>
      </c>
      <c r="G146" s="69"/>
    </row>
    <row r="147" spans="2:7" ht="13.7" customHeight="1" x14ac:dyDescent="0.25">
      <c r="B147" s="6" t="s">
        <v>452</v>
      </c>
      <c r="C147" s="19" t="s">
        <v>453</v>
      </c>
      <c r="D147" s="71">
        <v>46682</v>
      </c>
      <c r="E147" s="21" t="s">
        <v>454</v>
      </c>
      <c r="F147" s="68" t="s">
        <v>455</v>
      </c>
      <c r="G147" s="69"/>
    </row>
    <row r="148" spans="2:7" ht="13.7" customHeight="1" thickBot="1" x14ac:dyDescent="0.3">
      <c r="B148" s="6"/>
      <c r="C148" s="28" t="s">
        <v>456</v>
      </c>
      <c r="D148" s="37">
        <f>SUM(D144:D147)</f>
        <v>768696</v>
      </c>
      <c r="E148" s="21" t="s">
        <v>457</v>
      </c>
      <c r="F148" s="68" t="s">
        <v>458</v>
      </c>
      <c r="G148" s="69"/>
    </row>
    <row r="149" spans="2:7" ht="13.7" customHeight="1" x14ac:dyDescent="0.25">
      <c r="B149" s="6" t="s">
        <v>459</v>
      </c>
      <c r="C149" s="66" t="s">
        <v>460</v>
      </c>
      <c r="D149" s="67"/>
      <c r="E149" s="21" t="s">
        <v>461</v>
      </c>
      <c r="F149" s="68" t="s">
        <v>462</v>
      </c>
      <c r="G149" s="69"/>
    </row>
    <row r="150" spans="2:7" ht="13.7" customHeight="1" x14ac:dyDescent="0.25">
      <c r="B150" s="6" t="s">
        <v>463</v>
      </c>
      <c r="C150" s="68" t="s">
        <v>464</v>
      </c>
      <c r="D150" s="69"/>
      <c r="E150" s="21" t="s">
        <v>465</v>
      </c>
      <c r="F150" s="68" t="s">
        <v>466</v>
      </c>
      <c r="G150" s="69"/>
    </row>
    <row r="151" spans="2:7" ht="13.7" customHeight="1" x14ac:dyDescent="0.25">
      <c r="B151" s="6" t="s">
        <v>467</v>
      </c>
      <c r="C151" s="19" t="s">
        <v>468</v>
      </c>
      <c r="D151" s="71"/>
      <c r="E151" s="21" t="s">
        <v>469</v>
      </c>
      <c r="F151" s="68" t="s">
        <v>470</v>
      </c>
      <c r="G151" s="69"/>
    </row>
    <row r="152" spans="2:7" ht="13.7" customHeight="1" thickBot="1" x14ac:dyDescent="0.3">
      <c r="B152" s="6"/>
      <c r="C152" s="28" t="s">
        <v>471</v>
      </c>
      <c r="D152" s="37">
        <f>SUM(D149:D151)</f>
        <v>0</v>
      </c>
      <c r="E152" s="21" t="s">
        <v>472</v>
      </c>
      <c r="F152" s="68" t="s">
        <v>473</v>
      </c>
      <c r="G152" s="69"/>
    </row>
    <row r="153" spans="2:7" ht="13.7" customHeight="1" thickBot="1" x14ac:dyDescent="0.3">
      <c r="B153" s="6"/>
      <c r="C153" s="48" t="s">
        <v>474</v>
      </c>
      <c r="D153" s="76">
        <f>D122+D126+D138+D142+D143+D148+D152</f>
        <v>74721802.330000013</v>
      </c>
      <c r="E153" s="21" t="s">
        <v>475</v>
      </c>
      <c r="F153" s="19" t="s">
        <v>476</v>
      </c>
      <c r="G153" s="20">
        <v>235081</v>
      </c>
    </row>
    <row r="154" spans="2:7" ht="13.7" customHeight="1" thickBot="1" x14ac:dyDescent="0.3">
      <c r="B154" s="6"/>
      <c r="E154" s="21"/>
      <c r="F154" s="28" t="s">
        <v>477</v>
      </c>
      <c r="G154" s="37">
        <f>SUM(G144:G153)</f>
        <v>15638350.510000002</v>
      </c>
    </row>
    <row r="155" spans="2:7" ht="13.7" customHeight="1" thickBot="1" x14ac:dyDescent="0.3">
      <c r="B155" s="6"/>
      <c r="C155" s="77" t="s">
        <v>478</v>
      </c>
      <c r="D155" s="65">
        <f>G109-D153</f>
        <v>52624153.730002791</v>
      </c>
      <c r="E155" s="21" t="s">
        <v>479</v>
      </c>
      <c r="F155" s="66" t="s">
        <v>480</v>
      </c>
      <c r="G155" s="67">
        <v>1540707.7800000003</v>
      </c>
    </row>
    <row r="156" spans="2:7" ht="13.7" customHeight="1" x14ac:dyDescent="0.25">
      <c r="E156" s="21" t="s">
        <v>481</v>
      </c>
      <c r="F156" s="68" t="s">
        <v>482</v>
      </c>
      <c r="G156" s="69">
        <v>7540667.089999998</v>
      </c>
    </row>
    <row r="157" spans="2:7" ht="13.7" customHeight="1" x14ac:dyDescent="0.25">
      <c r="E157" s="21" t="s">
        <v>483</v>
      </c>
      <c r="F157" s="68" t="s">
        <v>484</v>
      </c>
      <c r="G157" s="69"/>
    </row>
    <row r="158" spans="2:7" ht="13.7" customHeight="1" x14ac:dyDescent="0.25">
      <c r="E158" s="21" t="s">
        <v>485</v>
      </c>
      <c r="F158" s="68" t="s">
        <v>486</v>
      </c>
      <c r="G158" s="69"/>
    </row>
    <row r="159" spans="2:7" ht="13.7" customHeight="1" x14ac:dyDescent="0.25">
      <c r="E159" s="21" t="s">
        <v>487</v>
      </c>
      <c r="F159" s="68" t="s">
        <v>488</v>
      </c>
      <c r="G159" s="69"/>
    </row>
    <row r="160" spans="2:7" ht="13.7" customHeight="1" x14ac:dyDescent="0.25">
      <c r="E160" s="21" t="s">
        <v>489</v>
      </c>
      <c r="F160" s="68" t="s">
        <v>490</v>
      </c>
      <c r="G160" s="69"/>
    </row>
    <row r="161" spans="5:7" ht="13.7" customHeight="1" x14ac:dyDescent="0.25">
      <c r="E161" s="21" t="s">
        <v>491</v>
      </c>
      <c r="F161" s="68" t="s">
        <v>492</v>
      </c>
      <c r="G161" s="69"/>
    </row>
    <row r="162" spans="5:7" ht="13.7" customHeight="1" x14ac:dyDescent="0.25">
      <c r="E162" s="21" t="s">
        <v>493</v>
      </c>
      <c r="F162" s="68" t="s">
        <v>494</v>
      </c>
      <c r="G162" s="69"/>
    </row>
    <row r="163" spans="5:7" ht="13.7" customHeight="1" x14ac:dyDescent="0.25">
      <c r="E163" s="21" t="s">
        <v>495</v>
      </c>
      <c r="F163" s="68" t="s">
        <v>496</v>
      </c>
      <c r="G163" s="69"/>
    </row>
    <row r="164" spans="5:7" ht="13.7" customHeight="1" x14ac:dyDescent="0.25">
      <c r="E164" s="21" t="s">
        <v>497</v>
      </c>
      <c r="F164" s="68" t="s">
        <v>498</v>
      </c>
      <c r="G164" s="69"/>
    </row>
    <row r="165" spans="5:7" ht="13.7" customHeight="1" x14ac:dyDescent="0.25">
      <c r="E165" s="21" t="s">
        <v>499</v>
      </c>
      <c r="F165" s="68" t="s">
        <v>500</v>
      </c>
      <c r="G165" s="69">
        <v>1853569</v>
      </c>
    </row>
    <row r="166" spans="5:7" ht="13.7" customHeight="1" x14ac:dyDescent="0.25">
      <c r="E166" s="21" t="s">
        <v>501</v>
      </c>
      <c r="F166" s="68" t="s">
        <v>502</v>
      </c>
      <c r="G166" s="69">
        <v>784068.46999999927</v>
      </c>
    </row>
    <row r="167" spans="5:7" ht="13.7" customHeight="1" x14ac:dyDescent="0.25">
      <c r="E167" s="21" t="s">
        <v>503</v>
      </c>
      <c r="F167" s="19" t="s">
        <v>504</v>
      </c>
      <c r="G167" s="20">
        <v>103791</v>
      </c>
    </row>
    <row r="168" spans="5:7" ht="13.7" customHeight="1" thickBot="1" x14ac:dyDescent="0.3">
      <c r="E168" s="21"/>
      <c r="F168" s="28" t="s">
        <v>505</v>
      </c>
      <c r="G168" s="37">
        <f>SUM(G155:G167)</f>
        <v>11822803.339999996</v>
      </c>
    </row>
    <row r="169" spans="5:7" ht="13.7" customHeight="1" thickBot="1" x14ac:dyDescent="0.3">
      <c r="E169" s="21"/>
      <c r="F169" s="48" t="s">
        <v>506</v>
      </c>
      <c r="G169" s="72">
        <f>G154-G168</f>
        <v>3815547.1700000055</v>
      </c>
    </row>
    <row r="170" spans="5:7" ht="13.7" customHeight="1" thickBot="1" x14ac:dyDescent="0.3">
      <c r="E170" s="21"/>
      <c r="F170" s="78"/>
      <c r="G170" s="78"/>
    </row>
    <row r="171" spans="5:7" ht="13.7" customHeight="1" thickBot="1" x14ac:dyDescent="0.3">
      <c r="E171" s="21"/>
      <c r="F171" s="77" t="s">
        <v>507</v>
      </c>
      <c r="G171" s="79"/>
    </row>
    <row r="172" spans="5:7" ht="13.7" customHeight="1" thickBot="1" x14ac:dyDescent="0.3">
      <c r="E172" s="21"/>
      <c r="F172" s="80"/>
      <c r="G172" s="81">
        <f>+D155+G140+G169</f>
        <v>31295320.440002795</v>
      </c>
    </row>
    <row r="173" spans="5:7" ht="13.7" customHeight="1" thickBot="1" x14ac:dyDescent="0.3">
      <c r="E173" s="21"/>
      <c r="F173" s="5"/>
      <c r="G173" s="5"/>
    </row>
    <row r="174" spans="5:7" ht="13.7" customHeight="1" thickBot="1" x14ac:dyDescent="0.3">
      <c r="E174" s="21"/>
      <c r="F174" s="48" t="s">
        <v>508</v>
      </c>
      <c r="G174" s="17">
        <f>+G143</f>
        <v>2020</v>
      </c>
    </row>
    <row r="175" spans="5:7" ht="13.7" customHeight="1" x14ac:dyDescent="0.25">
      <c r="E175" s="21"/>
      <c r="F175" s="66" t="s">
        <v>509</v>
      </c>
      <c r="G175" s="67"/>
    </row>
    <row r="176" spans="5:7" ht="13.7" customHeight="1" x14ac:dyDescent="0.25">
      <c r="E176" s="21"/>
      <c r="F176" s="68" t="s">
        <v>510</v>
      </c>
      <c r="G176" s="69"/>
    </row>
    <row r="177" spans="1:8" ht="13.7" customHeight="1" thickBot="1" x14ac:dyDescent="0.3">
      <c r="F177" s="68" t="s">
        <v>511</v>
      </c>
      <c r="G177" s="69"/>
    </row>
    <row r="178" spans="1:8" ht="13.7" customHeight="1" thickBot="1" x14ac:dyDescent="0.3">
      <c r="F178" s="48" t="s">
        <v>512</v>
      </c>
      <c r="G178" s="72">
        <f>SUM(G175:G177)</f>
        <v>0</v>
      </c>
    </row>
    <row r="179" spans="1:8" ht="13.7" customHeight="1" thickBot="1" x14ac:dyDescent="0.3"/>
    <row r="180" spans="1:8" ht="13.7" customHeight="1" thickBot="1" x14ac:dyDescent="0.3">
      <c r="F180" s="77" t="s">
        <v>513</v>
      </c>
      <c r="G180" s="79"/>
    </row>
    <row r="181" spans="1:8" ht="13.7" customHeight="1" thickBot="1" x14ac:dyDescent="0.3">
      <c r="F181" s="83"/>
      <c r="G181" s="81">
        <f>+G172+G178</f>
        <v>31295320.440002795</v>
      </c>
    </row>
    <row r="182" spans="1:8" ht="13.7" customHeight="1" x14ac:dyDescent="0.25"/>
    <row r="183" spans="1:8" ht="13.5" customHeight="1" x14ac:dyDescent="0.25"/>
    <row r="184" spans="1:8" ht="13.7" customHeight="1" x14ac:dyDescent="0.25">
      <c r="E184" s="84"/>
      <c r="F184" s="84"/>
      <c r="G184" s="84"/>
      <c r="H184" s="84"/>
    </row>
    <row r="185" spans="1:8" s="84" customFormat="1" ht="13.7" customHeight="1" x14ac:dyDescent="0.25">
      <c r="A185" s="85"/>
      <c r="E185" s="82"/>
      <c r="F185" s="86"/>
      <c r="G185" s="86"/>
    </row>
    <row r="186" spans="1:8" s="84" customFormat="1" ht="12.75" x14ac:dyDescent="0.25">
      <c r="A186" s="85"/>
      <c r="E186" s="82"/>
      <c r="F186" s="86"/>
      <c r="G186" s="86"/>
    </row>
    <row r="187" spans="1:8" s="84" customFormat="1" ht="12.75" hidden="1" x14ac:dyDescent="0.25">
      <c r="A187" s="85"/>
      <c r="E187" s="82"/>
      <c r="F187" s="86"/>
      <c r="G187" s="86"/>
    </row>
    <row r="188" spans="1:8" s="84" customFormat="1" ht="12.75" hidden="1" x14ac:dyDescent="0.25">
      <c r="A188" s="85"/>
      <c r="E188" s="82"/>
      <c r="F188" s="86"/>
      <c r="G188" s="86"/>
    </row>
    <row r="189" spans="1:8" s="84" customFormat="1" ht="12.75" hidden="1" x14ac:dyDescent="0.25">
      <c r="A189" s="85"/>
      <c r="E189" s="82"/>
      <c r="F189" s="86"/>
      <c r="G189" s="86"/>
    </row>
    <row r="190" spans="1:8" s="84" customFormat="1" ht="12.75" hidden="1" x14ac:dyDescent="0.25">
      <c r="A190" s="85"/>
      <c r="E190" s="82"/>
      <c r="F190" s="86"/>
      <c r="G190" s="86"/>
    </row>
    <row r="191" spans="1:8" s="84" customFormat="1" ht="12.75" hidden="1" x14ac:dyDescent="0.25">
      <c r="A191" s="85"/>
      <c r="E191" s="82"/>
      <c r="F191" s="86"/>
      <c r="G191" s="86"/>
    </row>
    <row r="192" spans="1:8" s="84" customFormat="1" ht="12.75" hidden="1" x14ac:dyDescent="0.25">
      <c r="A192" s="85"/>
      <c r="E192" s="82"/>
      <c r="F192" s="86"/>
      <c r="G192" s="86"/>
    </row>
    <row r="193" spans="5:7" s="84" customFormat="1" ht="12.75" hidden="1" x14ac:dyDescent="0.25">
      <c r="E193" s="82"/>
      <c r="F193" s="86"/>
      <c r="G193" s="86"/>
    </row>
    <row r="194" spans="5:7" s="84" customFormat="1" ht="12.75" hidden="1" x14ac:dyDescent="0.25">
      <c r="E194" s="82"/>
      <c r="F194" s="86"/>
      <c r="G194" s="86"/>
    </row>
    <row r="195" spans="5:7" s="84" customFormat="1" ht="12.75" hidden="1" x14ac:dyDescent="0.25">
      <c r="E195" s="82"/>
      <c r="F195" s="86"/>
      <c r="G195" s="86"/>
    </row>
    <row r="196" spans="5:7" s="84" customFormat="1" ht="12.75" hidden="1" x14ac:dyDescent="0.25">
      <c r="E196" s="82"/>
      <c r="F196" s="86"/>
      <c r="G196" s="86"/>
    </row>
    <row r="197" spans="5:7" s="84" customFormat="1" ht="12.75" hidden="1" x14ac:dyDescent="0.25">
      <c r="E197" s="82"/>
      <c r="F197" s="86"/>
      <c r="G197" s="86"/>
    </row>
    <row r="198" spans="5:7" s="84" customFormat="1" ht="12.75" hidden="1" x14ac:dyDescent="0.25">
      <c r="E198" s="82"/>
      <c r="F198" s="86"/>
      <c r="G198" s="86"/>
    </row>
    <row r="199" spans="5:7" s="84" customFormat="1" ht="12.75" hidden="1" x14ac:dyDescent="0.25">
      <c r="E199" s="82"/>
      <c r="F199" s="86"/>
      <c r="G199" s="86"/>
    </row>
    <row r="200" spans="5:7" s="84" customFormat="1" ht="12.75" hidden="1" x14ac:dyDescent="0.25">
      <c r="E200" s="82"/>
      <c r="F200" s="86"/>
      <c r="G200" s="86"/>
    </row>
    <row r="201" spans="5:7" s="84" customFormat="1" ht="12.75" hidden="1" x14ac:dyDescent="0.25">
      <c r="E201" s="82"/>
      <c r="F201" s="86"/>
      <c r="G201" s="86"/>
    </row>
    <row r="202" spans="5:7" s="84" customFormat="1" ht="12.75" hidden="1" x14ac:dyDescent="0.25">
      <c r="E202" s="82"/>
      <c r="F202" s="86"/>
      <c r="G202" s="86"/>
    </row>
    <row r="203" spans="5:7" s="84" customFormat="1" ht="12.75" hidden="1" x14ac:dyDescent="0.25">
      <c r="E203" s="82"/>
      <c r="F203" s="86"/>
      <c r="G203" s="86"/>
    </row>
    <row r="204" spans="5:7" s="84" customFormat="1" ht="12.75" hidden="1" x14ac:dyDescent="0.25">
      <c r="E204" s="82"/>
      <c r="F204" s="86"/>
      <c r="G204" s="86"/>
    </row>
    <row r="205" spans="5:7" s="84" customFormat="1" ht="12.75" hidden="1" x14ac:dyDescent="0.25">
      <c r="E205" s="82"/>
      <c r="F205" s="86"/>
      <c r="G205" s="86"/>
    </row>
    <row r="206" spans="5:7" s="84" customFormat="1" ht="12.75" hidden="1" x14ac:dyDescent="0.25">
      <c r="E206" s="82"/>
      <c r="F206" s="86"/>
      <c r="G206" s="86"/>
    </row>
    <row r="207" spans="5:7" s="84" customFormat="1" ht="12.75" hidden="1" x14ac:dyDescent="0.25">
      <c r="E207" s="82"/>
      <c r="F207" s="86"/>
      <c r="G207" s="86"/>
    </row>
    <row r="208" spans="5:7" s="84" customFormat="1" ht="12.75" hidden="1" x14ac:dyDescent="0.25">
      <c r="E208" s="82"/>
      <c r="F208" s="86"/>
      <c r="G208" s="86"/>
    </row>
    <row r="209" spans="3:8" s="84" customFormat="1" ht="12.75" hidden="1" x14ac:dyDescent="0.25">
      <c r="E209" s="82"/>
      <c r="F209" s="86"/>
      <c r="G209" s="86"/>
    </row>
    <row r="210" spans="3:8" s="84" customFormat="1" ht="12.75" hidden="1" x14ac:dyDescent="0.25">
      <c r="E210" s="82"/>
      <c r="F210" s="86"/>
      <c r="G210" s="86"/>
    </row>
    <row r="211" spans="3:8" s="84" customFormat="1" ht="12.75" hidden="1" x14ac:dyDescent="0.25">
      <c r="E211" s="82"/>
      <c r="F211" s="86"/>
      <c r="G211" s="86"/>
    </row>
    <row r="212" spans="3:8" s="84" customFormat="1" ht="12.75" hidden="1" x14ac:dyDescent="0.25">
      <c r="E212" s="82"/>
      <c r="F212" s="86"/>
      <c r="G212" s="86"/>
    </row>
    <row r="213" spans="3:8" s="84" customFormat="1" ht="12.75" hidden="1" x14ac:dyDescent="0.25">
      <c r="E213" s="82"/>
      <c r="F213" s="86"/>
      <c r="G213" s="86"/>
    </row>
    <row r="214" spans="3:8" s="84" customFormat="1" hidden="1" x14ac:dyDescent="0.25">
      <c r="E214" s="82"/>
      <c r="F214" s="87"/>
      <c r="G214" s="58"/>
      <c r="H214" s="5"/>
    </row>
    <row r="215" spans="3:8" hidden="1" x14ac:dyDescent="0.25">
      <c r="C215" s="86"/>
      <c r="D215" s="86"/>
      <c r="F215" s="87"/>
    </row>
  </sheetData>
  <mergeCells count="6">
    <mergeCell ref="C1:D1"/>
    <mergeCell ref="E1:F1"/>
    <mergeCell ref="C2:D2"/>
    <mergeCell ref="E2:F2"/>
    <mergeCell ref="C3:D3"/>
    <mergeCell ref="E3:F3"/>
  </mergeCells>
  <conditionalFormatting sqref="D7:D12">
    <cfRule type="cellIs" dxfId="57" priority="2" stopIfTrue="1" operator="greaterThan">
      <formula>50</formula>
    </cfRule>
    <cfRule type="cellIs" dxfId="56" priority="11" stopIfTrue="1" operator="equal">
      <formula>0</formula>
    </cfRule>
  </conditionalFormatting>
  <conditionalFormatting sqref="D7:D61">
    <cfRule type="cellIs" dxfId="55" priority="9" stopIfTrue="1" operator="between">
      <formula>-0.1</formula>
      <formula>-50</formula>
    </cfRule>
    <cfRule type="cellIs" dxfId="54" priority="10" stopIfTrue="1" operator="between">
      <formula>0.1</formula>
      <formula>50</formula>
    </cfRule>
  </conditionalFormatting>
  <conditionalFormatting sqref="G152:G181 G7:G150">
    <cfRule type="cellIs" dxfId="53" priority="7" stopIfTrue="1" operator="between">
      <formula>-0.1</formula>
      <formula>-50</formula>
    </cfRule>
    <cfRule type="cellIs" dxfId="52" priority="8" stopIfTrue="1" operator="between">
      <formula>0.1</formula>
      <formula>50</formula>
    </cfRule>
  </conditionalFormatting>
  <conditionalFormatting sqref="D111:D155">
    <cfRule type="cellIs" dxfId="51" priority="5" stopIfTrue="1" operator="between">
      <formula>-0.1</formula>
      <formula>-50</formula>
    </cfRule>
    <cfRule type="cellIs" dxfId="50" priority="6" stopIfTrue="1" operator="between">
      <formula>0.1</formula>
      <formula>50</formula>
    </cfRule>
  </conditionalFormatting>
  <conditionalFormatting sqref="G165">
    <cfRule type="expression" dxfId="49" priority="4" stopIfTrue="1">
      <formula>AND($G$165&gt;0,$G$151&gt;0)</formula>
    </cfRule>
  </conditionalFormatting>
  <conditionalFormatting sqref="G151">
    <cfRule type="expression" dxfId="48" priority="1" stopIfTrue="1">
      <formula>AND($G$151&gt;0,$G$165&gt;0)</formula>
    </cfRule>
  </conditionalFormatting>
  <dataValidations count="11">
    <dataValidation type="custom" operator="greaterThan" showInputMessage="1" showErrorMessage="1" errorTitle="RDM" error="No se admite ingresar RDM como ingresos y egresos a la vez. Tampoco se admiten valores menores a $50._x000a_" sqref="G151">
      <formula1>AND(OR(G151=0, G151&gt;50),G165=0)</formula1>
    </dataValidation>
    <dataValidation type="whole" operator="greaterThan" allowBlank="1" showInputMessage="1" showErrorMessage="1" sqref="D8:D12">
      <formula1>50</formula1>
    </dataValidation>
    <dataValidation type="whole" operator="greaterThan" showInputMessage="1" showErrorMessage="1" errorTitle="eee" error="Valores mayores a $50" sqref="D7">
      <formula1>50</formula1>
    </dataValidation>
    <dataValidation type="custom" operator="greaterThan" showInputMessage="1" showErrorMessage="1" errorTitle="eee" sqref="D56">
      <formula1>OR(D56=0, D56&lt;50)</formula1>
    </dataValidation>
    <dataValidation type="custom" operator="greaterThan" showInputMessage="1" showErrorMessage="1" errorTitle="eee" sqref="D57:D61">
      <formula1>OR(D57=0, D57&lt;0)</formula1>
    </dataValidation>
    <dataValidation type="custom" operator="greaterThan" showInputMessage="1" showErrorMessage="1" errorTitle="eee" sqref="G7:G140 D62:D155 G152:G164 G166:G181 G144:G150 D13:D55">
      <formula1>OR(D7=0, D7&gt;50)</formula1>
    </dataValidation>
    <dataValidation type="whole" allowBlank="1" showErrorMessage="1" errorTitle="Error de datos" error="Debe ingresar un valor entre 1 y 12" sqref="G1:G3">
      <formula1>1</formula1>
      <formula2>12</formula2>
    </dataValidation>
    <dataValidation allowBlank="1" errorTitle="Error de datos" error="Debe introducir una fecha válida" sqref="E3"/>
    <dataValidation allowBlank="1" sqref="G204"/>
    <dataValidation operator="greaterThanOrEqual" allowBlank="1" errorTitle="Error de datos" error="Debe ingresar un valor entero positivo" sqref="F6:F107 F203 C13:C47 C106:C153 F171 F174:F178 F180 F111:F119 C7:C10 F121:F140 F143:F169 C49:C62 C155 F109"/>
    <dataValidation type="custom" operator="greaterThan" showInputMessage="1" showErrorMessage="1" errorTitle="rdm2" error="No se admite ingresar a la vez RDM como ingresos y como egresos. Tampoco se admiten valores negattivos o positivos menores de 50" sqref="G165">
      <formula1>AND(OR(G165=0, G165&gt;50),G151=0)</formula1>
    </dataValidation>
  </dataValidations>
  <pageMargins left="0.7" right="0.7" top="0.75" bottom="0.75" header="0.3" footer="0.3"/>
  <ignoredErrors>
    <ignoredError sqref="E7:E181" numberStoredAsText="1"/>
    <ignoredError sqref="G40" formulaRange="1"/>
  </ignoredErrors>
  <legacyDrawing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26"/>
  <sheetViews>
    <sheetView showGridLines="0" workbookViewId="0">
      <selection activeCell="F4" sqref="F4"/>
    </sheetView>
  </sheetViews>
  <sheetFormatPr baseColWidth="10" defaultColWidth="0" defaultRowHeight="15" zeroHeight="1" x14ac:dyDescent="0.25"/>
  <cols>
    <col min="1" max="1" width="3.7109375" style="1" customWidth="1"/>
    <col min="2" max="2" width="14.28515625" style="7" hidden="1" customWidth="1"/>
    <col min="3" max="3" width="58.42578125" style="58" customWidth="1"/>
    <col min="4" max="4" width="25.140625" style="58" customWidth="1"/>
    <col min="5" max="5" width="5.85546875" style="82" customWidth="1"/>
    <col min="6" max="6" width="57.28515625" style="58" customWidth="1"/>
    <col min="7" max="7" width="24.7109375" style="58" customWidth="1"/>
    <col min="8" max="8" width="5.42578125" style="5" customWidth="1"/>
    <col min="9" max="16384" width="0" style="5" hidden="1"/>
  </cols>
  <sheetData>
    <row r="1" spans="1:9" ht="15.75" x14ac:dyDescent="0.25">
      <c r="B1" s="2"/>
      <c r="C1" s="313" t="s">
        <v>0</v>
      </c>
      <c r="D1" s="314"/>
      <c r="E1" s="315" t="str">
        <f>[34]Presentacion!C2</f>
        <v>CAMS</v>
      </c>
      <c r="F1" s="315"/>
      <c r="G1" s="3"/>
      <c r="H1" s="4"/>
    </row>
    <row r="2" spans="1:9" ht="15.75" x14ac:dyDescent="0.25">
      <c r="B2" s="6"/>
      <c r="C2" s="313" t="s">
        <v>1</v>
      </c>
      <c r="D2" s="314"/>
      <c r="E2" s="315" t="str">
        <f>[34]Presentacion!C3</f>
        <v>Soriano</v>
      </c>
      <c r="F2" s="315"/>
      <c r="G2" s="3"/>
      <c r="H2" s="4"/>
    </row>
    <row r="3" spans="1:9" ht="15.75" x14ac:dyDescent="0.25">
      <c r="B3" s="6"/>
      <c r="C3" s="313" t="s">
        <v>2</v>
      </c>
      <c r="D3" s="316"/>
      <c r="E3" s="317" t="s">
        <v>3</v>
      </c>
      <c r="F3" s="317"/>
      <c r="G3" s="3"/>
      <c r="H3" s="4"/>
    </row>
    <row r="4" spans="1:9" ht="15.75" thickBot="1" x14ac:dyDescent="0.3">
      <c r="C4" s="287"/>
      <c r="D4" s="8"/>
      <c r="E4" s="9"/>
      <c r="F4" s="10"/>
      <c r="G4" s="11"/>
    </row>
    <row r="5" spans="1:9" ht="16.5" thickBot="1" x14ac:dyDescent="0.3">
      <c r="B5" s="12"/>
      <c r="C5" s="13" t="s">
        <v>4</v>
      </c>
      <c r="D5" s="284" t="s">
        <v>5</v>
      </c>
      <c r="E5" s="14"/>
      <c r="F5" s="13" t="s">
        <v>6</v>
      </c>
      <c r="G5" s="284" t="s">
        <v>5</v>
      </c>
      <c r="I5" s="15"/>
    </row>
    <row r="6" spans="1:9" ht="16.5" thickBot="1" x14ac:dyDescent="0.3">
      <c r="B6" s="12"/>
      <c r="C6" s="16" t="s">
        <v>7</v>
      </c>
      <c r="D6" s="290">
        <f>+[34]E.S.P.!D6</f>
        <v>2020</v>
      </c>
      <c r="E6" s="18"/>
      <c r="F6" s="16" t="s">
        <v>8</v>
      </c>
      <c r="G6" s="290">
        <f>+D6</f>
        <v>2020</v>
      </c>
      <c r="H6" s="15"/>
    </row>
    <row r="7" spans="1:9" x14ac:dyDescent="0.25">
      <c r="B7" s="6" t="s">
        <v>9</v>
      </c>
      <c r="C7" s="19" t="s">
        <v>10</v>
      </c>
      <c r="D7" s="20">
        <v>22997285</v>
      </c>
      <c r="E7" s="21" t="s">
        <v>11</v>
      </c>
      <c r="F7" s="22" t="s">
        <v>12</v>
      </c>
      <c r="G7" s="23">
        <v>5868629</v>
      </c>
    </row>
    <row r="8" spans="1:9" x14ac:dyDescent="0.25">
      <c r="B8" s="6" t="s">
        <v>13</v>
      </c>
      <c r="C8" s="19" t="s">
        <v>14</v>
      </c>
      <c r="D8" s="20">
        <v>38965995</v>
      </c>
      <c r="E8" s="21" t="s">
        <v>15</v>
      </c>
      <c r="F8" s="19" t="s">
        <v>16</v>
      </c>
      <c r="G8" s="24">
        <v>117678815</v>
      </c>
    </row>
    <row r="9" spans="1:9" x14ac:dyDescent="0.25">
      <c r="B9" s="6" t="s">
        <v>17</v>
      </c>
      <c r="C9" s="19" t="s">
        <v>18</v>
      </c>
      <c r="D9" s="20">
        <v>1219233860</v>
      </c>
      <c r="E9" s="21" t="s">
        <v>19</v>
      </c>
      <c r="F9" s="19" t="s">
        <v>20</v>
      </c>
      <c r="G9" s="20">
        <v>0</v>
      </c>
    </row>
    <row r="10" spans="1:9" x14ac:dyDescent="0.25">
      <c r="B10" s="6" t="s">
        <v>21</v>
      </c>
      <c r="C10" s="19" t="s">
        <v>22</v>
      </c>
      <c r="D10" s="20">
        <v>132031136</v>
      </c>
      <c r="E10" s="21" t="s">
        <v>23</v>
      </c>
      <c r="F10" s="19" t="s">
        <v>24</v>
      </c>
      <c r="G10" s="20">
        <v>323475547</v>
      </c>
    </row>
    <row r="11" spans="1:9" x14ac:dyDescent="0.25">
      <c r="B11" s="6" t="s">
        <v>25</v>
      </c>
      <c r="C11" s="19" t="s">
        <v>26</v>
      </c>
      <c r="D11" s="20">
        <v>26777256</v>
      </c>
      <c r="E11" s="21" t="s">
        <v>27</v>
      </c>
      <c r="F11" s="19" t="s">
        <v>28</v>
      </c>
      <c r="G11" s="20">
        <v>0</v>
      </c>
    </row>
    <row r="12" spans="1:9" x14ac:dyDescent="0.25">
      <c r="B12" s="6" t="s">
        <v>29</v>
      </c>
      <c r="C12" s="19" t="s">
        <v>30</v>
      </c>
      <c r="D12" s="20">
        <v>21319223</v>
      </c>
      <c r="E12" s="21" t="s">
        <v>31</v>
      </c>
      <c r="F12" s="19" t="s">
        <v>32</v>
      </c>
      <c r="G12" s="20">
        <v>174426134</v>
      </c>
    </row>
    <row r="13" spans="1:9" x14ac:dyDescent="0.25">
      <c r="B13" s="6" t="s">
        <v>33</v>
      </c>
      <c r="C13" s="19" t="s">
        <v>34</v>
      </c>
      <c r="D13" s="20">
        <v>0</v>
      </c>
      <c r="E13" s="21" t="s">
        <v>35</v>
      </c>
      <c r="F13" s="19" t="s">
        <v>36</v>
      </c>
      <c r="G13" s="20">
        <v>0</v>
      </c>
    </row>
    <row r="14" spans="1:9" x14ac:dyDescent="0.25">
      <c r="A14" s="25"/>
      <c r="B14" s="6" t="s">
        <v>37</v>
      </c>
      <c r="C14" s="19" t="s">
        <v>38</v>
      </c>
      <c r="D14" s="20">
        <v>36323735</v>
      </c>
      <c r="E14" s="21" t="s">
        <v>39</v>
      </c>
      <c r="F14" s="19" t="s">
        <v>40</v>
      </c>
      <c r="G14" s="20">
        <v>195296664</v>
      </c>
    </row>
    <row r="15" spans="1:9" x14ac:dyDescent="0.25">
      <c r="B15" s="6" t="s">
        <v>41</v>
      </c>
      <c r="C15" s="26" t="s">
        <v>42</v>
      </c>
      <c r="D15" s="20">
        <v>0</v>
      </c>
      <c r="E15" s="21" t="s">
        <v>43</v>
      </c>
      <c r="F15" s="19" t="s">
        <v>44</v>
      </c>
      <c r="G15" s="20">
        <v>109249006</v>
      </c>
    </row>
    <row r="16" spans="1:9" x14ac:dyDescent="0.25">
      <c r="B16" s="6" t="s">
        <v>45</v>
      </c>
      <c r="C16" s="19" t="s">
        <v>46</v>
      </c>
      <c r="D16" s="20">
        <v>1612</v>
      </c>
      <c r="E16" s="21" t="s">
        <v>47</v>
      </c>
      <c r="F16" s="19" t="s">
        <v>48</v>
      </c>
      <c r="G16" s="20">
        <v>109696467</v>
      </c>
    </row>
    <row r="17" spans="1:7" x14ac:dyDescent="0.25">
      <c r="B17" s="6" t="s">
        <v>49</v>
      </c>
      <c r="C17" s="19" t="s">
        <v>50</v>
      </c>
      <c r="D17" s="20">
        <v>0</v>
      </c>
      <c r="E17" s="21" t="s">
        <v>51</v>
      </c>
      <c r="F17" s="19" t="s">
        <v>52</v>
      </c>
      <c r="G17" s="20">
        <v>566822</v>
      </c>
    </row>
    <row r="18" spans="1:7" x14ac:dyDescent="0.25">
      <c r="A18" s="25"/>
      <c r="B18" s="6" t="s">
        <v>53</v>
      </c>
      <c r="C18" s="19" t="s">
        <v>54</v>
      </c>
      <c r="D18" s="20">
        <v>8373438</v>
      </c>
      <c r="E18" s="21" t="s">
        <v>55</v>
      </c>
      <c r="F18" s="19" t="s">
        <v>56</v>
      </c>
      <c r="G18" s="27">
        <v>49823097</v>
      </c>
    </row>
    <row r="19" spans="1:7" ht="15.75" thickBot="1" x14ac:dyDescent="0.3">
      <c r="A19" s="25"/>
      <c r="B19" s="6" t="s">
        <v>57</v>
      </c>
      <c r="C19" s="19" t="s">
        <v>58</v>
      </c>
      <c r="D19" s="20">
        <v>70611136</v>
      </c>
      <c r="E19" s="21"/>
      <c r="F19" s="28" t="s">
        <v>59</v>
      </c>
      <c r="G19" s="29">
        <f>SUM(G7:G18)</f>
        <v>1086081181</v>
      </c>
    </row>
    <row r="20" spans="1:7" ht="15.75" thickBot="1" x14ac:dyDescent="0.3">
      <c r="B20" s="6"/>
      <c r="C20" s="28" t="s">
        <v>60</v>
      </c>
      <c r="D20" s="29">
        <f>SUM(D7:D19)</f>
        <v>1576634676</v>
      </c>
      <c r="E20" s="21" t="s">
        <v>61</v>
      </c>
      <c r="F20" s="22" t="s">
        <v>62</v>
      </c>
      <c r="G20" s="23">
        <v>77578</v>
      </c>
    </row>
    <row r="21" spans="1:7" x14ac:dyDescent="0.25">
      <c r="B21" s="6"/>
      <c r="C21" s="30" t="s">
        <v>63</v>
      </c>
      <c r="D21" s="31">
        <f>SUM(D22:D28)</f>
        <v>14356292</v>
      </c>
      <c r="E21" s="21" t="s">
        <v>64</v>
      </c>
      <c r="F21" s="19" t="s">
        <v>65</v>
      </c>
      <c r="G21" s="20">
        <v>27192147</v>
      </c>
    </row>
    <row r="22" spans="1:7" x14ac:dyDescent="0.25">
      <c r="B22" s="6" t="s">
        <v>66</v>
      </c>
      <c r="C22" s="19" t="s">
        <v>67</v>
      </c>
      <c r="D22" s="20">
        <v>7460480</v>
      </c>
      <c r="E22" s="21" t="s">
        <v>68</v>
      </c>
      <c r="F22" s="19" t="s">
        <v>69</v>
      </c>
      <c r="G22" s="20">
        <v>6707191</v>
      </c>
    </row>
    <row r="23" spans="1:7" x14ac:dyDescent="0.25">
      <c r="B23" s="6" t="s">
        <v>70</v>
      </c>
      <c r="C23" s="19" t="s">
        <v>71</v>
      </c>
      <c r="D23" s="20">
        <v>440606</v>
      </c>
      <c r="E23" s="21" t="s">
        <v>72</v>
      </c>
      <c r="F23" s="19" t="s">
        <v>73</v>
      </c>
      <c r="G23" s="20">
        <v>19423023</v>
      </c>
    </row>
    <row r="24" spans="1:7" x14ac:dyDescent="0.25">
      <c r="B24" s="6" t="s">
        <v>74</v>
      </c>
      <c r="C24" s="19" t="s">
        <v>75</v>
      </c>
      <c r="D24" s="20">
        <v>4357592</v>
      </c>
      <c r="E24" s="21" t="s">
        <v>76</v>
      </c>
      <c r="F24" s="19" t="s">
        <v>77</v>
      </c>
      <c r="G24" s="20">
        <v>0</v>
      </c>
    </row>
    <row r="25" spans="1:7" x14ac:dyDescent="0.25">
      <c r="B25" s="6" t="s">
        <v>78</v>
      </c>
      <c r="C25" s="19" t="s">
        <v>79</v>
      </c>
      <c r="D25" s="20">
        <v>373427</v>
      </c>
      <c r="E25" s="21" t="s">
        <v>80</v>
      </c>
      <c r="F25" s="19" t="s">
        <v>81</v>
      </c>
      <c r="G25" s="20">
        <v>8442038</v>
      </c>
    </row>
    <row r="26" spans="1:7" x14ac:dyDescent="0.25">
      <c r="B26" s="6" t="s">
        <v>82</v>
      </c>
      <c r="C26" s="19" t="s">
        <v>83</v>
      </c>
      <c r="D26" s="20">
        <v>1021066</v>
      </c>
      <c r="E26" s="21" t="s">
        <v>84</v>
      </c>
      <c r="F26" s="19" t="s">
        <v>85</v>
      </c>
      <c r="G26" s="27">
        <v>2897651</v>
      </c>
    </row>
    <row r="27" spans="1:7" ht="15.75" thickBot="1" x14ac:dyDescent="0.3">
      <c r="B27" s="6" t="s">
        <v>86</v>
      </c>
      <c r="C27" s="19" t="s">
        <v>87</v>
      </c>
      <c r="D27" s="20">
        <v>35985</v>
      </c>
      <c r="E27" s="21"/>
      <c r="F27" s="28" t="s">
        <v>88</v>
      </c>
      <c r="G27" s="29">
        <f>SUM(G20:G26)</f>
        <v>64739628</v>
      </c>
    </row>
    <row r="28" spans="1:7" x14ac:dyDescent="0.25">
      <c r="B28" s="6" t="s">
        <v>89</v>
      </c>
      <c r="C28" s="19" t="s">
        <v>90</v>
      </c>
      <c r="D28" s="20">
        <v>667136</v>
      </c>
      <c r="E28" s="21" t="s">
        <v>91</v>
      </c>
      <c r="F28" s="22" t="s">
        <v>92</v>
      </c>
      <c r="G28" s="23">
        <v>58266954</v>
      </c>
    </row>
    <row r="29" spans="1:7" x14ac:dyDescent="0.25">
      <c r="B29" s="6"/>
      <c r="C29" s="32" t="s">
        <v>93</v>
      </c>
      <c r="D29" s="31">
        <f>SUM(D30:D34)</f>
        <v>116590856</v>
      </c>
      <c r="E29" s="21" t="s">
        <v>94</v>
      </c>
      <c r="F29" s="19" t="s">
        <v>95</v>
      </c>
      <c r="G29" s="20">
        <v>22453286</v>
      </c>
    </row>
    <row r="30" spans="1:7" x14ac:dyDescent="0.25">
      <c r="B30" s="6" t="s">
        <v>96</v>
      </c>
      <c r="C30" s="19" t="s">
        <v>97</v>
      </c>
      <c r="D30" s="20">
        <v>99004078</v>
      </c>
      <c r="E30" s="21" t="s">
        <v>98</v>
      </c>
      <c r="F30" s="19" t="s">
        <v>99</v>
      </c>
      <c r="G30" s="20">
        <v>3971867</v>
      </c>
    </row>
    <row r="31" spans="1:7" x14ac:dyDescent="0.25">
      <c r="B31" s="6" t="s">
        <v>100</v>
      </c>
      <c r="C31" s="19" t="s">
        <v>101</v>
      </c>
      <c r="D31" s="20">
        <v>5032654</v>
      </c>
      <c r="E31" s="21" t="s">
        <v>102</v>
      </c>
      <c r="F31" s="19" t="s">
        <v>103</v>
      </c>
      <c r="G31" s="27">
        <v>4096751</v>
      </c>
    </row>
    <row r="32" spans="1:7" ht="15.75" thickBot="1" x14ac:dyDescent="0.3">
      <c r="B32" s="6" t="s">
        <v>104</v>
      </c>
      <c r="C32" s="19" t="s">
        <v>105</v>
      </c>
      <c r="D32" s="20">
        <v>5857771</v>
      </c>
      <c r="E32" s="21"/>
      <c r="F32" s="28" t="s">
        <v>106</v>
      </c>
      <c r="G32" s="29">
        <f>SUM(G28:G31)</f>
        <v>88788858</v>
      </c>
    </row>
    <row r="33" spans="2:7" x14ac:dyDescent="0.25">
      <c r="B33" s="6" t="s">
        <v>107</v>
      </c>
      <c r="C33" s="19" t="s">
        <v>108</v>
      </c>
      <c r="D33" s="20">
        <v>1470445</v>
      </c>
      <c r="E33" s="21"/>
      <c r="F33" s="32" t="s">
        <v>109</v>
      </c>
      <c r="G33" s="31">
        <f>SUM(G34:G39)</f>
        <v>93504960</v>
      </c>
    </row>
    <row r="34" spans="2:7" x14ac:dyDescent="0.25">
      <c r="B34" s="6" t="s">
        <v>110</v>
      </c>
      <c r="C34" s="19" t="s">
        <v>111</v>
      </c>
      <c r="D34" s="20">
        <v>5225908</v>
      </c>
      <c r="E34" s="21" t="s">
        <v>112</v>
      </c>
      <c r="F34" s="19" t="s">
        <v>113</v>
      </c>
      <c r="G34" s="20">
        <v>5296866</v>
      </c>
    </row>
    <row r="35" spans="2:7" ht="15.75" thickBot="1" x14ac:dyDescent="0.3">
      <c r="B35" s="6"/>
      <c r="C35" s="28" t="s">
        <v>114</v>
      </c>
      <c r="D35" s="29">
        <f>+D21+D29</f>
        <v>130947148</v>
      </c>
      <c r="E35" s="21" t="s">
        <v>115</v>
      </c>
      <c r="F35" s="19" t="s">
        <v>116</v>
      </c>
      <c r="G35" s="20">
        <v>2762947</v>
      </c>
    </row>
    <row r="36" spans="2:7" x14ac:dyDescent="0.25">
      <c r="B36" s="6" t="s">
        <v>117</v>
      </c>
      <c r="C36" s="19" t="s">
        <v>118</v>
      </c>
      <c r="D36" s="20">
        <v>5746536</v>
      </c>
      <c r="E36" s="21" t="s">
        <v>119</v>
      </c>
      <c r="F36" s="19" t="s">
        <v>120</v>
      </c>
      <c r="G36" s="20">
        <v>1704829</v>
      </c>
    </row>
    <row r="37" spans="2:7" x14ac:dyDescent="0.25">
      <c r="B37" s="6" t="s">
        <v>121</v>
      </c>
      <c r="C37" s="19" t="s">
        <v>122</v>
      </c>
      <c r="D37" s="20">
        <v>19783155</v>
      </c>
      <c r="E37" s="21" t="s">
        <v>123</v>
      </c>
      <c r="F37" s="19" t="s">
        <v>124</v>
      </c>
      <c r="G37" s="20">
        <v>5612729</v>
      </c>
    </row>
    <row r="38" spans="2:7" x14ac:dyDescent="0.25">
      <c r="B38" s="6" t="s">
        <v>125</v>
      </c>
      <c r="C38" s="19" t="s">
        <v>126</v>
      </c>
      <c r="D38" s="20">
        <v>220587</v>
      </c>
      <c r="E38" s="21" t="s">
        <v>127</v>
      </c>
      <c r="F38" s="19" t="s">
        <v>128</v>
      </c>
      <c r="G38" s="20">
        <v>10341674</v>
      </c>
    </row>
    <row r="39" spans="2:7" x14ac:dyDescent="0.25">
      <c r="B39" s="6" t="s">
        <v>129</v>
      </c>
      <c r="C39" s="19" t="s">
        <v>130</v>
      </c>
      <c r="D39" s="20">
        <v>25005821</v>
      </c>
      <c r="E39" s="21" t="s">
        <v>131</v>
      </c>
      <c r="F39" s="19" t="s">
        <v>132</v>
      </c>
      <c r="G39" s="20">
        <v>67785915</v>
      </c>
    </row>
    <row r="40" spans="2:7" x14ac:dyDescent="0.25">
      <c r="B40" s="6" t="s">
        <v>133</v>
      </c>
      <c r="C40" s="19" t="s">
        <v>134</v>
      </c>
      <c r="D40" s="20">
        <v>11705638</v>
      </c>
      <c r="E40" s="21"/>
      <c r="F40" s="33" t="s">
        <v>135</v>
      </c>
      <c r="G40" s="34">
        <f>SUM(G41:G46)</f>
        <v>33252832</v>
      </c>
    </row>
    <row r="41" spans="2:7" x14ac:dyDescent="0.25">
      <c r="B41" s="6" t="s">
        <v>136</v>
      </c>
      <c r="C41" s="19" t="s">
        <v>137</v>
      </c>
      <c r="D41" s="20">
        <v>70704408</v>
      </c>
      <c r="E41" s="21" t="s">
        <v>138</v>
      </c>
      <c r="F41" s="19" t="s">
        <v>139</v>
      </c>
      <c r="G41" s="20">
        <v>4611486</v>
      </c>
    </row>
    <row r="42" spans="2:7" x14ac:dyDescent="0.25">
      <c r="B42" s="6" t="s">
        <v>140</v>
      </c>
      <c r="C42" s="19" t="s">
        <v>141</v>
      </c>
      <c r="D42" s="20">
        <v>58622248</v>
      </c>
      <c r="E42" s="21" t="s">
        <v>142</v>
      </c>
      <c r="F42" s="19" t="s">
        <v>143</v>
      </c>
      <c r="G42" s="20">
        <v>0</v>
      </c>
    </row>
    <row r="43" spans="2:7" x14ac:dyDescent="0.25">
      <c r="B43" s="6" t="s">
        <v>144</v>
      </c>
      <c r="C43" s="19" t="s">
        <v>145</v>
      </c>
      <c r="D43" s="20">
        <v>0</v>
      </c>
      <c r="E43" s="21" t="s">
        <v>146</v>
      </c>
      <c r="F43" s="19" t="s">
        <v>147</v>
      </c>
      <c r="G43" s="20">
        <v>2451060</v>
      </c>
    </row>
    <row r="44" spans="2:7" x14ac:dyDescent="0.25">
      <c r="B44" s="6" t="s">
        <v>148</v>
      </c>
      <c r="C44" s="19" t="s">
        <v>149</v>
      </c>
      <c r="D44" s="20">
        <v>5089</v>
      </c>
      <c r="E44" s="21" t="s">
        <v>150</v>
      </c>
      <c r="F44" s="19" t="s">
        <v>151</v>
      </c>
      <c r="G44" s="20">
        <v>625236</v>
      </c>
    </row>
    <row r="45" spans="2:7" x14ac:dyDescent="0.25">
      <c r="B45" s="6" t="s">
        <v>152</v>
      </c>
      <c r="C45" s="19" t="s">
        <v>153</v>
      </c>
      <c r="D45" s="20">
        <v>2480570</v>
      </c>
      <c r="E45" s="21" t="s">
        <v>154</v>
      </c>
      <c r="F45" s="19" t="s">
        <v>155</v>
      </c>
      <c r="G45" s="20">
        <v>1293210</v>
      </c>
    </row>
    <row r="46" spans="2:7" x14ac:dyDescent="0.25">
      <c r="B46" s="6" t="s">
        <v>156</v>
      </c>
      <c r="C46" s="19" t="s">
        <v>157</v>
      </c>
      <c r="D46" s="20">
        <v>9102006</v>
      </c>
      <c r="E46" s="21" t="s">
        <v>158</v>
      </c>
      <c r="F46" s="19" t="s">
        <v>159</v>
      </c>
      <c r="G46" s="20">
        <v>24271840</v>
      </c>
    </row>
    <row r="47" spans="2:7" ht="15.75" thickBot="1" x14ac:dyDescent="0.3">
      <c r="B47" s="6"/>
      <c r="C47" s="28" t="s">
        <v>160</v>
      </c>
      <c r="D47" s="29">
        <f>SUM(D36:D46)</f>
        <v>203376058</v>
      </c>
      <c r="E47" s="21" t="s">
        <v>161</v>
      </c>
      <c r="F47" s="19" t="s">
        <v>162</v>
      </c>
      <c r="G47" s="27">
        <v>6202081</v>
      </c>
    </row>
    <row r="48" spans="2:7" ht="15.75" thickBot="1" x14ac:dyDescent="0.3">
      <c r="B48" s="6"/>
      <c r="C48" s="35" t="s">
        <v>163</v>
      </c>
      <c r="D48" s="36"/>
      <c r="E48" s="21"/>
      <c r="F48" s="28" t="s">
        <v>164</v>
      </c>
      <c r="G48" s="37">
        <f>+G33+G40+G47</f>
        <v>132959873</v>
      </c>
    </row>
    <row r="49" spans="2:7" x14ac:dyDescent="0.25">
      <c r="B49" s="6" t="s">
        <v>165</v>
      </c>
      <c r="C49" s="38" t="s">
        <v>166</v>
      </c>
      <c r="D49" s="39">
        <v>0</v>
      </c>
      <c r="E49" s="21" t="s">
        <v>167</v>
      </c>
      <c r="F49" s="22" t="s">
        <v>168</v>
      </c>
      <c r="G49" s="23">
        <v>26660915</v>
      </c>
    </row>
    <row r="50" spans="2:7" x14ac:dyDescent="0.25">
      <c r="B50" s="6" t="s">
        <v>169</v>
      </c>
      <c r="C50" s="19" t="s">
        <v>163</v>
      </c>
      <c r="D50" s="20">
        <v>1047510</v>
      </c>
      <c r="E50" s="21" t="s">
        <v>170</v>
      </c>
      <c r="F50" s="19" t="s">
        <v>171</v>
      </c>
      <c r="G50" s="20">
        <v>50601335</v>
      </c>
    </row>
    <row r="51" spans="2:7" x14ac:dyDescent="0.25">
      <c r="B51" s="6" t="s">
        <v>172</v>
      </c>
      <c r="C51" s="19" t="s">
        <v>173</v>
      </c>
      <c r="D51" s="27">
        <v>91365</v>
      </c>
      <c r="E51" s="21" t="s">
        <v>174</v>
      </c>
      <c r="F51" s="19" t="s">
        <v>175</v>
      </c>
      <c r="G51" s="20">
        <v>1566209</v>
      </c>
    </row>
    <row r="52" spans="2:7" ht="15.75" thickBot="1" x14ac:dyDescent="0.3">
      <c r="B52" s="12"/>
      <c r="C52" s="28" t="s">
        <v>176</v>
      </c>
      <c r="D52" s="29">
        <f>SUM(D49:D51)</f>
        <v>1138875</v>
      </c>
      <c r="E52" s="21" t="s">
        <v>177</v>
      </c>
      <c r="F52" s="19" t="s">
        <v>178</v>
      </c>
      <c r="G52" s="20">
        <v>3491822</v>
      </c>
    </row>
    <row r="53" spans="2:7" ht="15.75" thickBot="1" x14ac:dyDescent="0.3">
      <c r="B53" s="6"/>
      <c r="C53" s="40" t="s">
        <v>179</v>
      </c>
      <c r="D53" s="41">
        <f>D20+D35+D47+D52</f>
        <v>1912096757</v>
      </c>
      <c r="E53" s="21" t="s">
        <v>180</v>
      </c>
      <c r="F53" s="19" t="s">
        <v>181</v>
      </c>
      <c r="G53" s="20">
        <v>6286423</v>
      </c>
    </row>
    <row r="54" spans="2:7" x14ac:dyDescent="0.25">
      <c r="C54" s="42"/>
      <c r="D54" s="43"/>
      <c r="E54" s="21" t="s">
        <v>182</v>
      </c>
      <c r="F54" s="19" t="s">
        <v>183</v>
      </c>
      <c r="G54" s="20">
        <v>986984</v>
      </c>
    </row>
    <row r="55" spans="2:7" x14ac:dyDescent="0.25">
      <c r="C55" s="44" t="s">
        <v>184</v>
      </c>
      <c r="D55" s="45"/>
      <c r="E55" s="21" t="s">
        <v>185</v>
      </c>
      <c r="F55" s="19" t="s">
        <v>186</v>
      </c>
      <c r="G55" s="20">
        <v>4287112</v>
      </c>
    </row>
    <row r="56" spans="2:7" x14ac:dyDescent="0.25">
      <c r="B56" s="6" t="s">
        <v>187</v>
      </c>
      <c r="C56" s="46" t="s">
        <v>188</v>
      </c>
      <c r="D56" s="20"/>
      <c r="E56" s="21" t="s">
        <v>189</v>
      </c>
      <c r="F56" s="19" t="s">
        <v>190</v>
      </c>
      <c r="G56" s="27">
        <v>4359069</v>
      </c>
    </row>
    <row r="57" spans="2:7" ht="15.75" thickBot="1" x14ac:dyDescent="0.3">
      <c r="B57" s="6" t="s">
        <v>191</v>
      </c>
      <c r="C57" s="46" t="s">
        <v>192</v>
      </c>
      <c r="D57" s="20"/>
      <c r="E57" s="21"/>
      <c r="F57" s="28" t="s">
        <v>193</v>
      </c>
      <c r="G57" s="29">
        <f>SUM(G49:G56)</f>
        <v>98239869</v>
      </c>
    </row>
    <row r="58" spans="2:7" x14ac:dyDescent="0.25">
      <c r="B58" s="6" t="s">
        <v>194</v>
      </c>
      <c r="C58" s="46" t="s">
        <v>195</v>
      </c>
      <c r="D58" s="20"/>
      <c r="E58" s="21" t="s">
        <v>196</v>
      </c>
      <c r="F58" s="22" t="s">
        <v>197</v>
      </c>
      <c r="G58" s="23">
        <v>0</v>
      </c>
    </row>
    <row r="59" spans="2:7" x14ac:dyDescent="0.25">
      <c r="B59" s="6" t="s">
        <v>198</v>
      </c>
      <c r="C59" s="19" t="s">
        <v>199</v>
      </c>
      <c r="D59" s="27"/>
      <c r="E59" s="21" t="s">
        <v>200</v>
      </c>
      <c r="F59" s="19" t="s">
        <v>201</v>
      </c>
      <c r="G59" s="20">
        <v>17297529</v>
      </c>
    </row>
    <row r="60" spans="2:7" ht="15.75" thickBot="1" x14ac:dyDescent="0.3">
      <c r="B60" s="6"/>
      <c r="C60" s="28" t="s">
        <v>202</v>
      </c>
      <c r="D60" s="29">
        <f>SUM(D56:D59)</f>
        <v>0</v>
      </c>
      <c r="E60" s="21" t="s">
        <v>203</v>
      </c>
      <c r="F60" s="19" t="s">
        <v>204</v>
      </c>
      <c r="G60" s="20">
        <v>7348661</v>
      </c>
    </row>
    <row r="61" spans="2:7" ht="16.5" thickBot="1" x14ac:dyDescent="0.3">
      <c r="B61" s="47"/>
      <c r="C61" s="48" t="s">
        <v>205</v>
      </c>
      <c r="D61" s="49">
        <f>D53+D60</f>
        <v>1912096757</v>
      </c>
      <c r="E61" s="21" t="s">
        <v>206</v>
      </c>
      <c r="F61" s="19" t="s">
        <v>207</v>
      </c>
      <c r="G61" s="20">
        <v>2873379</v>
      </c>
    </row>
    <row r="62" spans="2:7" x14ac:dyDescent="0.25">
      <c r="B62" s="50"/>
      <c r="C62" s="51"/>
      <c r="D62" s="51"/>
      <c r="E62" s="21" t="s">
        <v>208</v>
      </c>
      <c r="F62" s="19" t="s">
        <v>209</v>
      </c>
      <c r="G62" s="20">
        <v>0</v>
      </c>
    </row>
    <row r="63" spans="2:7" x14ac:dyDescent="0.25">
      <c r="B63" s="52"/>
      <c r="C63" s="53" t="s">
        <v>8</v>
      </c>
      <c r="D63" s="53"/>
      <c r="E63" s="21" t="s">
        <v>210</v>
      </c>
      <c r="F63" s="19" t="s">
        <v>211</v>
      </c>
      <c r="G63" s="20">
        <v>6033125</v>
      </c>
    </row>
    <row r="64" spans="2:7" x14ac:dyDescent="0.25">
      <c r="B64" s="54" t="s">
        <v>212</v>
      </c>
      <c r="C64" s="55" t="s">
        <v>213</v>
      </c>
      <c r="D64" s="55">
        <f>[34]Amortizaciones!D6</f>
        <v>11690226</v>
      </c>
      <c r="E64" s="21" t="s">
        <v>214</v>
      </c>
      <c r="F64" s="19" t="s">
        <v>215</v>
      </c>
      <c r="G64" s="20">
        <v>626275</v>
      </c>
    </row>
    <row r="65" spans="2:7" x14ac:dyDescent="0.25">
      <c r="B65" s="54" t="s">
        <v>216</v>
      </c>
      <c r="C65" s="55" t="s">
        <v>217</v>
      </c>
      <c r="D65" s="55">
        <f>[34]Amortizaciones!D7</f>
        <v>0</v>
      </c>
      <c r="E65" s="21" t="s">
        <v>218</v>
      </c>
      <c r="F65" s="19" t="s">
        <v>219</v>
      </c>
      <c r="G65" s="20">
        <v>937008</v>
      </c>
    </row>
    <row r="66" spans="2:7" x14ac:dyDescent="0.25">
      <c r="B66" s="54" t="s">
        <v>220</v>
      </c>
      <c r="C66" s="55" t="s">
        <v>221</v>
      </c>
      <c r="D66" s="55">
        <f>[34]Amortizaciones!D8</f>
        <v>7437814</v>
      </c>
      <c r="E66" s="21" t="s">
        <v>222</v>
      </c>
      <c r="F66" s="19" t="s">
        <v>223</v>
      </c>
      <c r="G66" s="20">
        <v>13223277</v>
      </c>
    </row>
    <row r="67" spans="2:7" x14ac:dyDescent="0.25">
      <c r="B67" s="54" t="s">
        <v>224</v>
      </c>
      <c r="C67" s="55" t="s">
        <v>225</v>
      </c>
      <c r="D67" s="55">
        <f>[34]Amortizaciones!D9</f>
        <v>0</v>
      </c>
      <c r="E67" s="21" t="s">
        <v>226</v>
      </c>
      <c r="F67" s="19" t="s">
        <v>227</v>
      </c>
      <c r="G67" s="20">
        <v>1139075</v>
      </c>
    </row>
    <row r="68" spans="2:7" x14ac:dyDescent="0.25">
      <c r="B68" s="54" t="s">
        <v>228</v>
      </c>
      <c r="C68" s="55" t="s">
        <v>229</v>
      </c>
      <c r="D68" s="55">
        <f>[34]Amortizaciones!D10</f>
        <v>269700</v>
      </c>
      <c r="E68" s="21" t="s">
        <v>230</v>
      </c>
      <c r="F68" s="19" t="s">
        <v>231</v>
      </c>
      <c r="G68" s="20">
        <v>0</v>
      </c>
    </row>
    <row r="69" spans="2:7" x14ac:dyDescent="0.25">
      <c r="B69" s="54" t="s">
        <v>232</v>
      </c>
      <c r="C69" s="55" t="s">
        <v>233</v>
      </c>
      <c r="D69" s="55">
        <f>[34]Amortizaciones!D11</f>
        <v>1379971</v>
      </c>
      <c r="E69" s="21" t="s">
        <v>234</v>
      </c>
      <c r="F69" s="19" t="s">
        <v>235</v>
      </c>
      <c r="G69" s="20">
        <v>903283</v>
      </c>
    </row>
    <row r="70" spans="2:7" x14ac:dyDescent="0.25">
      <c r="B70" s="54" t="s">
        <v>236</v>
      </c>
      <c r="C70" s="55" t="s">
        <v>237</v>
      </c>
      <c r="D70" s="55">
        <f>[34]Amortizaciones!D12</f>
        <v>723638</v>
      </c>
      <c r="E70" s="21" t="s">
        <v>238</v>
      </c>
      <c r="F70" s="19" t="s">
        <v>239</v>
      </c>
      <c r="G70" s="20">
        <v>1725245</v>
      </c>
    </row>
    <row r="71" spans="2:7" x14ac:dyDescent="0.25">
      <c r="B71" s="54" t="s">
        <v>240</v>
      </c>
      <c r="C71" s="55" t="s">
        <v>241</v>
      </c>
      <c r="D71" s="55">
        <f>[34]Amortizaciones!D13</f>
        <v>2371425</v>
      </c>
      <c r="E71" s="21" t="s">
        <v>242</v>
      </c>
      <c r="F71" s="19" t="s">
        <v>243</v>
      </c>
      <c r="G71" s="20">
        <v>0</v>
      </c>
    </row>
    <row r="72" spans="2:7" x14ac:dyDescent="0.25">
      <c r="B72" s="54" t="s">
        <v>244</v>
      </c>
      <c r="C72" s="55" t="s">
        <v>245</v>
      </c>
      <c r="D72" s="55">
        <f>[34]Amortizaciones!D14</f>
        <v>1846161</v>
      </c>
      <c r="E72" s="21" t="s">
        <v>246</v>
      </c>
      <c r="F72" s="19" t="s">
        <v>247</v>
      </c>
      <c r="G72" s="20">
        <v>2775894</v>
      </c>
    </row>
    <row r="73" spans="2:7" x14ac:dyDescent="0.25">
      <c r="B73" s="54" t="s">
        <v>248</v>
      </c>
      <c r="C73" s="55" t="s">
        <v>249</v>
      </c>
      <c r="D73" s="55">
        <f>[34]Amortizaciones!D15</f>
        <v>0</v>
      </c>
      <c r="E73" s="21" t="s">
        <v>250</v>
      </c>
      <c r="F73" s="19" t="s">
        <v>251</v>
      </c>
      <c r="G73" s="20">
        <v>95283</v>
      </c>
    </row>
    <row r="74" spans="2:7" x14ac:dyDescent="0.25">
      <c r="B74" s="54" t="s">
        <v>252</v>
      </c>
      <c r="C74" s="55" t="s">
        <v>253</v>
      </c>
      <c r="D74" s="55">
        <f>[34]Amortizaciones!D16</f>
        <v>84642</v>
      </c>
      <c r="E74" s="21" t="s">
        <v>254</v>
      </c>
      <c r="F74" s="19" t="s">
        <v>255</v>
      </c>
      <c r="G74" s="20">
        <v>0</v>
      </c>
    </row>
    <row r="75" spans="2:7" x14ac:dyDescent="0.25">
      <c r="B75" s="54" t="s">
        <v>256</v>
      </c>
      <c r="C75" s="55" t="s">
        <v>257</v>
      </c>
      <c r="D75" s="55">
        <f>[34]Amortizaciones!D17</f>
        <v>0</v>
      </c>
      <c r="E75" s="21" t="s">
        <v>258</v>
      </c>
      <c r="F75" s="19" t="s">
        <v>259</v>
      </c>
      <c r="G75" s="20">
        <v>5906419</v>
      </c>
    </row>
    <row r="76" spans="2:7" x14ac:dyDescent="0.25">
      <c r="B76" s="54" t="s">
        <v>260</v>
      </c>
      <c r="C76" s="55" t="s">
        <v>261</v>
      </c>
      <c r="D76" s="55">
        <f>[34]Amortizaciones!D18</f>
        <v>0</v>
      </c>
      <c r="E76" s="21" t="s">
        <v>262</v>
      </c>
      <c r="F76" s="19" t="s">
        <v>263</v>
      </c>
      <c r="G76" s="20">
        <v>2903300</v>
      </c>
    </row>
    <row r="77" spans="2:7" x14ac:dyDescent="0.25">
      <c r="B77" s="54" t="s">
        <v>264</v>
      </c>
      <c r="C77" s="55" t="s">
        <v>265</v>
      </c>
      <c r="D77" s="55">
        <f>SUM(D64:D76)</f>
        <v>25803577</v>
      </c>
      <c r="E77" s="21" t="s">
        <v>266</v>
      </c>
      <c r="F77" s="19" t="s">
        <v>267</v>
      </c>
      <c r="G77" s="20">
        <v>120797908</v>
      </c>
    </row>
    <row r="78" spans="2:7" x14ac:dyDescent="0.25">
      <c r="B78" s="54"/>
      <c r="C78" s="55"/>
      <c r="D78" s="55"/>
      <c r="E78" s="21" t="s">
        <v>268</v>
      </c>
      <c r="F78" s="19" t="s">
        <v>269</v>
      </c>
      <c r="G78" s="27">
        <v>8479977</v>
      </c>
    </row>
    <row r="79" spans="2:7" ht="15.75" thickBot="1" x14ac:dyDescent="0.3">
      <c r="B79" s="54"/>
      <c r="C79" s="53" t="s">
        <v>270</v>
      </c>
      <c r="D79" s="56"/>
      <c r="E79" s="21"/>
      <c r="F79" s="28" t="s">
        <v>271</v>
      </c>
      <c r="G79" s="29">
        <f>SUM(G58:G78)</f>
        <v>193065638</v>
      </c>
    </row>
    <row r="80" spans="2:7" x14ac:dyDescent="0.25">
      <c r="B80" s="54" t="s">
        <v>272</v>
      </c>
      <c r="C80" s="55" t="s">
        <v>237</v>
      </c>
      <c r="D80" s="55">
        <f>[34]Amortizaciones!D22</f>
        <v>29254</v>
      </c>
      <c r="E80" s="21" t="s">
        <v>273</v>
      </c>
      <c r="F80" s="22" t="s">
        <v>274</v>
      </c>
      <c r="G80" s="23">
        <v>0</v>
      </c>
    </row>
    <row r="81" spans="2:7" x14ac:dyDescent="0.25">
      <c r="B81" s="54" t="s">
        <v>275</v>
      </c>
      <c r="C81" s="55" t="s">
        <v>241</v>
      </c>
      <c r="D81" s="55">
        <f>[34]Amortizaciones!D23</f>
        <v>0</v>
      </c>
      <c r="E81" s="21" t="s">
        <v>276</v>
      </c>
      <c r="F81" s="19" t="s">
        <v>277</v>
      </c>
      <c r="G81" s="20">
        <v>8686940</v>
      </c>
    </row>
    <row r="82" spans="2:7" x14ac:dyDescent="0.25">
      <c r="B82" s="54" t="s">
        <v>278</v>
      </c>
      <c r="C82" s="55" t="s">
        <v>245</v>
      </c>
      <c r="D82" s="55">
        <f>[34]Amortizaciones!D24</f>
        <v>192490</v>
      </c>
      <c r="E82" s="21" t="s">
        <v>279</v>
      </c>
      <c r="F82" s="19" t="s">
        <v>280</v>
      </c>
      <c r="G82" s="20">
        <v>7816336</v>
      </c>
    </row>
    <row r="83" spans="2:7" x14ac:dyDescent="0.25">
      <c r="B83" s="54" t="s">
        <v>281</v>
      </c>
      <c r="C83" s="55" t="s">
        <v>249</v>
      </c>
      <c r="D83" s="55">
        <f>[34]Amortizaciones!D25</f>
        <v>0</v>
      </c>
      <c r="E83" s="21" t="s">
        <v>282</v>
      </c>
      <c r="F83" s="19" t="s">
        <v>283</v>
      </c>
      <c r="G83" s="20">
        <v>5817683</v>
      </c>
    </row>
    <row r="84" spans="2:7" x14ac:dyDescent="0.25">
      <c r="B84" s="54" t="s">
        <v>284</v>
      </c>
      <c r="C84" s="55" t="s">
        <v>285</v>
      </c>
      <c r="D84" s="55">
        <v>0</v>
      </c>
      <c r="E84" s="21" t="s">
        <v>286</v>
      </c>
      <c r="F84" s="19" t="s">
        <v>287</v>
      </c>
      <c r="G84" s="20">
        <v>8153236</v>
      </c>
    </row>
    <row r="85" spans="2:7" x14ac:dyDescent="0.25">
      <c r="B85" s="54" t="s">
        <v>288</v>
      </c>
      <c r="C85" s="55" t="s">
        <v>289</v>
      </c>
      <c r="D85" s="55">
        <f>[34]Amortizaciones!D27</f>
        <v>0</v>
      </c>
      <c r="E85" s="21" t="s">
        <v>290</v>
      </c>
      <c r="F85" s="19" t="s">
        <v>291</v>
      </c>
      <c r="G85" s="20">
        <v>1626698</v>
      </c>
    </row>
    <row r="86" spans="2:7" x14ac:dyDescent="0.25">
      <c r="B86" s="54" t="s">
        <v>292</v>
      </c>
      <c r="C86" s="55" t="s">
        <v>293</v>
      </c>
      <c r="D86" s="55">
        <f>[34]Amortizaciones!D28</f>
        <v>0</v>
      </c>
      <c r="E86" s="21" t="s">
        <v>294</v>
      </c>
      <c r="F86" s="19" t="s">
        <v>295</v>
      </c>
      <c r="G86" s="20">
        <v>2588648</v>
      </c>
    </row>
    <row r="87" spans="2:7" x14ac:dyDescent="0.25">
      <c r="B87" s="54" t="s">
        <v>296</v>
      </c>
      <c r="C87" s="55" t="s">
        <v>297</v>
      </c>
      <c r="D87" s="55">
        <f>[34]Amortizaciones!D29</f>
        <v>0</v>
      </c>
      <c r="E87" s="21" t="s">
        <v>298</v>
      </c>
      <c r="F87" s="19" t="s">
        <v>299</v>
      </c>
      <c r="G87" s="20">
        <v>1442799</v>
      </c>
    </row>
    <row r="88" spans="2:7" x14ac:dyDescent="0.25">
      <c r="B88" s="54" t="s">
        <v>300</v>
      </c>
      <c r="C88" s="55" t="s">
        <v>301</v>
      </c>
      <c r="D88" s="55">
        <f>[34]Amortizaciones!D30</f>
        <v>143851</v>
      </c>
      <c r="E88" s="21" t="s">
        <v>302</v>
      </c>
      <c r="F88" s="19" t="s">
        <v>303</v>
      </c>
      <c r="G88" s="20">
        <v>3324266</v>
      </c>
    </row>
    <row r="89" spans="2:7" x14ac:dyDescent="0.25">
      <c r="B89" s="54" t="s">
        <v>304</v>
      </c>
      <c r="C89" s="55" t="s">
        <v>213</v>
      </c>
      <c r="D89" s="55">
        <f>[34]Amortizaciones!D31</f>
        <v>0</v>
      </c>
      <c r="E89" s="21" t="s">
        <v>305</v>
      </c>
      <c r="F89" s="19" t="s">
        <v>306</v>
      </c>
      <c r="G89" s="20">
        <v>768661</v>
      </c>
    </row>
    <row r="90" spans="2:7" x14ac:dyDescent="0.25">
      <c r="B90" s="54" t="s">
        <v>307</v>
      </c>
      <c r="C90" s="55" t="s">
        <v>229</v>
      </c>
      <c r="D90" s="55">
        <f>[34]Amortizaciones!D32</f>
        <v>0</v>
      </c>
      <c r="E90" s="21" t="s">
        <v>308</v>
      </c>
      <c r="F90" s="19" t="s">
        <v>309</v>
      </c>
      <c r="G90" s="20">
        <v>2288810</v>
      </c>
    </row>
    <row r="91" spans="2:7" x14ac:dyDescent="0.25">
      <c r="B91" s="54" t="s">
        <v>310</v>
      </c>
      <c r="C91" s="55" t="s">
        <v>311</v>
      </c>
      <c r="D91" s="55">
        <f>SUM(D80:D90)</f>
        <v>365595</v>
      </c>
      <c r="E91" s="52" t="s">
        <v>312</v>
      </c>
      <c r="F91" s="19" t="s">
        <v>313</v>
      </c>
      <c r="G91" s="20">
        <v>1131921</v>
      </c>
    </row>
    <row r="92" spans="2:7" x14ac:dyDescent="0.25">
      <c r="B92" s="54"/>
      <c r="C92" s="57" t="s">
        <v>314</v>
      </c>
      <c r="D92" s="55">
        <f>D77+D91</f>
        <v>26169172</v>
      </c>
      <c r="E92" s="52" t="s">
        <v>315</v>
      </c>
      <c r="F92" s="19" t="s">
        <v>316</v>
      </c>
      <c r="G92" s="20">
        <v>0</v>
      </c>
    </row>
    <row r="93" spans="2:7" x14ac:dyDescent="0.25">
      <c r="E93" s="52" t="s">
        <v>317</v>
      </c>
      <c r="F93" s="19" t="s">
        <v>318</v>
      </c>
      <c r="G93" s="20">
        <v>8557439</v>
      </c>
    </row>
    <row r="94" spans="2:7" x14ac:dyDescent="0.25">
      <c r="E94" s="52" t="s">
        <v>319</v>
      </c>
      <c r="F94" s="19" t="s">
        <v>320</v>
      </c>
      <c r="G94" s="27">
        <v>2411298</v>
      </c>
    </row>
    <row r="95" spans="2:7" ht="13.5" customHeight="1" thickBot="1" x14ac:dyDescent="0.3">
      <c r="E95" s="21"/>
      <c r="F95" s="28" t="s">
        <v>321</v>
      </c>
      <c r="G95" s="29">
        <f>SUM(G80:G94)</f>
        <v>54614735</v>
      </c>
    </row>
    <row r="96" spans="2:7" x14ac:dyDescent="0.25">
      <c r="E96" s="52" t="s">
        <v>322</v>
      </c>
      <c r="F96" s="22" t="s">
        <v>323</v>
      </c>
      <c r="G96" s="23">
        <v>10004862</v>
      </c>
    </row>
    <row r="97" spans="2:7" x14ac:dyDescent="0.25">
      <c r="E97" s="52" t="s">
        <v>324</v>
      </c>
      <c r="F97" s="19" t="s">
        <v>325</v>
      </c>
      <c r="G97" s="20">
        <v>5901419</v>
      </c>
    </row>
    <row r="98" spans="2:7" x14ac:dyDescent="0.25">
      <c r="E98" s="52" t="s">
        <v>326</v>
      </c>
      <c r="F98" s="19" t="s">
        <v>327</v>
      </c>
      <c r="G98" s="20">
        <v>3950991</v>
      </c>
    </row>
    <row r="99" spans="2:7" x14ac:dyDescent="0.25">
      <c r="E99" s="52" t="s">
        <v>328</v>
      </c>
      <c r="F99" s="19" t="s">
        <v>329</v>
      </c>
      <c r="G99" s="20">
        <v>5524060</v>
      </c>
    </row>
    <row r="100" spans="2:7" x14ac:dyDescent="0.25">
      <c r="E100" s="52" t="s">
        <v>330</v>
      </c>
      <c r="F100" s="19" t="s">
        <v>331</v>
      </c>
      <c r="G100" s="27">
        <v>980383</v>
      </c>
    </row>
    <row r="101" spans="2:7" ht="15.75" thickBot="1" x14ac:dyDescent="0.3">
      <c r="E101" s="21"/>
      <c r="F101" s="28" t="s">
        <v>332</v>
      </c>
      <c r="G101" s="29">
        <f>SUM(G96:G100)</f>
        <v>26361715</v>
      </c>
    </row>
    <row r="102" spans="2:7" ht="15.75" thickBot="1" x14ac:dyDescent="0.3">
      <c r="E102" s="52"/>
      <c r="F102" s="59" t="s">
        <v>333</v>
      </c>
      <c r="G102" s="60">
        <f>[34]Amortizaciones!D19</f>
        <v>25803577</v>
      </c>
    </row>
    <row r="103" spans="2:7" x14ac:dyDescent="0.25">
      <c r="E103" s="52" t="s">
        <v>334</v>
      </c>
      <c r="F103" s="19" t="s">
        <v>335</v>
      </c>
      <c r="G103" s="23">
        <f>422485-51</f>
        <v>422434</v>
      </c>
    </row>
    <row r="104" spans="2:7" x14ac:dyDescent="0.25">
      <c r="E104" s="52" t="s">
        <v>336</v>
      </c>
      <c r="F104" s="61" t="s">
        <v>337</v>
      </c>
      <c r="G104" s="20">
        <v>51</v>
      </c>
    </row>
    <row r="105" spans="2:7" ht="15.75" thickBot="1" x14ac:dyDescent="0.3">
      <c r="E105" s="21"/>
      <c r="F105" s="28" t="s">
        <v>338</v>
      </c>
      <c r="G105" s="29">
        <f>SUM(G103:G104)</f>
        <v>422485</v>
      </c>
    </row>
    <row r="106" spans="2:7" ht="13.7" customHeight="1" thickBot="1" x14ac:dyDescent="0.3">
      <c r="B106" s="6"/>
      <c r="C106" s="62"/>
      <c r="D106" s="62"/>
      <c r="E106" s="52"/>
      <c r="F106" s="48" t="s">
        <v>339</v>
      </c>
      <c r="G106" s="49">
        <f>G19+G27+G32+G48+G57+G79+G95+G101+G102+G105</f>
        <v>1771077559</v>
      </c>
    </row>
    <row r="107" spans="2:7" ht="13.7" customHeight="1" x14ac:dyDescent="0.25">
      <c r="B107" s="6"/>
      <c r="C107" s="62"/>
      <c r="D107" s="62"/>
      <c r="E107" s="21"/>
      <c r="F107" s="63"/>
      <c r="G107" s="64"/>
    </row>
    <row r="108" spans="2:7" ht="13.7" customHeight="1" thickBot="1" x14ac:dyDescent="0.3">
      <c r="B108" s="6"/>
      <c r="C108" s="62"/>
      <c r="D108" s="62"/>
      <c r="E108" s="21"/>
    </row>
    <row r="109" spans="2:7" ht="13.7" customHeight="1" thickBot="1" x14ac:dyDescent="0.3">
      <c r="B109" s="6"/>
      <c r="C109" s="62"/>
      <c r="D109" s="62"/>
      <c r="E109" s="21"/>
      <c r="F109" s="13" t="s">
        <v>340</v>
      </c>
      <c r="G109" s="65">
        <f>D61-G106</f>
        <v>141019198</v>
      </c>
    </row>
    <row r="110" spans="2:7" ht="13.7" customHeight="1" thickBot="1" x14ac:dyDescent="0.3">
      <c r="B110" s="6"/>
      <c r="C110" s="62"/>
      <c r="D110" s="62"/>
      <c r="E110" s="21"/>
    </row>
    <row r="111" spans="2:7" ht="13.7" customHeight="1" thickBot="1" x14ac:dyDescent="0.3">
      <c r="C111" s="48" t="s">
        <v>270</v>
      </c>
      <c r="D111" s="17">
        <f>+[34]E.S.P.!D6</f>
        <v>2020</v>
      </c>
      <c r="E111" s="52"/>
      <c r="F111" s="48" t="s">
        <v>341</v>
      </c>
      <c r="G111" s="17">
        <f>+[34]E.S.P.!D6</f>
        <v>2020</v>
      </c>
    </row>
    <row r="112" spans="2:7" ht="13.7" customHeight="1" x14ac:dyDescent="0.25">
      <c r="B112" s="6" t="s">
        <v>342</v>
      </c>
      <c r="C112" s="66" t="s">
        <v>343</v>
      </c>
      <c r="D112" s="67">
        <v>7848997</v>
      </c>
      <c r="E112" s="21" t="s">
        <v>344</v>
      </c>
      <c r="F112" s="66" t="s">
        <v>309</v>
      </c>
      <c r="G112" s="67">
        <v>0</v>
      </c>
    </row>
    <row r="113" spans="2:7" ht="13.7" customHeight="1" x14ac:dyDescent="0.25">
      <c r="B113" s="6" t="s">
        <v>345</v>
      </c>
      <c r="C113" s="68" t="s">
        <v>346</v>
      </c>
      <c r="D113" s="69">
        <v>49366016</v>
      </c>
      <c r="E113" s="21" t="s">
        <v>347</v>
      </c>
      <c r="F113" s="68" t="s">
        <v>348</v>
      </c>
      <c r="G113" s="69">
        <v>0</v>
      </c>
    </row>
    <row r="114" spans="2:7" ht="13.7" customHeight="1" x14ac:dyDescent="0.25">
      <c r="B114" s="6" t="s">
        <v>349</v>
      </c>
      <c r="C114" s="68" t="s">
        <v>48</v>
      </c>
      <c r="D114" s="69">
        <v>0</v>
      </c>
      <c r="E114" s="21" t="s">
        <v>350</v>
      </c>
      <c r="F114" s="68" t="s">
        <v>351</v>
      </c>
      <c r="G114" s="69">
        <v>254568</v>
      </c>
    </row>
    <row r="115" spans="2:7" ht="13.7" customHeight="1" x14ac:dyDescent="0.25">
      <c r="B115" s="6" t="s">
        <v>352</v>
      </c>
      <c r="C115" s="68" t="s">
        <v>353</v>
      </c>
      <c r="D115" s="69">
        <v>71209</v>
      </c>
      <c r="E115" s="21" t="s">
        <v>354</v>
      </c>
      <c r="F115" s="68" t="s">
        <v>355</v>
      </c>
      <c r="G115" s="69">
        <v>783826</v>
      </c>
    </row>
    <row r="116" spans="2:7" ht="13.7" customHeight="1" x14ac:dyDescent="0.25">
      <c r="B116" s="6" t="s">
        <v>356</v>
      </c>
      <c r="C116" s="68" t="s">
        <v>357</v>
      </c>
      <c r="D116" s="69">
        <v>1194126</v>
      </c>
      <c r="E116" s="21" t="s">
        <v>358</v>
      </c>
      <c r="F116" s="68" t="s">
        <v>359</v>
      </c>
      <c r="G116" s="69">
        <v>1090603</v>
      </c>
    </row>
    <row r="117" spans="2:7" ht="13.7" customHeight="1" x14ac:dyDescent="0.25">
      <c r="B117" s="6" t="s">
        <v>360</v>
      </c>
      <c r="C117" s="68" t="s">
        <v>361</v>
      </c>
      <c r="D117" s="69">
        <v>40705</v>
      </c>
      <c r="E117" s="21" t="s">
        <v>362</v>
      </c>
      <c r="F117" s="68" t="s">
        <v>363</v>
      </c>
      <c r="G117" s="69">
        <v>539258</v>
      </c>
    </row>
    <row r="118" spans="2:7" ht="13.7" customHeight="1" x14ac:dyDescent="0.25">
      <c r="B118" s="6" t="s">
        <v>364</v>
      </c>
      <c r="C118" s="68" t="s">
        <v>365</v>
      </c>
      <c r="D118" s="69">
        <v>0</v>
      </c>
      <c r="E118" s="21" t="s">
        <v>366</v>
      </c>
      <c r="F118" s="68" t="s">
        <v>367</v>
      </c>
      <c r="G118" s="69">
        <v>3054891</v>
      </c>
    </row>
    <row r="119" spans="2:7" ht="13.7" customHeight="1" x14ac:dyDescent="0.25">
      <c r="B119" s="6" t="s">
        <v>368</v>
      </c>
      <c r="C119" s="68" t="s">
        <v>369</v>
      </c>
      <c r="D119" s="69">
        <v>0</v>
      </c>
      <c r="E119" s="21" t="s">
        <v>370</v>
      </c>
      <c r="F119" s="68" t="s">
        <v>371</v>
      </c>
      <c r="G119" s="69">
        <v>115604</v>
      </c>
    </row>
    <row r="120" spans="2:7" ht="13.7" customHeight="1" x14ac:dyDescent="0.25">
      <c r="B120" s="6" t="s">
        <v>372</v>
      </c>
      <c r="C120" s="68" t="s">
        <v>373</v>
      </c>
      <c r="D120" s="69">
        <v>0</v>
      </c>
      <c r="E120" s="21" t="s">
        <v>374</v>
      </c>
      <c r="F120" s="68" t="s">
        <v>375</v>
      </c>
      <c r="G120" s="69">
        <v>0</v>
      </c>
    </row>
    <row r="121" spans="2:7" ht="13.7" customHeight="1" x14ac:dyDescent="0.25">
      <c r="B121" s="6" t="s">
        <v>376</v>
      </c>
      <c r="C121" s="19" t="s">
        <v>377</v>
      </c>
      <c r="D121" s="69">
        <v>2763744</v>
      </c>
      <c r="E121" s="21" t="s">
        <v>378</v>
      </c>
      <c r="F121" s="68" t="s">
        <v>379</v>
      </c>
      <c r="G121" s="69">
        <v>1772748</v>
      </c>
    </row>
    <row r="122" spans="2:7" ht="13.7" customHeight="1" thickBot="1" x14ac:dyDescent="0.3">
      <c r="B122" s="6"/>
      <c r="C122" s="28" t="s">
        <v>380</v>
      </c>
      <c r="D122" s="37">
        <f>SUM(D112:D121)</f>
        <v>61284797</v>
      </c>
      <c r="E122" s="21" t="s">
        <v>381</v>
      </c>
      <c r="F122" s="19" t="s">
        <v>382</v>
      </c>
      <c r="G122" s="20">
        <v>393380</v>
      </c>
    </row>
    <row r="123" spans="2:7" ht="13.7" customHeight="1" thickBot="1" x14ac:dyDescent="0.3">
      <c r="B123" s="6" t="s">
        <v>383</v>
      </c>
      <c r="C123" s="70" t="s">
        <v>309</v>
      </c>
      <c r="D123" s="67">
        <v>0</v>
      </c>
      <c r="E123" s="52"/>
      <c r="F123" s="28" t="s">
        <v>384</v>
      </c>
      <c r="G123" s="37">
        <f>SUM(G112:G122)</f>
        <v>8004878</v>
      </c>
    </row>
    <row r="124" spans="2:7" ht="13.7" customHeight="1" x14ac:dyDescent="0.25">
      <c r="B124" s="6" t="s">
        <v>385</v>
      </c>
      <c r="C124" s="68" t="s">
        <v>313</v>
      </c>
      <c r="D124" s="69">
        <v>51545</v>
      </c>
      <c r="E124" s="21" t="s">
        <v>386</v>
      </c>
      <c r="F124" s="68" t="s">
        <v>387</v>
      </c>
      <c r="G124" s="69">
        <v>307864</v>
      </c>
    </row>
    <row r="125" spans="2:7" ht="13.7" customHeight="1" x14ac:dyDescent="0.25">
      <c r="B125" s="6" t="s">
        <v>388</v>
      </c>
      <c r="C125" s="19" t="s">
        <v>389</v>
      </c>
      <c r="D125" s="69">
        <v>2867</v>
      </c>
      <c r="E125" s="21" t="s">
        <v>390</v>
      </c>
      <c r="F125" s="68" t="s">
        <v>391</v>
      </c>
      <c r="G125" s="69">
        <v>222444</v>
      </c>
    </row>
    <row r="126" spans="2:7" ht="13.7" customHeight="1" thickBot="1" x14ac:dyDescent="0.3">
      <c r="B126" s="6"/>
      <c r="C126" s="28" t="s">
        <v>392</v>
      </c>
      <c r="D126" s="37">
        <f>SUM(D123:D125)</f>
        <v>54412</v>
      </c>
      <c r="E126" s="21" t="s">
        <v>393</v>
      </c>
      <c r="F126" s="68" t="s">
        <v>394</v>
      </c>
      <c r="G126" s="69">
        <v>261172</v>
      </c>
    </row>
    <row r="127" spans="2:7" ht="13.7" customHeight="1" x14ac:dyDescent="0.25">
      <c r="B127" s="6" t="s">
        <v>395</v>
      </c>
      <c r="C127" s="66" t="s">
        <v>274</v>
      </c>
      <c r="D127" s="67">
        <v>4529000</v>
      </c>
      <c r="E127" s="21" t="s">
        <v>396</v>
      </c>
      <c r="F127" s="68" t="s">
        <v>397</v>
      </c>
      <c r="G127" s="69">
        <v>0</v>
      </c>
    </row>
    <row r="128" spans="2:7" ht="13.7" customHeight="1" x14ac:dyDescent="0.25">
      <c r="B128" s="6" t="s">
        <v>398</v>
      </c>
      <c r="C128" s="68" t="s">
        <v>399</v>
      </c>
      <c r="D128" s="69">
        <v>103176</v>
      </c>
      <c r="E128" s="21" t="s">
        <v>400</v>
      </c>
      <c r="F128" s="68" t="s">
        <v>401</v>
      </c>
      <c r="G128" s="69">
        <v>0</v>
      </c>
    </row>
    <row r="129" spans="2:7" ht="13.7" customHeight="1" x14ac:dyDescent="0.25">
      <c r="B129" s="6" t="s">
        <v>402</v>
      </c>
      <c r="C129" s="68" t="s">
        <v>277</v>
      </c>
      <c r="D129" s="69">
        <v>0</v>
      </c>
      <c r="E129" s="21" t="s">
        <v>403</v>
      </c>
      <c r="F129" s="68" t="s">
        <v>404</v>
      </c>
      <c r="G129" s="69">
        <v>1485969</v>
      </c>
    </row>
    <row r="130" spans="2:7" ht="13.7" customHeight="1" x14ac:dyDescent="0.25">
      <c r="B130" s="6" t="s">
        <v>405</v>
      </c>
      <c r="C130" s="68" t="s">
        <v>283</v>
      </c>
      <c r="D130" s="69">
        <v>80256</v>
      </c>
      <c r="E130" s="21" t="s">
        <v>406</v>
      </c>
      <c r="F130" s="68" t="s">
        <v>407</v>
      </c>
      <c r="G130" s="69">
        <v>0</v>
      </c>
    </row>
    <row r="131" spans="2:7" ht="13.7" customHeight="1" x14ac:dyDescent="0.25">
      <c r="B131" s="6" t="s">
        <v>408</v>
      </c>
      <c r="C131" s="68" t="s">
        <v>287</v>
      </c>
      <c r="D131" s="69">
        <v>205599</v>
      </c>
      <c r="E131" s="21" t="s">
        <v>409</v>
      </c>
      <c r="F131" s="68" t="s">
        <v>410</v>
      </c>
      <c r="G131" s="69">
        <v>0</v>
      </c>
    </row>
    <row r="132" spans="2:7" ht="13.7" customHeight="1" x14ac:dyDescent="0.25">
      <c r="B132" s="6" t="s">
        <v>411</v>
      </c>
      <c r="C132" s="68" t="s">
        <v>291</v>
      </c>
      <c r="D132" s="69">
        <v>73006</v>
      </c>
      <c r="E132" s="21" t="s">
        <v>412</v>
      </c>
      <c r="F132" s="68" t="s">
        <v>413</v>
      </c>
      <c r="G132" s="69">
        <v>0</v>
      </c>
    </row>
    <row r="133" spans="2:7" ht="13.7" customHeight="1" x14ac:dyDescent="0.25">
      <c r="B133" s="6" t="s">
        <v>414</v>
      </c>
      <c r="C133" s="68" t="s">
        <v>295</v>
      </c>
      <c r="D133" s="69">
        <v>0</v>
      </c>
      <c r="E133" s="21" t="s">
        <v>415</v>
      </c>
      <c r="F133" s="68" t="s">
        <v>416</v>
      </c>
      <c r="G133" s="69">
        <v>605309</v>
      </c>
    </row>
    <row r="134" spans="2:7" ht="13.7" customHeight="1" x14ac:dyDescent="0.25">
      <c r="B134" s="6" t="s">
        <v>417</v>
      </c>
      <c r="C134" s="68" t="s">
        <v>418</v>
      </c>
      <c r="D134" s="69">
        <v>428237</v>
      </c>
      <c r="E134" s="21" t="s">
        <v>419</v>
      </c>
      <c r="F134" s="68" t="s">
        <v>420</v>
      </c>
      <c r="G134" s="69">
        <v>0</v>
      </c>
    </row>
    <row r="135" spans="2:7" ht="13.7" customHeight="1" x14ac:dyDescent="0.25">
      <c r="B135" s="6" t="s">
        <v>421</v>
      </c>
      <c r="C135" s="68" t="s">
        <v>422</v>
      </c>
      <c r="D135" s="69">
        <v>4153482</v>
      </c>
      <c r="E135" s="21" t="s">
        <v>423</v>
      </c>
      <c r="F135" s="68" t="s">
        <v>424</v>
      </c>
      <c r="G135" s="69">
        <v>0</v>
      </c>
    </row>
    <row r="136" spans="2:7" ht="13.7" customHeight="1" x14ac:dyDescent="0.25">
      <c r="B136" s="6" t="s">
        <v>425</v>
      </c>
      <c r="C136" s="68" t="s">
        <v>318</v>
      </c>
      <c r="D136" s="69">
        <v>19867932</v>
      </c>
      <c r="E136" s="21" t="s">
        <v>426</v>
      </c>
      <c r="F136" s="68" t="s">
        <v>427</v>
      </c>
      <c r="G136" s="69">
        <v>60523</v>
      </c>
    </row>
    <row r="137" spans="2:7" ht="13.7" customHeight="1" x14ac:dyDescent="0.25">
      <c r="B137" s="6" t="s">
        <v>428</v>
      </c>
      <c r="C137" s="19" t="s">
        <v>320</v>
      </c>
      <c r="D137" s="71">
        <v>1391316</v>
      </c>
      <c r="E137" s="21" t="s">
        <v>429</v>
      </c>
      <c r="F137" s="68" t="s">
        <v>430</v>
      </c>
      <c r="G137" s="69">
        <v>1242764</v>
      </c>
    </row>
    <row r="138" spans="2:7" ht="13.7" customHeight="1" thickBot="1" x14ac:dyDescent="0.3">
      <c r="B138" s="6"/>
      <c r="C138" s="28" t="s">
        <v>321</v>
      </c>
      <c r="D138" s="37">
        <f>SUM(D127:D137)</f>
        <v>30832004</v>
      </c>
      <c r="E138" s="21" t="s">
        <v>431</v>
      </c>
      <c r="F138" s="19" t="s">
        <v>432</v>
      </c>
      <c r="G138" s="20">
        <v>171831</v>
      </c>
    </row>
    <row r="139" spans="2:7" ht="13.7" customHeight="1" thickBot="1" x14ac:dyDescent="0.3">
      <c r="B139" s="6" t="s">
        <v>433</v>
      </c>
      <c r="C139" s="66" t="s">
        <v>327</v>
      </c>
      <c r="D139" s="67">
        <v>0</v>
      </c>
      <c r="E139" s="7"/>
      <c r="F139" s="28" t="s">
        <v>434</v>
      </c>
      <c r="G139" s="37">
        <f>SUM(G124:G138)</f>
        <v>4357876</v>
      </c>
    </row>
    <row r="140" spans="2:7" ht="13.7" customHeight="1" thickBot="1" x14ac:dyDescent="0.3">
      <c r="B140" s="6" t="s">
        <v>435</v>
      </c>
      <c r="C140" s="68" t="s">
        <v>329</v>
      </c>
      <c r="D140" s="69">
        <v>608322</v>
      </c>
      <c r="E140" s="7"/>
      <c r="F140" s="48" t="s">
        <v>436</v>
      </c>
      <c r="G140" s="72">
        <f>G123-G139</f>
        <v>3647002</v>
      </c>
    </row>
    <row r="141" spans="2:7" ht="13.7" customHeight="1" x14ac:dyDescent="0.25">
      <c r="B141" s="6" t="s">
        <v>437</v>
      </c>
      <c r="C141" s="19" t="s">
        <v>331</v>
      </c>
      <c r="D141" s="71">
        <v>25725</v>
      </c>
      <c r="E141" s="73"/>
    </row>
    <row r="142" spans="2:7" ht="13.7" customHeight="1" thickBot="1" x14ac:dyDescent="0.3">
      <c r="B142" s="6"/>
      <c r="C142" s="28" t="s">
        <v>332</v>
      </c>
      <c r="D142" s="37">
        <f>SUM(D139:D141)</f>
        <v>634047</v>
      </c>
      <c r="E142" s="73"/>
    </row>
    <row r="143" spans="2:7" ht="13.7" customHeight="1" thickBot="1" x14ac:dyDescent="0.3">
      <c r="B143" s="6"/>
      <c r="C143" s="59" t="s">
        <v>438</v>
      </c>
      <c r="D143" s="74">
        <f>[34]Amortizaciones!D33</f>
        <v>365595</v>
      </c>
      <c r="E143" s="21"/>
      <c r="F143" s="48" t="s">
        <v>439</v>
      </c>
      <c r="G143" s="17">
        <f>+[34]E.S.P.!D6</f>
        <v>2020</v>
      </c>
    </row>
    <row r="144" spans="2:7" ht="13.7" customHeight="1" x14ac:dyDescent="0.25">
      <c r="B144" s="6" t="s">
        <v>440</v>
      </c>
      <c r="C144" s="66" t="s">
        <v>441</v>
      </c>
      <c r="D144" s="67">
        <v>0</v>
      </c>
      <c r="E144" s="21" t="s">
        <v>442</v>
      </c>
      <c r="F144" s="66" t="s">
        <v>443</v>
      </c>
      <c r="G144" s="67">
        <v>2117911</v>
      </c>
    </row>
    <row r="145" spans="2:7" ht="13.7" customHeight="1" x14ac:dyDescent="0.25">
      <c r="B145" s="6" t="s">
        <v>444</v>
      </c>
      <c r="C145" s="68" t="s">
        <v>445</v>
      </c>
      <c r="D145" s="69">
        <v>7056</v>
      </c>
      <c r="E145" s="21" t="s">
        <v>446</v>
      </c>
      <c r="F145" s="68" t="s">
        <v>447</v>
      </c>
      <c r="G145" s="69">
        <v>0</v>
      </c>
    </row>
    <row r="146" spans="2:7" ht="13.7" customHeight="1" x14ac:dyDescent="0.25">
      <c r="B146" s="6" t="s">
        <v>448</v>
      </c>
      <c r="C146" s="75" t="s">
        <v>449</v>
      </c>
      <c r="D146" s="69">
        <v>0</v>
      </c>
      <c r="E146" s="21" t="s">
        <v>450</v>
      </c>
      <c r="F146" s="68" t="s">
        <v>451</v>
      </c>
      <c r="G146" s="69">
        <v>797094</v>
      </c>
    </row>
    <row r="147" spans="2:7" ht="13.7" customHeight="1" x14ac:dyDescent="0.25">
      <c r="B147" s="6" t="s">
        <v>452</v>
      </c>
      <c r="C147" s="19" t="s">
        <v>453</v>
      </c>
      <c r="D147" s="71">
        <v>139</v>
      </c>
      <c r="E147" s="21" t="s">
        <v>454</v>
      </c>
      <c r="F147" s="68" t="s">
        <v>455</v>
      </c>
      <c r="G147" s="69">
        <v>0</v>
      </c>
    </row>
    <row r="148" spans="2:7" ht="13.7" customHeight="1" thickBot="1" x14ac:dyDescent="0.3">
      <c r="B148" s="6"/>
      <c r="C148" s="28" t="s">
        <v>456</v>
      </c>
      <c r="D148" s="37">
        <f>SUM(D144:D147)</f>
        <v>7195</v>
      </c>
      <c r="E148" s="21" t="s">
        <v>457</v>
      </c>
      <c r="F148" s="68" t="s">
        <v>458</v>
      </c>
      <c r="G148" s="69">
        <v>0</v>
      </c>
    </row>
    <row r="149" spans="2:7" ht="13.7" customHeight="1" x14ac:dyDescent="0.25">
      <c r="B149" s="6" t="s">
        <v>459</v>
      </c>
      <c r="C149" s="66" t="s">
        <v>460</v>
      </c>
      <c r="D149" s="67">
        <v>1875500</v>
      </c>
      <c r="E149" s="21" t="s">
        <v>461</v>
      </c>
      <c r="F149" s="68" t="s">
        <v>462</v>
      </c>
      <c r="G149" s="69">
        <v>0</v>
      </c>
    </row>
    <row r="150" spans="2:7" ht="13.7" customHeight="1" x14ac:dyDescent="0.25">
      <c r="B150" s="6" t="s">
        <v>463</v>
      </c>
      <c r="C150" s="68" t="s">
        <v>464</v>
      </c>
      <c r="D150" s="69">
        <v>0</v>
      </c>
      <c r="E150" s="21" t="s">
        <v>465</v>
      </c>
      <c r="F150" s="68" t="s">
        <v>466</v>
      </c>
      <c r="G150" s="69">
        <v>0</v>
      </c>
    </row>
    <row r="151" spans="2:7" ht="13.7" customHeight="1" x14ac:dyDescent="0.25">
      <c r="B151" s="6" t="s">
        <v>467</v>
      </c>
      <c r="C151" s="19" t="s">
        <v>468</v>
      </c>
      <c r="D151" s="71">
        <v>61757</v>
      </c>
      <c r="E151" s="21" t="s">
        <v>469</v>
      </c>
      <c r="F151" s="68" t="s">
        <v>470</v>
      </c>
      <c r="G151" s="69">
        <v>12588848</v>
      </c>
    </row>
    <row r="152" spans="2:7" ht="13.7" customHeight="1" thickBot="1" x14ac:dyDescent="0.3">
      <c r="B152" s="6"/>
      <c r="C152" s="28" t="s">
        <v>471</v>
      </c>
      <c r="D152" s="37">
        <f>SUM(D149:D151)</f>
        <v>1937257</v>
      </c>
      <c r="E152" s="21" t="s">
        <v>472</v>
      </c>
      <c r="F152" s="68" t="s">
        <v>473</v>
      </c>
      <c r="G152" s="69">
        <v>0</v>
      </c>
    </row>
    <row r="153" spans="2:7" ht="13.7" customHeight="1" thickBot="1" x14ac:dyDescent="0.3">
      <c r="B153" s="6"/>
      <c r="C153" s="48" t="s">
        <v>474</v>
      </c>
      <c r="D153" s="76">
        <f>D122+D126+D138+D142+D143+D148+D152</f>
        <v>95115307</v>
      </c>
      <c r="E153" s="21" t="s">
        <v>475</v>
      </c>
      <c r="F153" s="19" t="s">
        <v>476</v>
      </c>
      <c r="G153" s="20">
        <v>125148</v>
      </c>
    </row>
    <row r="154" spans="2:7" ht="13.7" customHeight="1" thickBot="1" x14ac:dyDescent="0.3">
      <c r="B154" s="6"/>
      <c r="E154" s="21"/>
      <c r="F154" s="28" t="s">
        <v>477</v>
      </c>
      <c r="G154" s="37">
        <f>SUM(G144:G153)</f>
        <v>15629001</v>
      </c>
    </row>
    <row r="155" spans="2:7" ht="13.7" customHeight="1" thickBot="1" x14ac:dyDescent="0.3">
      <c r="B155" s="6"/>
      <c r="C155" s="77" t="s">
        <v>478</v>
      </c>
      <c r="D155" s="65">
        <f>G109-D153</f>
        <v>45903891</v>
      </c>
      <c r="E155" s="21" t="s">
        <v>479</v>
      </c>
      <c r="F155" s="66" t="s">
        <v>480</v>
      </c>
      <c r="G155" s="67">
        <v>5544741</v>
      </c>
    </row>
    <row r="156" spans="2:7" ht="13.7" customHeight="1" x14ac:dyDescent="0.25">
      <c r="E156" s="21" t="s">
        <v>481</v>
      </c>
      <c r="F156" s="68" t="s">
        <v>482</v>
      </c>
      <c r="G156" s="69">
        <v>5248363</v>
      </c>
    </row>
    <row r="157" spans="2:7" ht="13.7" customHeight="1" x14ac:dyDescent="0.25">
      <c r="E157" s="21" t="s">
        <v>483</v>
      </c>
      <c r="F157" s="68" t="s">
        <v>484</v>
      </c>
      <c r="G157" s="69">
        <v>0</v>
      </c>
    </row>
    <row r="158" spans="2:7" ht="13.7" customHeight="1" x14ac:dyDescent="0.25">
      <c r="E158" s="21" t="s">
        <v>485</v>
      </c>
      <c r="F158" s="68" t="s">
        <v>486</v>
      </c>
      <c r="G158" s="69">
        <v>0</v>
      </c>
    </row>
    <row r="159" spans="2:7" ht="13.7" customHeight="1" x14ac:dyDescent="0.25">
      <c r="E159" s="21" t="s">
        <v>487</v>
      </c>
      <c r="F159" s="68" t="s">
        <v>488</v>
      </c>
      <c r="G159" s="69">
        <v>0</v>
      </c>
    </row>
    <row r="160" spans="2:7" ht="13.7" customHeight="1" x14ac:dyDescent="0.25">
      <c r="E160" s="21" t="s">
        <v>489</v>
      </c>
      <c r="F160" s="68" t="s">
        <v>490</v>
      </c>
      <c r="G160" s="69">
        <v>31258</v>
      </c>
    </row>
    <row r="161" spans="5:7" ht="13.7" customHeight="1" x14ac:dyDescent="0.25">
      <c r="E161" s="21" t="s">
        <v>491</v>
      </c>
      <c r="F161" s="68" t="s">
        <v>492</v>
      </c>
      <c r="G161" s="69">
        <v>2449738</v>
      </c>
    </row>
    <row r="162" spans="5:7" ht="13.7" customHeight="1" x14ac:dyDescent="0.25">
      <c r="E162" s="21" t="s">
        <v>493</v>
      </c>
      <c r="F162" s="68" t="s">
        <v>494</v>
      </c>
      <c r="G162" s="69">
        <v>0</v>
      </c>
    </row>
    <row r="163" spans="5:7" ht="13.7" customHeight="1" x14ac:dyDescent="0.25">
      <c r="E163" s="21" t="s">
        <v>495</v>
      </c>
      <c r="F163" s="68" t="s">
        <v>496</v>
      </c>
      <c r="G163" s="69">
        <v>0</v>
      </c>
    </row>
    <row r="164" spans="5:7" ht="13.7" customHeight="1" x14ac:dyDescent="0.25">
      <c r="E164" s="21" t="s">
        <v>497</v>
      </c>
      <c r="F164" s="68" t="s">
        <v>498</v>
      </c>
      <c r="G164" s="69">
        <v>0</v>
      </c>
    </row>
    <row r="165" spans="5:7" ht="13.7" customHeight="1" x14ac:dyDescent="0.25">
      <c r="E165" s="21" t="s">
        <v>499</v>
      </c>
      <c r="F165" s="68" t="s">
        <v>500</v>
      </c>
      <c r="G165" s="69">
        <v>0</v>
      </c>
    </row>
    <row r="166" spans="5:7" ht="13.7" customHeight="1" x14ac:dyDescent="0.25">
      <c r="E166" s="21" t="s">
        <v>501</v>
      </c>
      <c r="F166" s="68" t="s">
        <v>502</v>
      </c>
      <c r="G166" s="69">
        <v>762305</v>
      </c>
    </row>
    <row r="167" spans="5:7" ht="13.7" customHeight="1" x14ac:dyDescent="0.25">
      <c r="E167" s="21" t="s">
        <v>503</v>
      </c>
      <c r="F167" s="19" t="s">
        <v>504</v>
      </c>
      <c r="G167" s="20">
        <v>378193</v>
      </c>
    </row>
    <row r="168" spans="5:7" ht="13.7" customHeight="1" thickBot="1" x14ac:dyDescent="0.3">
      <c r="E168" s="21"/>
      <c r="F168" s="28" t="s">
        <v>505</v>
      </c>
      <c r="G168" s="37">
        <f>SUM(G155:G167)</f>
        <v>14414598</v>
      </c>
    </row>
    <row r="169" spans="5:7" ht="13.7" customHeight="1" thickBot="1" x14ac:dyDescent="0.3">
      <c r="E169" s="21"/>
      <c r="F169" s="48" t="s">
        <v>506</v>
      </c>
      <c r="G169" s="72">
        <f>G154-G168</f>
        <v>1214403</v>
      </c>
    </row>
    <row r="170" spans="5:7" ht="13.7" customHeight="1" thickBot="1" x14ac:dyDescent="0.3">
      <c r="E170" s="21"/>
      <c r="F170" s="78"/>
      <c r="G170" s="78"/>
    </row>
    <row r="171" spans="5:7" ht="13.7" customHeight="1" thickBot="1" x14ac:dyDescent="0.3">
      <c r="E171" s="21"/>
      <c r="F171" s="77" t="s">
        <v>507</v>
      </c>
      <c r="G171" s="79"/>
    </row>
    <row r="172" spans="5:7" ht="13.7" customHeight="1" thickBot="1" x14ac:dyDescent="0.3">
      <c r="E172" s="21"/>
      <c r="F172" s="80"/>
      <c r="G172" s="81">
        <f>+D155+G140+G169</f>
        <v>50765296</v>
      </c>
    </row>
    <row r="173" spans="5:7" ht="13.7" customHeight="1" thickBot="1" x14ac:dyDescent="0.3">
      <c r="E173" s="21"/>
      <c r="F173" s="5"/>
      <c r="G173" s="5"/>
    </row>
    <row r="174" spans="5:7" ht="13.7" customHeight="1" thickBot="1" x14ac:dyDescent="0.3">
      <c r="E174" s="21"/>
      <c r="F174" s="48" t="s">
        <v>508</v>
      </c>
      <c r="G174" s="17">
        <f>+G143</f>
        <v>2020</v>
      </c>
    </row>
    <row r="175" spans="5:7" ht="13.7" customHeight="1" x14ac:dyDescent="0.25">
      <c r="E175" s="21"/>
      <c r="F175" s="66" t="s">
        <v>509</v>
      </c>
      <c r="G175" s="67">
        <v>3613683</v>
      </c>
    </row>
    <row r="176" spans="5:7" ht="13.7" customHeight="1" x14ac:dyDescent="0.25">
      <c r="E176" s="21"/>
      <c r="F176" s="68" t="s">
        <v>510</v>
      </c>
      <c r="G176" s="69"/>
    </row>
    <row r="177" spans="1:8" ht="13.7" customHeight="1" thickBot="1" x14ac:dyDescent="0.3">
      <c r="F177" s="68" t="s">
        <v>511</v>
      </c>
      <c r="G177" s="69"/>
    </row>
    <row r="178" spans="1:8" ht="13.7" customHeight="1" thickBot="1" x14ac:dyDescent="0.3">
      <c r="F178" s="48" t="s">
        <v>512</v>
      </c>
      <c r="G178" s="72">
        <f>SUM(G175:G177)</f>
        <v>3613683</v>
      </c>
    </row>
    <row r="179" spans="1:8" ht="13.7" customHeight="1" thickBot="1" x14ac:dyDescent="0.3"/>
    <row r="180" spans="1:8" ht="13.7" customHeight="1" thickBot="1" x14ac:dyDescent="0.3">
      <c r="F180" s="77" t="s">
        <v>513</v>
      </c>
      <c r="G180" s="79"/>
    </row>
    <row r="181" spans="1:8" ht="13.7" customHeight="1" thickBot="1" x14ac:dyDescent="0.3">
      <c r="F181" s="83"/>
      <c r="G181" s="81">
        <f>+G172+G178</f>
        <v>54378979</v>
      </c>
    </row>
    <row r="182" spans="1:8" ht="13.7" customHeight="1" x14ac:dyDescent="0.25"/>
    <row r="183" spans="1:8" ht="13.5" customHeight="1" x14ac:dyDescent="0.25"/>
    <row r="184" spans="1:8" ht="13.7" customHeight="1" x14ac:dyDescent="0.25">
      <c r="E184" s="84"/>
      <c r="F184" s="84"/>
      <c r="G184" s="84"/>
      <c r="H184" s="84"/>
    </row>
    <row r="185" spans="1:8" s="84" customFormat="1" ht="13.7" customHeight="1" x14ac:dyDescent="0.25">
      <c r="A185" s="85"/>
      <c r="E185" s="82"/>
      <c r="F185" s="86"/>
      <c r="G185" s="86"/>
    </row>
    <row r="186" spans="1:8" s="84" customFormat="1" ht="12.75" x14ac:dyDescent="0.25">
      <c r="A186" s="85"/>
      <c r="E186" s="82"/>
      <c r="F186" s="86"/>
      <c r="G186" s="86"/>
    </row>
    <row r="187" spans="1:8" s="84" customFormat="1" ht="12.75" hidden="1" x14ac:dyDescent="0.25">
      <c r="A187" s="85"/>
      <c r="E187" s="82"/>
      <c r="F187" s="86"/>
      <c r="G187" s="86"/>
    </row>
    <row r="188" spans="1:8" s="84" customFormat="1" ht="12.75" hidden="1" x14ac:dyDescent="0.25">
      <c r="A188" s="85"/>
      <c r="E188" s="82"/>
      <c r="F188" s="86"/>
      <c r="G188" s="86"/>
    </row>
    <row r="189" spans="1:8" s="84" customFormat="1" ht="12.75" hidden="1" x14ac:dyDescent="0.25">
      <c r="A189" s="85"/>
      <c r="E189" s="82"/>
      <c r="F189" s="86"/>
      <c r="G189" s="86"/>
    </row>
    <row r="190" spans="1:8" s="84" customFormat="1" ht="12.75" hidden="1" x14ac:dyDescent="0.25">
      <c r="A190" s="85"/>
      <c r="E190" s="82"/>
      <c r="F190" s="86"/>
      <c r="G190" s="86"/>
    </row>
    <row r="191" spans="1:8" s="84" customFormat="1" ht="12.75" hidden="1" x14ac:dyDescent="0.25">
      <c r="A191" s="85"/>
      <c r="E191" s="82"/>
      <c r="F191" s="86"/>
      <c r="G191" s="86"/>
    </row>
    <row r="192" spans="1:8" s="84" customFormat="1" ht="12.75" hidden="1" x14ac:dyDescent="0.25">
      <c r="A192" s="85"/>
      <c r="E192" s="82"/>
      <c r="F192" s="86"/>
      <c r="G192" s="86"/>
    </row>
    <row r="193" spans="5:7" s="84" customFormat="1" ht="12.75" hidden="1" x14ac:dyDescent="0.25">
      <c r="E193" s="82"/>
      <c r="F193" s="86"/>
      <c r="G193" s="86"/>
    </row>
    <row r="194" spans="5:7" s="84" customFormat="1" ht="12.75" hidden="1" x14ac:dyDescent="0.25">
      <c r="E194" s="82"/>
      <c r="F194" s="86"/>
      <c r="G194" s="86"/>
    </row>
    <row r="195" spans="5:7" s="84" customFormat="1" ht="12.75" hidden="1" x14ac:dyDescent="0.25">
      <c r="E195" s="82"/>
      <c r="F195" s="86"/>
      <c r="G195" s="86"/>
    </row>
    <row r="196" spans="5:7" s="84" customFormat="1" ht="12.75" hidden="1" x14ac:dyDescent="0.25">
      <c r="E196" s="82"/>
      <c r="F196" s="86"/>
      <c r="G196" s="86"/>
    </row>
    <row r="197" spans="5:7" s="84" customFormat="1" ht="12.75" hidden="1" x14ac:dyDescent="0.25">
      <c r="E197" s="82"/>
      <c r="F197" s="86"/>
      <c r="G197" s="86"/>
    </row>
    <row r="198" spans="5:7" s="84" customFormat="1" ht="12.75" hidden="1" x14ac:dyDescent="0.25">
      <c r="E198" s="82"/>
      <c r="F198" s="86"/>
      <c r="G198" s="86"/>
    </row>
    <row r="199" spans="5:7" s="84" customFormat="1" ht="12.75" hidden="1" x14ac:dyDescent="0.25">
      <c r="E199" s="82"/>
      <c r="F199" s="86"/>
      <c r="G199" s="86"/>
    </row>
    <row r="200" spans="5:7" s="84" customFormat="1" ht="12.75" hidden="1" x14ac:dyDescent="0.25">
      <c r="E200" s="82"/>
      <c r="F200" s="86"/>
      <c r="G200" s="86"/>
    </row>
    <row r="201" spans="5:7" s="84" customFormat="1" ht="12.75" hidden="1" x14ac:dyDescent="0.25">
      <c r="E201" s="82"/>
      <c r="F201" s="86"/>
      <c r="G201" s="86"/>
    </row>
    <row r="202" spans="5:7" s="84" customFormat="1" ht="12.75" hidden="1" x14ac:dyDescent="0.25">
      <c r="E202" s="82"/>
      <c r="F202" s="86"/>
      <c r="G202" s="86"/>
    </row>
    <row r="203" spans="5:7" s="84" customFormat="1" ht="12.75" hidden="1" x14ac:dyDescent="0.25">
      <c r="E203" s="82"/>
      <c r="F203" s="86"/>
      <c r="G203" s="86"/>
    </row>
    <row r="204" spans="5:7" s="84" customFormat="1" ht="12.75" hidden="1" x14ac:dyDescent="0.25">
      <c r="E204" s="82"/>
      <c r="F204" s="86"/>
      <c r="G204" s="86"/>
    </row>
    <row r="205" spans="5:7" s="84" customFormat="1" ht="12.75" hidden="1" x14ac:dyDescent="0.25">
      <c r="E205" s="82"/>
      <c r="F205" s="86"/>
      <c r="G205" s="86"/>
    </row>
    <row r="206" spans="5:7" s="84" customFormat="1" ht="12.75" hidden="1" x14ac:dyDescent="0.25">
      <c r="E206" s="82"/>
      <c r="F206" s="86"/>
      <c r="G206" s="86"/>
    </row>
    <row r="207" spans="5:7" s="84" customFormat="1" ht="12.75" hidden="1" x14ac:dyDescent="0.25">
      <c r="E207" s="82"/>
      <c r="F207" s="86"/>
      <c r="G207" s="86"/>
    </row>
    <row r="208" spans="5:7" s="84" customFormat="1" ht="12.75" hidden="1" x14ac:dyDescent="0.25">
      <c r="E208" s="82"/>
      <c r="F208" s="86"/>
      <c r="G208" s="86"/>
    </row>
    <row r="209" spans="3:8" s="84" customFormat="1" ht="12.75" hidden="1" x14ac:dyDescent="0.25">
      <c r="E209" s="82"/>
      <c r="F209" s="86"/>
      <c r="G209" s="86"/>
    </row>
    <row r="210" spans="3:8" s="84" customFormat="1" ht="12.75" hidden="1" x14ac:dyDescent="0.25">
      <c r="E210" s="82"/>
      <c r="F210" s="86"/>
      <c r="G210" s="86"/>
    </row>
    <row r="211" spans="3:8" s="84" customFormat="1" ht="12.75" hidden="1" x14ac:dyDescent="0.25">
      <c r="E211" s="82"/>
      <c r="F211" s="86"/>
      <c r="G211" s="86"/>
    </row>
    <row r="212" spans="3:8" s="84" customFormat="1" ht="12.75" hidden="1" x14ac:dyDescent="0.25">
      <c r="E212" s="82"/>
      <c r="F212" s="86"/>
      <c r="G212" s="86"/>
    </row>
    <row r="213" spans="3:8" s="84" customFormat="1" ht="12.75" hidden="1" x14ac:dyDescent="0.25">
      <c r="E213" s="82"/>
      <c r="F213" s="86"/>
      <c r="G213" s="86"/>
    </row>
    <row r="214" spans="3:8" s="84" customFormat="1" hidden="1" x14ac:dyDescent="0.25">
      <c r="E214" s="82"/>
      <c r="F214" s="87"/>
      <c r="G214" s="58"/>
      <c r="H214" s="5"/>
    </row>
    <row r="215" spans="3:8" hidden="1" x14ac:dyDescent="0.25">
      <c r="C215" s="86"/>
      <c r="D215" s="86"/>
      <c r="F215" s="87"/>
    </row>
    <row r="216" spans="3:8" hidden="1" x14ac:dyDescent="0.25"/>
    <row r="217" spans="3:8" hidden="1" x14ac:dyDescent="0.25"/>
    <row r="218" spans="3:8" hidden="1" x14ac:dyDescent="0.25"/>
    <row r="219" spans="3:8" hidden="1" x14ac:dyDescent="0.25"/>
    <row r="220" spans="3:8" hidden="1" x14ac:dyDescent="0.25"/>
    <row r="221" spans="3:8" hidden="1" x14ac:dyDescent="0.25"/>
    <row r="222" spans="3:8" hidden="1" x14ac:dyDescent="0.25"/>
    <row r="223" spans="3:8" hidden="1" x14ac:dyDescent="0.25"/>
    <row r="224" spans="3:8"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sheetData>
  <mergeCells count="6">
    <mergeCell ref="C1:D1"/>
    <mergeCell ref="E1:F1"/>
    <mergeCell ref="C2:D2"/>
    <mergeCell ref="E2:F2"/>
    <mergeCell ref="C3:D3"/>
    <mergeCell ref="E3:F3"/>
  </mergeCells>
  <conditionalFormatting sqref="D7:D12">
    <cfRule type="cellIs" dxfId="47" priority="2" stopIfTrue="1" operator="greaterThan">
      <formula>50</formula>
    </cfRule>
    <cfRule type="cellIs" dxfId="46" priority="11" stopIfTrue="1" operator="equal">
      <formula>0</formula>
    </cfRule>
  </conditionalFormatting>
  <conditionalFormatting sqref="D7:D61">
    <cfRule type="cellIs" dxfId="45" priority="9" stopIfTrue="1" operator="between">
      <formula>-0.1</formula>
      <formula>-50</formula>
    </cfRule>
    <cfRule type="cellIs" dxfId="44" priority="10" stopIfTrue="1" operator="between">
      <formula>0.1</formula>
      <formula>50</formula>
    </cfRule>
  </conditionalFormatting>
  <conditionalFormatting sqref="G152:G181 G7:G150">
    <cfRule type="cellIs" dxfId="43" priority="7" stopIfTrue="1" operator="between">
      <formula>-0.1</formula>
      <formula>-50</formula>
    </cfRule>
    <cfRule type="cellIs" dxfId="42" priority="8" stopIfTrue="1" operator="between">
      <formula>0.1</formula>
      <formula>50</formula>
    </cfRule>
  </conditionalFormatting>
  <conditionalFormatting sqref="D111:D155">
    <cfRule type="cellIs" dxfId="41" priority="5" stopIfTrue="1" operator="between">
      <formula>-0.1</formula>
      <formula>-50</formula>
    </cfRule>
    <cfRule type="cellIs" dxfId="40" priority="6" stopIfTrue="1" operator="between">
      <formula>0.1</formula>
      <formula>50</formula>
    </cfRule>
  </conditionalFormatting>
  <conditionalFormatting sqref="G165">
    <cfRule type="expression" dxfId="39" priority="4" stopIfTrue="1">
      <formula>AND($G$165&gt;0,$G$151&gt;0)</formula>
    </cfRule>
  </conditionalFormatting>
  <conditionalFormatting sqref="G151">
    <cfRule type="expression" dxfId="38" priority="1" stopIfTrue="1">
      <formula>AND($G$151&gt;0,$G$165&gt;0)</formula>
    </cfRule>
  </conditionalFormatting>
  <dataValidations count="11">
    <dataValidation type="custom" operator="greaterThan" showInputMessage="1" showErrorMessage="1" errorTitle="RDM" error="No se admite ingresar RDM como ingresos y egresos a la vez. Tampoco se admiten valores menores a $50._x000a_" sqref="G151">
      <formula1>AND(OR(G151=0, G151&gt;50),G165=0)</formula1>
    </dataValidation>
    <dataValidation type="whole" operator="greaterThan" allowBlank="1" showInputMessage="1" showErrorMessage="1" sqref="D8:D12">
      <formula1>50</formula1>
    </dataValidation>
    <dataValidation type="whole" operator="greaterThan" showInputMessage="1" showErrorMessage="1" errorTitle="eee" error="Valores mayores a $50" sqref="D7">
      <formula1>50</formula1>
    </dataValidation>
    <dataValidation type="custom" operator="greaterThan" showInputMessage="1" showErrorMessage="1" errorTitle="eee" sqref="D56">
      <formula1>OR(D56=0, D56&lt;50)</formula1>
    </dataValidation>
    <dataValidation type="custom" operator="greaterThan" showInputMessage="1" showErrorMessage="1" errorTitle="eee" sqref="D57:D61">
      <formula1>OR(D57=0, D57&lt;0)</formula1>
    </dataValidation>
    <dataValidation type="custom" operator="greaterThan" showInputMessage="1" showErrorMessage="1" errorTitle="eee" sqref="G7:G140 D62:D155 G152:G164 G166:G181 G144:G150 D13:D55">
      <formula1>OR(D7=0, D7&gt;50)</formula1>
    </dataValidation>
    <dataValidation type="whole" allowBlank="1" showErrorMessage="1" errorTitle="Error de datos" error="Debe ingresar un valor entre 1 y 12" sqref="G1:G3">
      <formula1>1</formula1>
      <formula2>12</formula2>
    </dataValidation>
    <dataValidation allowBlank="1" errorTitle="Error de datos" error="Debe introducir una fecha válida" sqref="E3"/>
    <dataValidation allowBlank="1" sqref="G204"/>
    <dataValidation operator="greaterThanOrEqual" allowBlank="1" errorTitle="Error de datos" error="Debe ingresar un valor entero positivo" sqref="F6:F107 F203 C13:C47 C106:C153 F171 F174:F178 F180 F111:F119 C7:C10 F121:F140 F143:F169 C49:C62 C155 F109"/>
    <dataValidation type="custom" operator="greaterThan" showInputMessage="1" showErrorMessage="1" errorTitle="rdm2" error="No se admite ingresar a la vez RDM como ingresos y como egresos. Tampoco se admiten valores negattivos o positivos menores de 50" sqref="G165">
      <formula1>AND(OR(G165=0, G165&gt;50),G151=0)</formula1>
    </dataValidation>
  </dataValidations>
  <pageMargins left="0.7" right="0.7" top="0.75" bottom="0.75" header="0.3" footer="0.3"/>
  <ignoredErrors>
    <ignoredError sqref="E7:E181" numberStoredAsText="1"/>
    <ignoredError sqref="G40" formulaRange="1"/>
  </ignoredErrors>
  <legacyDrawing r:id="rId1"/>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26"/>
  <sheetViews>
    <sheetView showGridLines="0" workbookViewId="0">
      <selection activeCell="F4" sqref="F4"/>
    </sheetView>
  </sheetViews>
  <sheetFormatPr baseColWidth="10" defaultColWidth="0" defaultRowHeight="15" zeroHeight="1" x14ac:dyDescent="0.25"/>
  <cols>
    <col min="1" max="1" width="3.7109375" style="1" customWidth="1"/>
    <col min="2" max="2" width="14.28515625" style="7" hidden="1" customWidth="1"/>
    <col min="3" max="3" width="58.5703125" style="58" customWidth="1"/>
    <col min="4" max="4" width="25.140625" style="58" customWidth="1"/>
    <col min="5" max="5" width="4.42578125" style="82" customWidth="1"/>
    <col min="6" max="6" width="57.28515625" style="58" customWidth="1"/>
    <col min="7" max="7" width="24.7109375" style="58" customWidth="1"/>
    <col min="8" max="8" width="5.42578125" style="5" customWidth="1"/>
    <col min="9" max="16384" width="0" style="5" hidden="1"/>
  </cols>
  <sheetData>
    <row r="1" spans="1:9" ht="15.75" x14ac:dyDescent="0.25">
      <c r="B1" s="2"/>
      <c r="C1" s="313" t="s">
        <v>0</v>
      </c>
      <c r="D1" s="314"/>
      <c r="E1" s="315" t="str">
        <f>[35]Presentacion!C2</f>
        <v>COMTA</v>
      </c>
      <c r="F1" s="315"/>
      <c r="G1" s="3"/>
      <c r="H1" s="4"/>
    </row>
    <row r="2" spans="1:9" ht="15.75" x14ac:dyDescent="0.25">
      <c r="B2" s="6"/>
      <c r="C2" s="313" t="s">
        <v>1</v>
      </c>
      <c r="D2" s="314"/>
      <c r="E2" s="315" t="str">
        <f>[35]Presentacion!C3</f>
        <v>Tacuarembo</v>
      </c>
      <c r="F2" s="315"/>
      <c r="G2" s="3"/>
      <c r="H2" s="4"/>
    </row>
    <row r="3" spans="1:9" ht="15.75" x14ac:dyDescent="0.25">
      <c r="B3" s="6"/>
      <c r="C3" s="313" t="s">
        <v>2</v>
      </c>
      <c r="D3" s="316"/>
      <c r="E3" s="317" t="s">
        <v>3</v>
      </c>
      <c r="F3" s="317"/>
      <c r="G3" s="3"/>
      <c r="H3" s="4"/>
    </row>
    <row r="4" spans="1:9" ht="15.75" thickBot="1" x14ac:dyDescent="0.3">
      <c r="C4" s="287"/>
      <c r="D4" s="8"/>
      <c r="E4" s="9"/>
      <c r="F4" s="10"/>
      <c r="G4" s="11"/>
    </row>
    <row r="5" spans="1:9" ht="16.5" thickBot="1" x14ac:dyDescent="0.3">
      <c r="B5" s="12"/>
      <c r="C5" s="13" t="s">
        <v>4</v>
      </c>
      <c r="D5" s="284" t="s">
        <v>5</v>
      </c>
      <c r="E5" s="14"/>
      <c r="F5" s="13" t="s">
        <v>6</v>
      </c>
      <c r="G5" s="284" t="s">
        <v>5</v>
      </c>
      <c r="I5" s="15"/>
    </row>
    <row r="6" spans="1:9" ht="16.5" thickBot="1" x14ac:dyDescent="0.3">
      <c r="B6" s="12"/>
      <c r="C6" s="16" t="s">
        <v>7</v>
      </c>
      <c r="D6" s="290">
        <f>+[35]E.S.P.!D6</f>
        <v>2020</v>
      </c>
      <c r="E6" s="18"/>
      <c r="F6" s="16" t="s">
        <v>8</v>
      </c>
      <c r="G6" s="290">
        <f>+D6</f>
        <v>2020</v>
      </c>
      <c r="H6" s="15"/>
    </row>
    <row r="7" spans="1:9" x14ac:dyDescent="0.25">
      <c r="B7" s="6" t="s">
        <v>9</v>
      </c>
      <c r="C7" s="19" t="s">
        <v>10</v>
      </c>
      <c r="D7" s="20">
        <f>20495941+3893346+4664586</f>
        <v>29053873</v>
      </c>
      <c r="E7" s="21" t="s">
        <v>11</v>
      </c>
      <c r="F7" s="22" t="s">
        <v>12</v>
      </c>
      <c r="G7" s="23">
        <f>2447805.22+70947+440.3+524184+3239240</f>
        <v>6282616.5199999996</v>
      </c>
    </row>
    <row r="8" spans="1:9" x14ac:dyDescent="0.25">
      <c r="B8" s="6" t="s">
        <v>13</v>
      </c>
      <c r="C8" s="19" t="s">
        <v>14</v>
      </c>
      <c r="D8" s="20">
        <f>43994461+8666013</f>
        <v>52660474</v>
      </c>
      <c r="E8" s="21" t="s">
        <v>15</v>
      </c>
      <c r="F8" s="19" t="s">
        <v>16</v>
      </c>
      <c r="G8" s="24">
        <f>39942219+15026941+11437775+9255660</f>
        <v>75662595</v>
      </c>
    </row>
    <row r="9" spans="1:9" x14ac:dyDescent="0.25">
      <c r="B9" s="6" t="s">
        <v>17</v>
      </c>
      <c r="C9" s="19" t="s">
        <v>18</v>
      </c>
      <c r="D9" s="20">
        <f>867936288+138481211</f>
        <v>1006417499</v>
      </c>
      <c r="E9" s="21" t="s">
        <v>19</v>
      </c>
      <c r="F9" s="19" t="s">
        <v>20</v>
      </c>
      <c r="G9" s="20"/>
    </row>
    <row r="10" spans="1:9" x14ac:dyDescent="0.25">
      <c r="B10" s="6" t="s">
        <v>21</v>
      </c>
      <c r="C10" s="19" t="s">
        <v>22</v>
      </c>
      <c r="D10" s="20">
        <f>91672876+12993793</f>
        <v>104666669</v>
      </c>
      <c r="E10" s="21" t="s">
        <v>23</v>
      </c>
      <c r="F10" s="19" t="s">
        <v>24</v>
      </c>
      <c r="G10" s="20">
        <f>65747905+152417674+45395070+31743721</f>
        <v>295304370</v>
      </c>
    </row>
    <row r="11" spans="1:9" x14ac:dyDescent="0.25">
      <c r="B11" s="6" t="s">
        <v>25</v>
      </c>
      <c r="C11" s="19" t="s">
        <v>26</v>
      </c>
      <c r="D11" s="20">
        <f>19477794+3217416</f>
        <v>22695210</v>
      </c>
      <c r="E11" s="21" t="s">
        <v>27</v>
      </c>
      <c r="F11" s="19" t="s">
        <v>28</v>
      </c>
      <c r="G11" s="20"/>
    </row>
    <row r="12" spans="1:9" x14ac:dyDescent="0.25">
      <c r="B12" s="6" t="s">
        <v>29</v>
      </c>
      <c r="C12" s="19" t="s">
        <v>30</v>
      </c>
      <c r="D12" s="20">
        <f>21130870+4449202</f>
        <v>25580072</v>
      </c>
      <c r="E12" s="21" t="s">
        <v>31</v>
      </c>
      <c r="F12" s="19" t="s">
        <v>32</v>
      </c>
      <c r="G12" s="20">
        <f>39631372.16+8246346+10188791</f>
        <v>58066509.159999996</v>
      </c>
    </row>
    <row r="13" spans="1:9" x14ac:dyDescent="0.25">
      <c r="B13" s="6" t="s">
        <v>33</v>
      </c>
      <c r="C13" s="19" t="s">
        <v>34</v>
      </c>
      <c r="D13" s="20">
        <f>3889780+38691</f>
        <v>3928471</v>
      </c>
      <c r="E13" s="21" t="s">
        <v>35</v>
      </c>
      <c r="F13" s="19" t="s">
        <v>36</v>
      </c>
      <c r="G13" s="20"/>
    </row>
    <row r="14" spans="1:9" x14ac:dyDescent="0.25">
      <c r="A14" s="25"/>
      <c r="B14" s="6" t="s">
        <v>37</v>
      </c>
      <c r="C14" s="19" t="s">
        <v>38</v>
      </c>
      <c r="D14" s="20">
        <v>10842292</v>
      </c>
      <c r="E14" s="21" t="s">
        <v>39</v>
      </c>
      <c r="F14" s="19" t="s">
        <v>40</v>
      </c>
      <c r="G14" s="20">
        <f>147468874.01+30684767+17504771</f>
        <v>195658412.00999999</v>
      </c>
    </row>
    <row r="15" spans="1:9" x14ac:dyDescent="0.25">
      <c r="B15" s="6" t="s">
        <v>41</v>
      </c>
      <c r="C15" s="26" t="s">
        <v>42</v>
      </c>
      <c r="D15" s="20"/>
      <c r="E15" s="21" t="s">
        <v>43</v>
      </c>
      <c r="F15" s="19" t="s">
        <v>44</v>
      </c>
      <c r="G15" s="20">
        <f>27259728+5672101+2371776</f>
        <v>35303605</v>
      </c>
    </row>
    <row r="16" spans="1:9" x14ac:dyDescent="0.25">
      <c r="B16" s="6" t="s">
        <v>45</v>
      </c>
      <c r="C16" s="19" t="s">
        <v>46</v>
      </c>
      <c r="D16" s="20"/>
      <c r="E16" s="21" t="s">
        <v>47</v>
      </c>
      <c r="F16" s="19" t="s">
        <v>48</v>
      </c>
      <c r="G16" s="20">
        <f>48335183+10057402+4230645</f>
        <v>62623230</v>
      </c>
    </row>
    <row r="17" spans="1:7" x14ac:dyDescent="0.25">
      <c r="B17" s="6" t="s">
        <v>49</v>
      </c>
      <c r="C17" s="19" t="s">
        <v>50</v>
      </c>
      <c r="D17" s="20"/>
      <c r="E17" s="21" t="s">
        <v>51</v>
      </c>
      <c r="F17" s="19" t="s">
        <v>52</v>
      </c>
      <c r="G17" s="20"/>
    </row>
    <row r="18" spans="1:7" x14ac:dyDescent="0.25">
      <c r="A18" s="25"/>
      <c r="B18" s="6" t="s">
        <v>53</v>
      </c>
      <c r="C18" s="19" t="s">
        <v>54</v>
      </c>
      <c r="D18" s="20">
        <v>76441</v>
      </c>
      <c r="E18" s="21" t="s">
        <v>55</v>
      </c>
      <c r="F18" s="19" t="s">
        <v>56</v>
      </c>
      <c r="G18" s="27">
        <f>26920830+3250807</f>
        <v>30171637</v>
      </c>
    </row>
    <row r="19" spans="1:7" ht="15.75" thickBot="1" x14ac:dyDescent="0.3">
      <c r="A19" s="25"/>
      <c r="B19" s="6" t="s">
        <v>57</v>
      </c>
      <c r="C19" s="19" t="s">
        <v>58</v>
      </c>
      <c r="D19" s="20">
        <f>44842762+7140797</f>
        <v>51983559</v>
      </c>
      <c r="E19" s="21"/>
      <c r="F19" s="28" t="s">
        <v>59</v>
      </c>
      <c r="G19" s="29">
        <f>SUM(G7:G18)</f>
        <v>759072974.68999994</v>
      </c>
    </row>
    <row r="20" spans="1:7" ht="15.75" thickBot="1" x14ac:dyDescent="0.3">
      <c r="B20" s="6"/>
      <c r="C20" s="28" t="s">
        <v>60</v>
      </c>
      <c r="D20" s="29">
        <f>SUM(D7:D19)</f>
        <v>1307904560</v>
      </c>
      <c r="E20" s="21" t="s">
        <v>61</v>
      </c>
      <c r="F20" s="22" t="s">
        <v>62</v>
      </c>
      <c r="G20" s="23"/>
    </row>
    <row r="21" spans="1:7" x14ac:dyDescent="0.25">
      <c r="B21" s="6"/>
      <c r="C21" s="30" t="s">
        <v>63</v>
      </c>
      <c r="D21" s="31">
        <f>SUM(D22:D28)</f>
        <v>12912383</v>
      </c>
      <c r="E21" s="21" t="s">
        <v>64</v>
      </c>
      <c r="F21" s="19" t="s">
        <v>65</v>
      </c>
      <c r="G21" s="20">
        <f>22828908.27+2487006</f>
        <v>25315914.27</v>
      </c>
    </row>
    <row r="22" spans="1:7" x14ac:dyDescent="0.25">
      <c r="B22" s="6" t="s">
        <v>66</v>
      </c>
      <c r="C22" s="19" t="s">
        <v>67</v>
      </c>
      <c r="D22" s="20">
        <f>5495052+913176</f>
        <v>6408228</v>
      </c>
      <c r="E22" s="21" t="s">
        <v>68</v>
      </c>
      <c r="F22" s="19" t="s">
        <v>69</v>
      </c>
      <c r="G22" s="20"/>
    </row>
    <row r="23" spans="1:7" x14ac:dyDescent="0.25">
      <c r="B23" s="6" t="s">
        <v>70</v>
      </c>
      <c r="C23" s="19" t="s">
        <v>71</v>
      </c>
      <c r="D23" s="20">
        <v>83602</v>
      </c>
      <c r="E23" s="21" t="s">
        <v>72</v>
      </c>
      <c r="F23" s="19" t="s">
        <v>73</v>
      </c>
      <c r="G23" s="20">
        <f>12426665+1797929</f>
        <v>14224594</v>
      </c>
    </row>
    <row r="24" spans="1:7" x14ac:dyDescent="0.25">
      <c r="B24" s="6" t="s">
        <v>74</v>
      </c>
      <c r="C24" s="19" t="s">
        <v>75</v>
      </c>
      <c r="D24" s="20">
        <f>3245750+535957</f>
        <v>3781707</v>
      </c>
      <c r="E24" s="21" t="s">
        <v>76</v>
      </c>
      <c r="F24" s="19" t="s">
        <v>77</v>
      </c>
      <c r="G24" s="20"/>
    </row>
    <row r="25" spans="1:7" x14ac:dyDescent="0.25">
      <c r="B25" s="6" t="s">
        <v>78</v>
      </c>
      <c r="C25" s="19" t="s">
        <v>79</v>
      </c>
      <c r="D25" s="20">
        <f>884433+77824</f>
        <v>962257</v>
      </c>
      <c r="E25" s="21" t="s">
        <v>80</v>
      </c>
      <c r="F25" s="19" t="s">
        <v>81</v>
      </c>
      <c r="G25" s="20">
        <f>5069933.42+639022</f>
        <v>5708955.4199999999</v>
      </c>
    </row>
    <row r="26" spans="1:7" x14ac:dyDescent="0.25">
      <c r="B26" s="6" t="s">
        <v>82</v>
      </c>
      <c r="C26" s="19" t="s">
        <v>83</v>
      </c>
      <c r="D26" s="20">
        <f>454252+251576</f>
        <v>705828</v>
      </c>
      <c r="E26" s="21" t="s">
        <v>84</v>
      </c>
      <c r="F26" s="19" t="s">
        <v>85</v>
      </c>
      <c r="G26" s="27">
        <f>1669206+203819</f>
        <v>1873025</v>
      </c>
    </row>
    <row r="27" spans="1:7" ht="15.75" thickBot="1" x14ac:dyDescent="0.3">
      <c r="B27" s="6" t="s">
        <v>86</v>
      </c>
      <c r="C27" s="19" t="s">
        <v>87</v>
      </c>
      <c r="D27" s="20">
        <f>15568+68159</f>
        <v>83727</v>
      </c>
      <c r="E27" s="21"/>
      <c r="F27" s="28" t="s">
        <v>88</v>
      </c>
      <c r="G27" s="29">
        <f>SUM(G20:G26)</f>
        <v>47122488.689999998</v>
      </c>
    </row>
    <row r="28" spans="1:7" x14ac:dyDescent="0.25">
      <c r="B28" s="6" t="s">
        <v>89</v>
      </c>
      <c r="C28" s="19" t="s">
        <v>90</v>
      </c>
      <c r="D28" s="20">
        <f>421328+465706</f>
        <v>887034</v>
      </c>
      <c r="E28" s="21" t="s">
        <v>91</v>
      </c>
      <c r="F28" s="22" t="s">
        <v>92</v>
      </c>
      <c r="G28" s="23">
        <f>36025926+7661459-168984</f>
        <v>43518401</v>
      </c>
    </row>
    <row r="29" spans="1:7" x14ac:dyDescent="0.25">
      <c r="B29" s="6"/>
      <c r="C29" s="32" t="s">
        <v>93</v>
      </c>
      <c r="D29" s="31">
        <f>SUM(D30:D34)</f>
        <v>74788584</v>
      </c>
      <c r="E29" s="21" t="s">
        <v>94</v>
      </c>
      <c r="F29" s="19" t="s">
        <v>95</v>
      </c>
      <c r="G29" s="20">
        <f>18481250+8688535-149359</f>
        <v>27020426</v>
      </c>
    </row>
    <row r="30" spans="1:7" x14ac:dyDescent="0.25">
      <c r="B30" s="6" t="s">
        <v>96</v>
      </c>
      <c r="C30" s="19" t="s">
        <v>97</v>
      </c>
      <c r="D30" s="20">
        <f>51293579+9857530</f>
        <v>61151109</v>
      </c>
      <c r="E30" s="21" t="s">
        <v>98</v>
      </c>
      <c r="F30" s="19" t="s">
        <v>99</v>
      </c>
      <c r="G30" s="20">
        <f>7360821+1851286</f>
        <v>9212107</v>
      </c>
    </row>
    <row r="31" spans="1:7" x14ac:dyDescent="0.25">
      <c r="B31" s="6" t="s">
        <v>100</v>
      </c>
      <c r="C31" s="19" t="s">
        <v>101</v>
      </c>
      <c r="D31" s="20">
        <f>5442169+738101</f>
        <v>6180270</v>
      </c>
      <c r="E31" s="21" t="s">
        <v>102</v>
      </c>
      <c r="F31" s="19" t="s">
        <v>103</v>
      </c>
      <c r="G31" s="27">
        <f>2560921+753411</f>
        <v>3314332</v>
      </c>
    </row>
    <row r="32" spans="1:7" ht="15.75" thickBot="1" x14ac:dyDescent="0.3">
      <c r="B32" s="6" t="s">
        <v>104</v>
      </c>
      <c r="C32" s="19" t="s">
        <v>105</v>
      </c>
      <c r="D32" s="20">
        <f>3448317+568554</f>
        <v>4016871</v>
      </c>
      <c r="E32" s="21"/>
      <c r="F32" s="28" t="s">
        <v>106</v>
      </c>
      <c r="G32" s="29">
        <f>SUM(G28:G31)</f>
        <v>83065266</v>
      </c>
    </row>
    <row r="33" spans="2:7" x14ac:dyDescent="0.25">
      <c r="B33" s="6" t="s">
        <v>107</v>
      </c>
      <c r="C33" s="19" t="s">
        <v>108</v>
      </c>
      <c r="D33" s="20">
        <f>232674+86579</f>
        <v>319253</v>
      </c>
      <c r="E33" s="21"/>
      <c r="F33" s="32" t="s">
        <v>109</v>
      </c>
      <c r="G33" s="31">
        <f>SUM(G34:G39)</f>
        <v>67915108.569999993</v>
      </c>
    </row>
    <row r="34" spans="2:7" x14ac:dyDescent="0.25">
      <c r="B34" s="6" t="s">
        <v>110</v>
      </c>
      <c r="C34" s="19" t="s">
        <v>111</v>
      </c>
      <c r="D34" s="20">
        <f>2500849+620232</f>
        <v>3121081</v>
      </c>
      <c r="E34" s="21" t="s">
        <v>112</v>
      </c>
      <c r="F34" s="19" t="s">
        <v>113</v>
      </c>
      <c r="G34" s="20">
        <v>4643125</v>
      </c>
    </row>
    <row r="35" spans="2:7" ht="15.75" thickBot="1" x14ac:dyDescent="0.3">
      <c r="B35" s="6"/>
      <c r="C35" s="28" t="s">
        <v>114</v>
      </c>
      <c r="D35" s="29">
        <f>+D21+D29</f>
        <v>87700967</v>
      </c>
      <c r="E35" s="21" t="s">
        <v>115</v>
      </c>
      <c r="F35" s="19" t="s">
        <v>116</v>
      </c>
      <c r="G35" s="20">
        <v>1469310.12</v>
      </c>
    </row>
    <row r="36" spans="2:7" x14ac:dyDescent="0.25">
      <c r="B36" s="6" t="s">
        <v>117</v>
      </c>
      <c r="C36" s="19" t="s">
        <v>118</v>
      </c>
      <c r="D36" s="20">
        <f>1556333+231414+13452498-15996</f>
        <v>15224249</v>
      </c>
      <c r="E36" s="21" t="s">
        <v>119</v>
      </c>
      <c r="F36" s="19" t="s">
        <v>120</v>
      </c>
      <c r="G36" s="20">
        <v>1176206.1399999999</v>
      </c>
    </row>
    <row r="37" spans="2:7" x14ac:dyDescent="0.25">
      <c r="B37" s="6" t="s">
        <v>121</v>
      </c>
      <c r="C37" s="19" t="s">
        <v>122</v>
      </c>
      <c r="D37" s="20">
        <f>102220+76204</f>
        <v>178424</v>
      </c>
      <c r="E37" s="21" t="s">
        <v>123</v>
      </c>
      <c r="F37" s="19" t="s">
        <v>124</v>
      </c>
      <c r="G37" s="20">
        <v>4305835.83</v>
      </c>
    </row>
    <row r="38" spans="2:7" x14ac:dyDescent="0.25">
      <c r="B38" s="6" t="s">
        <v>125</v>
      </c>
      <c r="C38" s="19" t="s">
        <v>126</v>
      </c>
      <c r="D38" s="20"/>
      <c r="E38" s="21" t="s">
        <v>127</v>
      </c>
      <c r="F38" s="19" t="s">
        <v>128</v>
      </c>
      <c r="G38" s="20">
        <v>7168461.1100000003</v>
      </c>
    </row>
    <row r="39" spans="2:7" x14ac:dyDescent="0.25">
      <c r="B39" s="6" t="s">
        <v>129</v>
      </c>
      <c r="C39" s="19" t="s">
        <v>130</v>
      </c>
      <c r="D39" s="20"/>
      <c r="E39" s="21" t="s">
        <v>131</v>
      </c>
      <c r="F39" s="19" t="s">
        <v>132</v>
      </c>
      <c r="G39" s="20">
        <f>39074785.37+10077385</f>
        <v>49152170.369999997</v>
      </c>
    </row>
    <row r="40" spans="2:7" x14ac:dyDescent="0.25">
      <c r="B40" s="6" t="s">
        <v>133</v>
      </c>
      <c r="C40" s="19" t="s">
        <v>134</v>
      </c>
      <c r="D40" s="20">
        <v>161560</v>
      </c>
      <c r="E40" s="21"/>
      <c r="F40" s="33" t="s">
        <v>135</v>
      </c>
      <c r="G40" s="34">
        <f>SUM(G41:G46)</f>
        <v>21108745.940000001</v>
      </c>
    </row>
    <row r="41" spans="2:7" x14ac:dyDescent="0.25">
      <c r="B41" s="6" t="s">
        <v>136</v>
      </c>
      <c r="C41" s="19" t="s">
        <v>137</v>
      </c>
      <c r="D41" s="20"/>
      <c r="E41" s="21" t="s">
        <v>138</v>
      </c>
      <c r="F41" s="19" t="s">
        <v>139</v>
      </c>
      <c r="G41" s="20">
        <v>1495515.51</v>
      </c>
    </row>
    <row r="42" spans="2:7" x14ac:dyDescent="0.25">
      <c r="B42" s="6" t="s">
        <v>140</v>
      </c>
      <c r="C42" s="19" t="s">
        <v>141</v>
      </c>
      <c r="D42" s="20">
        <f>505032+2161177-284183</f>
        <v>2382026</v>
      </c>
      <c r="E42" s="21" t="s">
        <v>142</v>
      </c>
      <c r="F42" s="19" t="s">
        <v>143</v>
      </c>
      <c r="G42" s="20">
        <v>1750556.48</v>
      </c>
    </row>
    <row r="43" spans="2:7" x14ac:dyDescent="0.25">
      <c r="B43" s="6" t="s">
        <v>144</v>
      </c>
      <c r="C43" s="19" t="s">
        <v>145</v>
      </c>
      <c r="D43" s="20"/>
      <c r="E43" s="21" t="s">
        <v>146</v>
      </c>
      <c r="F43" s="19" t="s">
        <v>147</v>
      </c>
      <c r="G43" s="20">
        <v>1543888.66</v>
      </c>
    </row>
    <row r="44" spans="2:7" x14ac:dyDescent="0.25">
      <c r="B44" s="6" t="s">
        <v>148</v>
      </c>
      <c r="C44" s="19" t="s">
        <v>149</v>
      </c>
      <c r="D44" s="20"/>
      <c r="E44" s="21" t="s">
        <v>150</v>
      </c>
      <c r="F44" s="19" t="s">
        <v>151</v>
      </c>
      <c r="G44" s="20">
        <v>1112178.08</v>
      </c>
    </row>
    <row r="45" spans="2:7" x14ac:dyDescent="0.25">
      <c r="B45" s="6" t="s">
        <v>152</v>
      </c>
      <c r="C45" s="19" t="s">
        <v>153</v>
      </c>
      <c r="D45" s="20">
        <f>25682+545520+19885830.77+12822684-19885837+2087835-4827178</f>
        <v>10654536.77</v>
      </c>
      <c r="E45" s="21" t="s">
        <v>154</v>
      </c>
      <c r="F45" s="19" t="s">
        <v>155</v>
      </c>
      <c r="G45" s="20">
        <v>435015.69</v>
      </c>
    </row>
    <row r="46" spans="2:7" x14ac:dyDescent="0.25">
      <c r="B46" s="6" t="s">
        <v>156</v>
      </c>
      <c r="C46" s="19" t="s">
        <v>157</v>
      </c>
      <c r="D46" s="20">
        <f>1511944+8987+2717285</f>
        <v>4238216</v>
      </c>
      <c r="E46" s="21" t="s">
        <v>158</v>
      </c>
      <c r="F46" s="19" t="s">
        <v>159</v>
      </c>
      <c r="G46" s="20">
        <f>14767391.52+4200</f>
        <v>14771591.52</v>
      </c>
    </row>
    <row r="47" spans="2:7" ht="15.75" thickBot="1" x14ac:dyDescent="0.3">
      <c r="B47" s="6"/>
      <c r="C47" s="28" t="s">
        <v>160</v>
      </c>
      <c r="D47" s="29">
        <f>SUM(D36:D46)</f>
        <v>32839011.77</v>
      </c>
      <c r="E47" s="21" t="s">
        <v>161</v>
      </c>
      <c r="F47" s="19" t="s">
        <v>162</v>
      </c>
      <c r="G47" s="27">
        <f>3267682+417310</f>
        <v>3684992</v>
      </c>
    </row>
    <row r="48" spans="2:7" ht="15.75" thickBot="1" x14ac:dyDescent="0.3">
      <c r="B48" s="6"/>
      <c r="C48" s="35" t="s">
        <v>163</v>
      </c>
      <c r="D48" s="36"/>
      <c r="E48" s="21"/>
      <c r="F48" s="28" t="s">
        <v>164</v>
      </c>
      <c r="G48" s="37">
        <f>+G33+G40+G47</f>
        <v>92708846.50999999</v>
      </c>
    </row>
    <row r="49" spans="2:7" x14ac:dyDescent="0.25">
      <c r="B49" s="6" t="s">
        <v>165</v>
      </c>
      <c r="C49" s="38" t="s">
        <v>166</v>
      </c>
      <c r="D49" s="39"/>
      <c r="E49" s="21" t="s">
        <v>167</v>
      </c>
      <c r="F49" s="22" t="s">
        <v>168</v>
      </c>
      <c r="G49" s="23">
        <f>295478.45+1780330</f>
        <v>2075808.45</v>
      </c>
    </row>
    <row r="50" spans="2:7" x14ac:dyDescent="0.25">
      <c r="B50" s="6" t="s">
        <v>169</v>
      </c>
      <c r="C50" s="19" t="s">
        <v>163</v>
      </c>
      <c r="D50" s="20">
        <f>475481+29488+217101</f>
        <v>722070</v>
      </c>
      <c r="E50" s="21" t="s">
        <v>170</v>
      </c>
      <c r="F50" s="19" t="s">
        <v>171</v>
      </c>
      <c r="G50" s="20">
        <f>26381710.13+2338951</f>
        <v>28720661.129999999</v>
      </c>
    </row>
    <row r="51" spans="2:7" x14ac:dyDescent="0.25">
      <c r="B51" s="6" t="s">
        <v>172</v>
      </c>
      <c r="C51" s="19" t="s">
        <v>173</v>
      </c>
      <c r="D51" s="27">
        <v>20902</v>
      </c>
      <c r="E51" s="21" t="s">
        <v>174</v>
      </c>
      <c r="F51" s="19" t="s">
        <v>175</v>
      </c>
      <c r="G51" s="20">
        <v>2060337.42</v>
      </c>
    </row>
    <row r="52" spans="2:7" ht="15.75" thickBot="1" x14ac:dyDescent="0.3">
      <c r="B52" s="12"/>
      <c r="C52" s="28" t="s">
        <v>176</v>
      </c>
      <c r="D52" s="29">
        <f>SUM(D49:D51)</f>
        <v>742972</v>
      </c>
      <c r="E52" s="21" t="s">
        <v>177</v>
      </c>
      <c r="F52" s="19" t="s">
        <v>178</v>
      </c>
      <c r="G52" s="20">
        <f>622773.43+278034</f>
        <v>900807.43</v>
      </c>
    </row>
    <row r="53" spans="2:7" ht="15.75" thickBot="1" x14ac:dyDescent="0.3">
      <c r="B53" s="6"/>
      <c r="C53" s="40" t="s">
        <v>179</v>
      </c>
      <c r="D53" s="41">
        <f>D20+D35+D47+D52</f>
        <v>1429187510.77</v>
      </c>
      <c r="E53" s="21" t="s">
        <v>180</v>
      </c>
      <c r="F53" s="19" t="s">
        <v>181</v>
      </c>
      <c r="G53" s="20">
        <f>3658511.77+1563791</f>
        <v>5222302.7699999996</v>
      </c>
    </row>
    <row r="54" spans="2:7" x14ac:dyDescent="0.25">
      <c r="C54" s="42"/>
      <c r="D54" s="43"/>
      <c r="E54" s="21" t="s">
        <v>182</v>
      </c>
      <c r="F54" s="19" t="s">
        <v>183</v>
      </c>
      <c r="G54" s="20">
        <f>420847.44+25285</f>
        <v>446132.44</v>
      </c>
    </row>
    <row r="55" spans="2:7" x14ac:dyDescent="0.25">
      <c r="C55" s="44" t="s">
        <v>184</v>
      </c>
      <c r="D55" s="45"/>
      <c r="E55" s="21" t="s">
        <v>185</v>
      </c>
      <c r="F55" s="19" t="s">
        <v>186</v>
      </c>
      <c r="G55" s="20">
        <v>428.66</v>
      </c>
    </row>
    <row r="56" spans="2:7" x14ac:dyDescent="0.25">
      <c r="B56" s="6" t="s">
        <v>187</v>
      </c>
      <c r="C56" s="46" t="s">
        <v>188</v>
      </c>
      <c r="D56" s="20"/>
      <c r="E56" s="21" t="s">
        <v>189</v>
      </c>
      <c r="F56" s="19" t="s">
        <v>190</v>
      </c>
      <c r="G56" s="27">
        <f>1384196+247797</f>
        <v>1631993</v>
      </c>
    </row>
    <row r="57" spans="2:7" ht="15.75" thickBot="1" x14ac:dyDescent="0.3">
      <c r="B57" s="6" t="s">
        <v>191</v>
      </c>
      <c r="C57" s="46" t="s">
        <v>192</v>
      </c>
      <c r="D57" s="20"/>
      <c r="E57" s="21"/>
      <c r="F57" s="28" t="s">
        <v>193</v>
      </c>
      <c r="G57" s="29">
        <f>SUM(G49:G56)</f>
        <v>41058471.299999997</v>
      </c>
    </row>
    <row r="58" spans="2:7" x14ac:dyDescent="0.25">
      <c r="B58" s="6" t="s">
        <v>194</v>
      </c>
      <c r="C58" s="46" t="s">
        <v>195</v>
      </c>
      <c r="D58" s="20"/>
      <c r="E58" s="21" t="s">
        <v>196</v>
      </c>
      <c r="F58" s="22" t="s">
        <v>197</v>
      </c>
      <c r="G58" s="23">
        <f>7995291.47+1307394</f>
        <v>9302685.4699999988</v>
      </c>
    </row>
    <row r="59" spans="2:7" x14ac:dyDescent="0.25">
      <c r="B59" s="6" t="s">
        <v>198</v>
      </c>
      <c r="C59" s="19" t="s">
        <v>199</v>
      </c>
      <c r="D59" s="27"/>
      <c r="E59" s="21" t="s">
        <v>200</v>
      </c>
      <c r="F59" s="19" t="s">
        <v>201</v>
      </c>
      <c r="G59" s="20">
        <f>16924408.42+13767012-8065915</f>
        <v>22625505.420000002</v>
      </c>
    </row>
    <row r="60" spans="2:7" ht="15.75" thickBot="1" x14ac:dyDescent="0.3">
      <c r="B60" s="6"/>
      <c r="C60" s="28" t="s">
        <v>202</v>
      </c>
      <c r="D60" s="29">
        <f>SUM(D56:D59)</f>
        <v>0</v>
      </c>
      <c r="E60" s="21" t="s">
        <v>203</v>
      </c>
      <c r="F60" s="19" t="s">
        <v>204</v>
      </c>
      <c r="G60" s="20">
        <f>7138556.35+8540695-8540695</f>
        <v>7138556.3499999996</v>
      </c>
    </row>
    <row r="61" spans="2:7" ht="16.5" thickBot="1" x14ac:dyDescent="0.3">
      <c r="B61" s="47"/>
      <c r="C61" s="48" t="s">
        <v>205</v>
      </c>
      <c r="D61" s="49">
        <f>D53+D60</f>
        <v>1429187510.77</v>
      </c>
      <c r="E61" s="21" t="s">
        <v>206</v>
      </c>
      <c r="F61" s="19" t="s">
        <v>207</v>
      </c>
      <c r="G61" s="20">
        <f>5555445.1+729002-90983</f>
        <v>6193464.0999999996</v>
      </c>
    </row>
    <row r="62" spans="2:7" x14ac:dyDescent="0.25">
      <c r="B62" s="50"/>
      <c r="C62" s="51"/>
      <c r="D62" s="51"/>
      <c r="E62" s="21" t="s">
        <v>208</v>
      </c>
      <c r="F62" s="19" t="s">
        <v>209</v>
      </c>
      <c r="G62" s="20">
        <v>0</v>
      </c>
    </row>
    <row r="63" spans="2:7" x14ac:dyDescent="0.25">
      <c r="B63" s="52"/>
      <c r="C63" s="53" t="s">
        <v>8</v>
      </c>
      <c r="D63" s="53"/>
      <c r="E63" s="21" t="s">
        <v>210</v>
      </c>
      <c r="F63" s="19" t="s">
        <v>211</v>
      </c>
      <c r="G63" s="20">
        <f>20457125.76+2333362</f>
        <v>22790487.760000002</v>
      </c>
    </row>
    <row r="64" spans="2:7" x14ac:dyDescent="0.25">
      <c r="B64" s="54" t="s">
        <v>212</v>
      </c>
      <c r="C64" s="55" t="s">
        <v>213</v>
      </c>
      <c r="D64" s="55">
        <f>[35]Amortizaciones!D6</f>
        <v>13332346</v>
      </c>
      <c r="E64" s="21" t="s">
        <v>214</v>
      </c>
      <c r="F64" s="19" t="s">
        <v>215</v>
      </c>
      <c r="G64" s="20">
        <v>937271.5</v>
      </c>
    </row>
    <row r="65" spans="2:7" x14ac:dyDescent="0.25">
      <c r="B65" s="54" t="s">
        <v>216</v>
      </c>
      <c r="C65" s="55" t="s">
        <v>217</v>
      </c>
      <c r="D65" s="55">
        <f>[35]Amortizaciones!D7</f>
        <v>0</v>
      </c>
      <c r="E65" s="21" t="s">
        <v>218</v>
      </c>
      <c r="F65" s="19" t="s">
        <v>219</v>
      </c>
      <c r="G65" s="20">
        <f>411.07+973208-939782</f>
        <v>33837.069999999949</v>
      </c>
    </row>
    <row r="66" spans="2:7" x14ac:dyDescent="0.25">
      <c r="B66" s="54" t="s">
        <v>220</v>
      </c>
      <c r="C66" s="55" t="s">
        <v>221</v>
      </c>
      <c r="D66" s="55">
        <f>[35]Amortizaciones!D8</f>
        <v>5359816</v>
      </c>
      <c r="E66" s="21" t="s">
        <v>222</v>
      </c>
      <c r="F66" s="19" t="s">
        <v>223</v>
      </c>
      <c r="G66" s="20">
        <f>5155809.94+799489</f>
        <v>5955298.9400000004</v>
      </c>
    </row>
    <row r="67" spans="2:7" x14ac:dyDescent="0.25">
      <c r="B67" s="54" t="s">
        <v>224</v>
      </c>
      <c r="C67" s="55" t="s">
        <v>225</v>
      </c>
      <c r="D67" s="55">
        <f>[35]Amortizaciones!D9</f>
        <v>0</v>
      </c>
      <c r="E67" s="21" t="s">
        <v>226</v>
      </c>
      <c r="F67" s="19" t="s">
        <v>227</v>
      </c>
      <c r="G67" s="20">
        <f>84886.67+1459930-1486718</f>
        <v>58098.669999999925</v>
      </c>
    </row>
    <row r="68" spans="2:7" x14ac:dyDescent="0.25">
      <c r="B68" s="54" t="s">
        <v>228</v>
      </c>
      <c r="C68" s="55" t="s">
        <v>229</v>
      </c>
      <c r="D68" s="55">
        <f>[35]Amortizaciones!D10</f>
        <v>129333</v>
      </c>
      <c r="E68" s="21" t="s">
        <v>230</v>
      </c>
      <c r="F68" s="19" t="s">
        <v>231</v>
      </c>
      <c r="G68" s="20">
        <v>218643.12</v>
      </c>
    </row>
    <row r="69" spans="2:7" x14ac:dyDescent="0.25">
      <c r="B69" s="54" t="s">
        <v>232</v>
      </c>
      <c r="C69" s="55" t="s">
        <v>233</v>
      </c>
      <c r="D69" s="55">
        <f>[35]Amortizaciones!D11</f>
        <v>3691922</v>
      </c>
      <c r="E69" s="21" t="s">
        <v>234</v>
      </c>
      <c r="F69" s="19" t="s">
        <v>235</v>
      </c>
      <c r="G69" s="20">
        <f>2444748.75+80577</f>
        <v>2525325.75</v>
      </c>
    </row>
    <row r="70" spans="2:7" x14ac:dyDescent="0.25">
      <c r="B70" s="54" t="s">
        <v>236</v>
      </c>
      <c r="C70" s="55" t="s">
        <v>237</v>
      </c>
      <c r="D70" s="55">
        <f>[35]Amortizaciones!D12</f>
        <v>969849</v>
      </c>
      <c r="E70" s="21" t="s">
        <v>238</v>
      </c>
      <c r="F70" s="19" t="s">
        <v>239</v>
      </c>
      <c r="G70" s="20">
        <f>361617-290794</f>
        <v>70823</v>
      </c>
    </row>
    <row r="71" spans="2:7" x14ac:dyDescent="0.25">
      <c r="B71" s="54" t="s">
        <v>240</v>
      </c>
      <c r="C71" s="55" t="s">
        <v>241</v>
      </c>
      <c r="D71" s="55">
        <f>[35]Amortizaciones!D13</f>
        <v>396208</v>
      </c>
      <c r="E71" s="21" t="s">
        <v>242</v>
      </c>
      <c r="F71" s="19" t="s">
        <v>243</v>
      </c>
      <c r="G71" s="20">
        <f>253841+1400</f>
        <v>255241</v>
      </c>
    </row>
    <row r="72" spans="2:7" x14ac:dyDescent="0.25">
      <c r="B72" s="54" t="s">
        <v>244</v>
      </c>
      <c r="C72" s="55" t="s">
        <v>245</v>
      </c>
      <c r="D72" s="55">
        <f>[35]Amortizaciones!D14</f>
        <v>1937911</v>
      </c>
      <c r="E72" s="21" t="s">
        <v>246</v>
      </c>
      <c r="F72" s="19" t="s">
        <v>247</v>
      </c>
      <c r="G72" s="20">
        <v>5357869.8499999996</v>
      </c>
    </row>
    <row r="73" spans="2:7" x14ac:dyDescent="0.25">
      <c r="B73" s="54" t="s">
        <v>248</v>
      </c>
      <c r="C73" s="55" t="s">
        <v>249</v>
      </c>
      <c r="D73" s="55">
        <f>[35]Amortizaciones!D15</f>
        <v>0</v>
      </c>
      <c r="E73" s="21" t="s">
        <v>250</v>
      </c>
      <c r="F73" s="19" t="s">
        <v>251</v>
      </c>
      <c r="G73" s="20">
        <v>1458917.02</v>
      </c>
    </row>
    <row r="74" spans="2:7" x14ac:dyDescent="0.25">
      <c r="B74" s="54" t="s">
        <v>252</v>
      </c>
      <c r="C74" s="55" t="s">
        <v>253</v>
      </c>
      <c r="D74" s="55">
        <f>[35]Amortizaciones!D16</f>
        <v>1729765</v>
      </c>
      <c r="E74" s="21" t="s">
        <v>254</v>
      </c>
      <c r="F74" s="19" t="s">
        <v>255</v>
      </c>
      <c r="G74" s="20"/>
    </row>
    <row r="75" spans="2:7" x14ac:dyDescent="0.25">
      <c r="B75" s="54" t="s">
        <v>256</v>
      </c>
      <c r="C75" s="55" t="s">
        <v>257</v>
      </c>
      <c r="D75" s="55">
        <f>[35]Amortizaciones!D17</f>
        <v>0</v>
      </c>
      <c r="E75" s="21" t="s">
        <v>258</v>
      </c>
      <c r="F75" s="19" t="s">
        <v>259</v>
      </c>
      <c r="G75" s="20">
        <f>5985705.56+224240-57110</f>
        <v>6152835.5599999996</v>
      </c>
    </row>
    <row r="76" spans="2:7" x14ac:dyDescent="0.25">
      <c r="B76" s="54" t="s">
        <v>260</v>
      </c>
      <c r="C76" s="55" t="s">
        <v>261</v>
      </c>
      <c r="D76" s="55">
        <f>[35]Amortizaciones!D18</f>
        <v>0</v>
      </c>
      <c r="E76" s="21" t="s">
        <v>262</v>
      </c>
      <c r="F76" s="19" t="s">
        <v>263</v>
      </c>
      <c r="G76" s="20">
        <f>12352488.01+8478134</f>
        <v>20830622.009999998</v>
      </c>
    </row>
    <row r="77" spans="2:7" x14ac:dyDescent="0.25">
      <c r="B77" s="54" t="s">
        <v>264</v>
      </c>
      <c r="C77" s="55" t="s">
        <v>265</v>
      </c>
      <c r="D77" s="55">
        <f>SUM(D64:D76)</f>
        <v>27547150</v>
      </c>
      <c r="E77" s="21" t="s">
        <v>266</v>
      </c>
      <c r="F77" s="19" t="s">
        <v>267</v>
      </c>
      <c r="G77" s="20">
        <f>286788.06+2514007.95+6093296-95490</f>
        <v>8798602.0099999998</v>
      </c>
    </row>
    <row r="78" spans="2:7" x14ac:dyDescent="0.25">
      <c r="B78" s="54"/>
      <c r="C78" s="55"/>
      <c r="D78" s="55"/>
      <c r="E78" s="21" t="s">
        <v>268</v>
      </c>
      <c r="F78" s="19" t="s">
        <v>269</v>
      </c>
      <c r="G78" s="27">
        <f>3937423+1868881</f>
        <v>5806304</v>
      </c>
    </row>
    <row r="79" spans="2:7" ht="15.75" thickBot="1" x14ac:dyDescent="0.3">
      <c r="B79" s="54"/>
      <c r="C79" s="53" t="s">
        <v>270</v>
      </c>
      <c r="D79" s="56"/>
      <c r="E79" s="21"/>
      <c r="F79" s="28" t="s">
        <v>271</v>
      </c>
      <c r="G79" s="29">
        <f>SUM(G58:G78)</f>
        <v>126510388.60000001</v>
      </c>
    </row>
    <row r="80" spans="2:7" x14ac:dyDescent="0.25">
      <c r="B80" s="54" t="s">
        <v>272</v>
      </c>
      <c r="C80" s="55" t="s">
        <v>237</v>
      </c>
      <c r="D80" s="55">
        <f>[35]Amortizaciones!D22</f>
        <v>0</v>
      </c>
      <c r="E80" s="21" t="s">
        <v>273</v>
      </c>
      <c r="F80" s="22" t="s">
        <v>274</v>
      </c>
      <c r="G80" s="23">
        <v>620131</v>
      </c>
    </row>
    <row r="81" spans="2:7" x14ac:dyDescent="0.25">
      <c r="B81" s="54" t="s">
        <v>275</v>
      </c>
      <c r="C81" s="55" t="s">
        <v>241</v>
      </c>
      <c r="D81" s="55">
        <f>[35]Amortizaciones!D23</f>
        <v>0</v>
      </c>
      <c r="E81" s="21" t="s">
        <v>276</v>
      </c>
      <c r="F81" s="19" t="s">
        <v>277</v>
      </c>
      <c r="G81" s="20">
        <f>5403304.1+391580</f>
        <v>5794884.0999999996</v>
      </c>
    </row>
    <row r="82" spans="2:7" x14ac:dyDescent="0.25">
      <c r="B82" s="54" t="s">
        <v>278</v>
      </c>
      <c r="C82" s="55" t="s">
        <v>245</v>
      </c>
      <c r="D82" s="55">
        <f>[35]Amortizaciones!D24</f>
        <v>0</v>
      </c>
      <c r="E82" s="21" t="s">
        <v>279</v>
      </c>
      <c r="F82" s="19" t="s">
        <v>280</v>
      </c>
      <c r="G82" s="20">
        <f>1564325.56+30204</f>
        <v>1594529.56</v>
      </c>
    </row>
    <row r="83" spans="2:7" x14ac:dyDescent="0.25">
      <c r="B83" s="54" t="s">
        <v>281</v>
      </c>
      <c r="C83" s="55" t="s">
        <v>249</v>
      </c>
      <c r="D83" s="55">
        <f>[35]Amortizaciones!D25</f>
        <v>0</v>
      </c>
      <c r="E83" s="21" t="s">
        <v>282</v>
      </c>
      <c r="F83" s="19" t="s">
        <v>283</v>
      </c>
      <c r="G83" s="20">
        <f>704072.92+568173.28</f>
        <v>1272246.2000000002</v>
      </c>
    </row>
    <row r="84" spans="2:7" x14ac:dyDescent="0.25">
      <c r="B84" s="54" t="s">
        <v>284</v>
      </c>
      <c r="C84" s="55" t="s">
        <v>285</v>
      </c>
      <c r="D84" s="55">
        <v>0</v>
      </c>
      <c r="E84" s="21" t="s">
        <v>286</v>
      </c>
      <c r="F84" s="19" t="s">
        <v>287</v>
      </c>
      <c r="G84" s="20">
        <f>5793451.62+768315</f>
        <v>6561766.6200000001</v>
      </c>
    </row>
    <row r="85" spans="2:7" x14ac:dyDescent="0.25">
      <c r="B85" s="54" t="s">
        <v>288</v>
      </c>
      <c r="C85" s="55" t="s">
        <v>289</v>
      </c>
      <c r="D85" s="55">
        <f>[35]Amortizaciones!D27</f>
        <v>0</v>
      </c>
      <c r="E85" s="21" t="s">
        <v>290</v>
      </c>
      <c r="F85" s="19" t="s">
        <v>291</v>
      </c>
      <c r="G85" s="20">
        <f>743967.54+22569</f>
        <v>766536.54</v>
      </c>
    </row>
    <row r="86" spans="2:7" x14ac:dyDescent="0.25">
      <c r="B86" s="54" t="s">
        <v>292</v>
      </c>
      <c r="C86" s="55" t="s">
        <v>293</v>
      </c>
      <c r="D86" s="55">
        <f>[35]Amortizaciones!D28</f>
        <v>0</v>
      </c>
      <c r="E86" s="21" t="s">
        <v>294</v>
      </c>
      <c r="F86" s="19" t="s">
        <v>295</v>
      </c>
      <c r="G86" s="20">
        <v>260281.93</v>
      </c>
    </row>
    <row r="87" spans="2:7" x14ac:dyDescent="0.25">
      <c r="B87" s="54" t="s">
        <v>296</v>
      </c>
      <c r="C87" s="55" t="s">
        <v>297</v>
      </c>
      <c r="D87" s="55">
        <f>[35]Amortizaciones!D29</f>
        <v>41351</v>
      </c>
      <c r="E87" s="21" t="s">
        <v>298</v>
      </c>
      <c r="F87" s="19" t="s">
        <v>299</v>
      </c>
      <c r="G87" s="20">
        <f>300+1410685</f>
        <v>1410985</v>
      </c>
    </row>
    <row r="88" spans="2:7" x14ac:dyDescent="0.25">
      <c r="B88" s="54" t="s">
        <v>300</v>
      </c>
      <c r="C88" s="55" t="s">
        <v>301</v>
      </c>
      <c r="D88" s="55">
        <f>[35]Amortizaciones!D30</f>
        <v>0</v>
      </c>
      <c r="E88" s="21" t="s">
        <v>302</v>
      </c>
      <c r="F88" s="19" t="s">
        <v>303</v>
      </c>
      <c r="G88" s="20">
        <v>1716195.69</v>
      </c>
    </row>
    <row r="89" spans="2:7" x14ac:dyDescent="0.25">
      <c r="B89" s="54" t="s">
        <v>304</v>
      </c>
      <c r="C89" s="55" t="s">
        <v>213</v>
      </c>
      <c r="D89" s="55">
        <f>[35]Amortizaciones!D31</f>
        <v>0</v>
      </c>
      <c r="E89" s="21" t="s">
        <v>305</v>
      </c>
      <c r="F89" s="19" t="s">
        <v>306</v>
      </c>
      <c r="G89" s="20">
        <v>1497966.6</v>
      </c>
    </row>
    <row r="90" spans="2:7" x14ac:dyDescent="0.25">
      <c r="B90" s="54" t="s">
        <v>307</v>
      </c>
      <c r="C90" s="55" t="s">
        <v>229</v>
      </c>
      <c r="D90" s="55">
        <f>[35]Amortizaciones!D32</f>
        <v>0</v>
      </c>
      <c r="E90" s="21" t="s">
        <v>308</v>
      </c>
      <c r="F90" s="19" t="s">
        <v>309</v>
      </c>
      <c r="G90" s="20">
        <v>6202914</v>
      </c>
    </row>
    <row r="91" spans="2:7" x14ac:dyDescent="0.25">
      <c r="B91" s="54" t="s">
        <v>310</v>
      </c>
      <c r="C91" s="55" t="s">
        <v>311</v>
      </c>
      <c r="D91" s="55">
        <f>SUM(D80:D90)</f>
        <v>41351</v>
      </c>
      <c r="E91" s="52" t="s">
        <v>312</v>
      </c>
      <c r="F91" s="19" t="s">
        <v>313</v>
      </c>
      <c r="G91" s="20">
        <f>435037.99+120000</f>
        <v>555037.99</v>
      </c>
    </row>
    <row r="92" spans="2:7" x14ac:dyDescent="0.25">
      <c r="B92" s="54"/>
      <c r="C92" s="57" t="s">
        <v>314</v>
      </c>
      <c r="D92" s="55">
        <f>D77+D91</f>
        <v>27588501</v>
      </c>
      <c r="E92" s="52" t="s">
        <v>315</v>
      </c>
      <c r="F92" s="19" t="s">
        <v>316</v>
      </c>
      <c r="G92" s="20">
        <v>463797</v>
      </c>
    </row>
    <row r="93" spans="2:7" x14ac:dyDescent="0.25">
      <c r="E93" s="52" t="s">
        <v>317</v>
      </c>
      <c r="F93" s="19" t="s">
        <v>318</v>
      </c>
      <c r="G93" s="20">
        <f>829064.71+769268</f>
        <v>1598332.71</v>
      </c>
    </row>
    <row r="94" spans="2:7" x14ac:dyDescent="0.25">
      <c r="E94" s="52" t="s">
        <v>319</v>
      </c>
      <c r="F94" s="19" t="s">
        <v>320</v>
      </c>
      <c r="G94" s="27">
        <f>1066747+188116</f>
        <v>1254863</v>
      </c>
    </row>
    <row r="95" spans="2:7" ht="13.5" customHeight="1" thickBot="1" x14ac:dyDescent="0.3">
      <c r="E95" s="21"/>
      <c r="F95" s="28" t="s">
        <v>321</v>
      </c>
      <c r="G95" s="29">
        <f>SUM(G80:G94)</f>
        <v>31570467.940000001</v>
      </c>
    </row>
    <row r="96" spans="2:7" x14ac:dyDescent="0.25">
      <c r="E96" s="52" t="s">
        <v>322</v>
      </c>
      <c r="F96" s="22" t="s">
        <v>323</v>
      </c>
      <c r="G96" s="23">
        <v>550216</v>
      </c>
    </row>
    <row r="97" spans="2:7" x14ac:dyDescent="0.25">
      <c r="E97" s="52" t="s">
        <v>324</v>
      </c>
      <c r="F97" s="19" t="s">
        <v>325</v>
      </c>
      <c r="G97" s="20">
        <f>1583893.94+145004</f>
        <v>1728897.94</v>
      </c>
    </row>
    <row r="98" spans="2:7" x14ac:dyDescent="0.25">
      <c r="E98" s="52" t="s">
        <v>326</v>
      </c>
      <c r="F98" s="19" t="s">
        <v>327</v>
      </c>
      <c r="G98" s="20">
        <v>12918</v>
      </c>
    </row>
    <row r="99" spans="2:7" x14ac:dyDescent="0.25">
      <c r="E99" s="52" t="s">
        <v>328</v>
      </c>
      <c r="F99" s="19" t="s">
        <v>329</v>
      </c>
      <c r="G99" s="20">
        <f>152590.67+32800</f>
        <v>185390.67</v>
      </c>
    </row>
    <row r="100" spans="2:7" x14ac:dyDescent="0.25">
      <c r="E100" s="52" t="s">
        <v>330</v>
      </c>
      <c r="F100" s="19" t="s">
        <v>331</v>
      </c>
      <c r="G100" s="27">
        <f>71879+30670</f>
        <v>102549</v>
      </c>
    </row>
    <row r="101" spans="2:7" ht="15.75" thickBot="1" x14ac:dyDescent="0.3">
      <c r="E101" s="21"/>
      <c r="F101" s="28" t="s">
        <v>332</v>
      </c>
      <c r="G101" s="29">
        <f>SUM(G96:G100)</f>
        <v>2579971.61</v>
      </c>
    </row>
    <row r="102" spans="2:7" ht="15.75" thickBot="1" x14ac:dyDescent="0.3">
      <c r="E102" s="52"/>
      <c r="F102" s="59" t="s">
        <v>333</v>
      </c>
      <c r="G102" s="60">
        <f>[35]Amortizaciones!D19</f>
        <v>27547150</v>
      </c>
    </row>
    <row r="103" spans="2:7" x14ac:dyDescent="0.25">
      <c r="E103" s="52" t="s">
        <v>334</v>
      </c>
      <c r="F103" s="19" t="s">
        <v>335</v>
      </c>
      <c r="G103" s="23"/>
    </row>
    <row r="104" spans="2:7" x14ac:dyDescent="0.25">
      <c r="E104" s="52" t="s">
        <v>336</v>
      </c>
      <c r="F104" s="61" t="s">
        <v>337</v>
      </c>
      <c r="G104" s="20"/>
    </row>
    <row r="105" spans="2:7" ht="15.75" thickBot="1" x14ac:dyDescent="0.3">
      <c r="E105" s="21"/>
      <c r="F105" s="28" t="s">
        <v>338</v>
      </c>
      <c r="G105" s="29">
        <f>SUM(G103:G104)</f>
        <v>0</v>
      </c>
    </row>
    <row r="106" spans="2:7" ht="13.7" customHeight="1" thickBot="1" x14ac:dyDescent="0.3">
      <c r="B106" s="6"/>
      <c r="C106" s="62"/>
      <c r="D106" s="62"/>
      <c r="E106" s="52"/>
      <c r="F106" s="48" t="s">
        <v>339</v>
      </c>
      <c r="G106" s="49">
        <f>G19+G27+G32+G48+G57+G79+G95+G101+G102+G105</f>
        <v>1211236025.3399997</v>
      </c>
    </row>
    <row r="107" spans="2:7" ht="13.7" customHeight="1" x14ac:dyDescent="0.25">
      <c r="B107" s="6"/>
      <c r="C107" s="62"/>
      <c r="D107" s="62"/>
      <c r="E107" s="21"/>
      <c r="F107" s="63"/>
      <c r="G107" s="64"/>
    </row>
    <row r="108" spans="2:7" ht="13.7" customHeight="1" thickBot="1" x14ac:dyDescent="0.3">
      <c r="B108" s="6"/>
      <c r="C108" s="62"/>
      <c r="D108" s="62"/>
      <c r="E108" s="21"/>
    </row>
    <row r="109" spans="2:7" ht="13.7" customHeight="1" thickBot="1" x14ac:dyDescent="0.3">
      <c r="B109" s="6"/>
      <c r="C109" s="62"/>
      <c r="D109" s="62"/>
      <c r="E109" s="21"/>
      <c r="F109" s="13" t="s">
        <v>340</v>
      </c>
      <c r="G109" s="65">
        <f>D61-G106</f>
        <v>217951485.43000031</v>
      </c>
    </row>
    <row r="110" spans="2:7" ht="13.7" customHeight="1" thickBot="1" x14ac:dyDescent="0.3">
      <c r="B110" s="6"/>
      <c r="C110" s="62"/>
      <c r="D110" s="62"/>
      <c r="E110" s="21"/>
    </row>
    <row r="111" spans="2:7" ht="13.7" customHeight="1" thickBot="1" x14ac:dyDescent="0.3">
      <c r="C111" s="48" t="s">
        <v>270</v>
      </c>
      <c r="D111" s="17">
        <f>+[35]E.S.P.!D6</f>
        <v>2020</v>
      </c>
      <c r="E111" s="52"/>
      <c r="F111" s="48" t="s">
        <v>341</v>
      </c>
      <c r="G111" s="17">
        <f>+[35]E.S.P.!D6</f>
        <v>2020</v>
      </c>
    </row>
    <row r="112" spans="2:7" ht="13.7" customHeight="1" x14ac:dyDescent="0.25">
      <c r="B112" s="6" t="s">
        <v>342</v>
      </c>
      <c r="C112" s="66" t="s">
        <v>343</v>
      </c>
      <c r="D112" s="67">
        <f>5727615.79+1332435+2722711</f>
        <v>9782761.7899999991</v>
      </c>
      <c r="E112" s="21" t="s">
        <v>344</v>
      </c>
      <c r="F112" s="66" t="s">
        <v>309</v>
      </c>
      <c r="G112" s="67">
        <v>0</v>
      </c>
    </row>
    <row r="113" spans="2:7" ht="13.7" customHeight="1" x14ac:dyDescent="0.25">
      <c r="B113" s="6" t="s">
        <v>345</v>
      </c>
      <c r="C113" s="68" t="s">
        <v>346</v>
      </c>
      <c r="D113" s="69">
        <f>77990858.46+18143276+10368730</f>
        <v>106502864.45999999</v>
      </c>
      <c r="E113" s="21" t="s">
        <v>347</v>
      </c>
      <c r="F113" s="68" t="s">
        <v>348</v>
      </c>
      <c r="G113" s="69"/>
    </row>
    <row r="114" spans="2:7" ht="13.7" customHeight="1" x14ac:dyDescent="0.25">
      <c r="B114" s="6" t="s">
        <v>349</v>
      </c>
      <c r="C114" s="68" t="s">
        <v>48</v>
      </c>
      <c r="D114" s="69">
        <f>3507457.63+815952</f>
        <v>4323409.63</v>
      </c>
      <c r="E114" s="21" t="s">
        <v>350</v>
      </c>
      <c r="F114" s="68" t="s">
        <v>351</v>
      </c>
      <c r="G114" s="69"/>
    </row>
    <row r="115" spans="2:7" ht="13.7" customHeight="1" x14ac:dyDescent="0.25">
      <c r="B115" s="6" t="s">
        <v>352</v>
      </c>
      <c r="C115" s="68" t="s">
        <v>353</v>
      </c>
      <c r="D115" s="69"/>
      <c r="E115" s="21" t="s">
        <v>354</v>
      </c>
      <c r="F115" s="68" t="s">
        <v>355</v>
      </c>
      <c r="G115" s="69">
        <v>17852.55</v>
      </c>
    </row>
    <row r="116" spans="2:7" ht="13.7" customHeight="1" x14ac:dyDescent="0.25">
      <c r="B116" s="6" t="s">
        <v>356</v>
      </c>
      <c r="C116" s="68" t="s">
        <v>357</v>
      </c>
      <c r="D116" s="69">
        <f>4101622+570187</f>
        <v>4671809</v>
      </c>
      <c r="E116" s="21" t="s">
        <v>358</v>
      </c>
      <c r="F116" s="68" t="s">
        <v>359</v>
      </c>
      <c r="G116" s="69">
        <f>2901167+334498</f>
        <v>3235665</v>
      </c>
    </row>
    <row r="117" spans="2:7" ht="13.7" customHeight="1" x14ac:dyDescent="0.25">
      <c r="B117" s="6" t="s">
        <v>360</v>
      </c>
      <c r="C117" s="68" t="s">
        <v>361</v>
      </c>
      <c r="D117" s="69"/>
      <c r="E117" s="21" t="s">
        <v>362</v>
      </c>
      <c r="F117" s="68" t="s">
        <v>363</v>
      </c>
      <c r="G117" s="69">
        <v>37456</v>
      </c>
    </row>
    <row r="118" spans="2:7" ht="13.7" customHeight="1" x14ac:dyDescent="0.25">
      <c r="B118" s="6" t="s">
        <v>364</v>
      </c>
      <c r="C118" s="68" t="s">
        <v>365</v>
      </c>
      <c r="D118" s="69"/>
      <c r="E118" s="21" t="s">
        <v>366</v>
      </c>
      <c r="F118" s="68" t="s">
        <v>367</v>
      </c>
      <c r="G118" s="69">
        <v>1990010</v>
      </c>
    </row>
    <row r="119" spans="2:7" ht="13.7" customHeight="1" x14ac:dyDescent="0.25">
      <c r="B119" s="6" t="s">
        <v>368</v>
      </c>
      <c r="C119" s="68" t="s">
        <v>369</v>
      </c>
      <c r="D119" s="69"/>
      <c r="E119" s="21" t="s">
        <v>370</v>
      </c>
      <c r="F119" s="68" t="s">
        <v>371</v>
      </c>
      <c r="G119" s="69"/>
    </row>
    <row r="120" spans="2:7" ht="13.7" customHeight="1" x14ac:dyDescent="0.25">
      <c r="B120" s="6" t="s">
        <v>372</v>
      </c>
      <c r="C120" s="68" t="s">
        <v>373</v>
      </c>
      <c r="D120" s="69">
        <v>2835728</v>
      </c>
      <c r="E120" s="21" t="s">
        <v>374</v>
      </c>
      <c r="F120" s="68" t="s">
        <v>375</v>
      </c>
      <c r="G120" s="69"/>
    </row>
    <row r="121" spans="2:7" ht="13.7" customHeight="1" x14ac:dyDescent="0.25">
      <c r="B121" s="6" t="s">
        <v>376</v>
      </c>
      <c r="C121" s="19" t="s">
        <v>377</v>
      </c>
      <c r="D121" s="69">
        <f>4620288+682880</f>
        <v>5303168</v>
      </c>
      <c r="E121" s="21" t="s">
        <v>378</v>
      </c>
      <c r="F121" s="68" t="s">
        <v>379</v>
      </c>
      <c r="G121" s="69">
        <f>332601+2154396-2087835</f>
        <v>399162</v>
      </c>
    </row>
    <row r="122" spans="2:7" ht="13.7" customHeight="1" thickBot="1" x14ac:dyDescent="0.3">
      <c r="B122" s="6"/>
      <c r="C122" s="28" t="s">
        <v>380</v>
      </c>
      <c r="D122" s="37">
        <f>SUM(D112:D121)</f>
        <v>133419740.88</v>
      </c>
      <c r="E122" s="21" t="s">
        <v>381</v>
      </c>
      <c r="F122" s="19" t="s">
        <v>382</v>
      </c>
      <c r="G122" s="20">
        <f>8396130+1712818-2717285</f>
        <v>7391663</v>
      </c>
    </row>
    <row r="123" spans="2:7" ht="13.7" customHeight="1" thickBot="1" x14ac:dyDescent="0.3">
      <c r="B123" s="6" t="s">
        <v>383</v>
      </c>
      <c r="C123" s="70" t="s">
        <v>309</v>
      </c>
      <c r="D123" s="67">
        <v>219935</v>
      </c>
      <c r="E123" s="52"/>
      <c r="F123" s="28" t="s">
        <v>384</v>
      </c>
      <c r="G123" s="37">
        <f>SUM(G112:G122)</f>
        <v>13071808.550000001</v>
      </c>
    </row>
    <row r="124" spans="2:7" ht="13.7" customHeight="1" x14ac:dyDescent="0.25">
      <c r="B124" s="6" t="s">
        <v>385</v>
      </c>
      <c r="C124" s="68" t="s">
        <v>313</v>
      </c>
      <c r="D124" s="69">
        <v>95736</v>
      </c>
      <c r="E124" s="21" t="s">
        <v>386</v>
      </c>
      <c r="F124" s="68" t="s">
        <v>387</v>
      </c>
      <c r="G124" s="69"/>
    </row>
    <row r="125" spans="2:7" ht="13.7" customHeight="1" x14ac:dyDescent="0.25">
      <c r="B125" s="6" t="s">
        <v>388</v>
      </c>
      <c r="C125" s="19" t="s">
        <v>389</v>
      </c>
      <c r="D125" s="69">
        <v>13067</v>
      </c>
      <c r="E125" s="21" t="s">
        <v>390</v>
      </c>
      <c r="F125" s="68" t="s">
        <v>391</v>
      </c>
      <c r="G125" s="69">
        <v>61621</v>
      </c>
    </row>
    <row r="126" spans="2:7" ht="13.7" customHeight="1" thickBot="1" x14ac:dyDescent="0.3">
      <c r="B126" s="6"/>
      <c r="C126" s="28" t="s">
        <v>392</v>
      </c>
      <c r="D126" s="37">
        <f>SUM(D123:D125)</f>
        <v>328738</v>
      </c>
      <c r="E126" s="21" t="s">
        <v>393</v>
      </c>
      <c r="F126" s="68" t="s">
        <v>394</v>
      </c>
      <c r="G126" s="69"/>
    </row>
    <row r="127" spans="2:7" ht="13.7" customHeight="1" x14ac:dyDescent="0.25">
      <c r="B127" s="6" t="s">
        <v>395</v>
      </c>
      <c r="C127" s="66" t="s">
        <v>274</v>
      </c>
      <c r="D127" s="67">
        <f>1603855+9710</f>
        <v>1613565</v>
      </c>
      <c r="E127" s="21" t="s">
        <v>396</v>
      </c>
      <c r="F127" s="68" t="s">
        <v>397</v>
      </c>
      <c r="G127" s="69"/>
    </row>
    <row r="128" spans="2:7" ht="13.7" customHeight="1" x14ac:dyDescent="0.25">
      <c r="B128" s="6" t="s">
        <v>398</v>
      </c>
      <c r="C128" s="68" t="s">
        <v>399</v>
      </c>
      <c r="D128" s="69">
        <f>1063280.55+296356</f>
        <v>1359636.55</v>
      </c>
      <c r="E128" s="21" t="s">
        <v>400</v>
      </c>
      <c r="F128" s="68" t="s">
        <v>401</v>
      </c>
      <c r="G128" s="69"/>
    </row>
    <row r="129" spans="2:7" ht="13.7" customHeight="1" x14ac:dyDescent="0.25">
      <c r="B129" s="6" t="s">
        <v>402</v>
      </c>
      <c r="C129" s="68" t="s">
        <v>277</v>
      </c>
      <c r="D129" s="69">
        <f>202720.23+159261</f>
        <v>361981.23</v>
      </c>
      <c r="E129" s="21" t="s">
        <v>403</v>
      </c>
      <c r="F129" s="68" t="s">
        <v>404</v>
      </c>
      <c r="G129" s="69">
        <f>535211.83+362521</f>
        <v>897732.83</v>
      </c>
    </row>
    <row r="130" spans="2:7" ht="13.7" customHeight="1" x14ac:dyDescent="0.25">
      <c r="B130" s="6" t="s">
        <v>405</v>
      </c>
      <c r="C130" s="68" t="s">
        <v>283</v>
      </c>
      <c r="D130" s="69">
        <v>113488.52</v>
      </c>
      <c r="E130" s="21" t="s">
        <v>406</v>
      </c>
      <c r="F130" s="68" t="s">
        <v>407</v>
      </c>
      <c r="G130" s="69"/>
    </row>
    <row r="131" spans="2:7" ht="13.7" customHeight="1" x14ac:dyDescent="0.25">
      <c r="B131" s="6" t="s">
        <v>408</v>
      </c>
      <c r="C131" s="68" t="s">
        <v>287</v>
      </c>
      <c r="D131" s="69">
        <v>3923</v>
      </c>
      <c r="E131" s="21" t="s">
        <v>409</v>
      </c>
      <c r="F131" s="68" t="s">
        <v>410</v>
      </c>
      <c r="G131" s="69"/>
    </row>
    <row r="132" spans="2:7" ht="13.7" customHeight="1" x14ac:dyDescent="0.25">
      <c r="B132" s="6" t="s">
        <v>411</v>
      </c>
      <c r="C132" s="68" t="s">
        <v>291</v>
      </c>
      <c r="D132" s="69">
        <f>5642025.8+971928</f>
        <v>6613953.7999999998</v>
      </c>
      <c r="E132" s="21" t="s">
        <v>412</v>
      </c>
      <c r="F132" s="68" t="s">
        <v>413</v>
      </c>
      <c r="G132" s="69"/>
    </row>
    <row r="133" spans="2:7" ht="13.7" customHeight="1" x14ac:dyDescent="0.25">
      <c r="B133" s="6" t="s">
        <v>414</v>
      </c>
      <c r="C133" s="68" t="s">
        <v>295</v>
      </c>
      <c r="D133" s="69">
        <f>670062.07+34494</f>
        <v>704556.07</v>
      </c>
      <c r="E133" s="21" t="s">
        <v>415</v>
      </c>
      <c r="F133" s="68" t="s">
        <v>416</v>
      </c>
      <c r="G133" s="69"/>
    </row>
    <row r="134" spans="2:7" ht="13.7" customHeight="1" x14ac:dyDescent="0.25">
      <c r="B134" s="6" t="s">
        <v>417</v>
      </c>
      <c r="C134" s="68" t="s">
        <v>418</v>
      </c>
      <c r="D134" s="69">
        <f>1426964.42+118800</f>
        <v>1545764.42</v>
      </c>
      <c r="E134" s="21" t="s">
        <v>419</v>
      </c>
      <c r="F134" s="68" t="s">
        <v>420</v>
      </c>
      <c r="G134" s="69">
        <f>13587694+19246</f>
        <v>13606940</v>
      </c>
    </row>
    <row r="135" spans="2:7" ht="13.7" customHeight="1" x14ac:dyDescent="0.25">
      <c r="B135" s="6" t="s">
        <v>421</v>
      </c>
      <c r="C135" s="68" t="s">
        <v>422</v>
      </c>
      <c r="D135" s="69">
        <f>11325218.07+2200235</f>
        <v>13525453.07</v>
      </c>
      <c r="E135" s="21" t="s">
        <v>423</v>
      </c>
      <c r="F135" s="68" t="s">
        <v>424</v>
      </c>
      <c r="G135" s="69"/>
    </row>
    <row r="136" spans="2:7" ht="13.7" customHeight="1" x14ac:dyDescent="0.25">
      <c r="B136" s="6" t="s">
        <v>425</v>
      </c>
      <c r="C136" s="68" t="s">
        <v>318</v>
      </c>
      <c r="D136" s="69">
        <f>1821624.6+351749.99+5485336.31+294962.15+402847.54+8139025.81+2958018</f>
        <v>19453564.399999999</v>
      </c>
      <c r="E136" s="21" t="s">
        <v>426</v>
      </c>
      <c r="F136" s="68" t="s">
        <v>427</v>
      </c>
      <c r="G136" s="69"/>
    </row>
    <row r="137" spans="2:7" ht="13.7" customHeight="1" x14ac:dyDescent="0.25">
      <c r="B137" s="6" t="s">
        <v>428</v>
      </c>
      <c r="C137" s="19" t="s">
        <v>320</v>
      </c>
      <c r="D137" s="71">
        <f>1595429+279518</f>
        <v>1874947</v>
      </c>
      <c r="E137" s="21" t="s">
        <v>429</v>
      </c>
      <c r="F137" s="68" t="s">
        <v>430</v>
      </c>
      <c r="G137" s="69">
        <f>10761138.99+18568.22+6433410+1-5111361</f>
        <v>12101757.210000001</v>
      </c>
    </row>
    <row r="138" spans="2:7" ht="13.7" customHeight="1" thickBot="1" x14ac:dyDescent="0.3">
      <c r="B138" s="6"/>
      <c r="C138" s="28" t="s">
        <v>321</v>
      </c>
      <c r="D138" s="37">
        <f>SUM(D127:D137)</f>
        <v>47170833.060000002</v>
      </c>
      <c r="E138" s="21" t="s">
        <v>431</v>
      </c>
      <c r="F138" s="19" t="s">
        <v>432</v>
      </c>
      <c r="G138" s="20">
        <f>1030802+284653</f>
        <v>1315455</v>
      </c>
    </row>
    <row r="139" spans="2:7" ht="13.7" customHeight="1" thickBot="1" x14ac:dyDescent="0.3">
      <c r="B139" s="6" t="s">
        <v>433</v>
      </c>
      <c r="C139" s="66" t="s">
        <v>327</v>
      </c>
      <c r="D139" s="67"/>
      <c r="E139" s="7"/>
      <c r="F139" s="28" t="s">
        <v>434</v>
      </c>
      <c r="G139" s="37">
        <f>SUM(G124:G138)</f>
        <v>27983506.039999999</v>
      </c>
    </row>
    <row r="140" spans="2:7" ht="13.7" customHeight="1" thickBot="1" x14ac:dyDescent="0.3">
      <c r="B140" s="6" t="s">
        <v>435</v>
      </c>
      <c r="C140" s="68" t="s">
        <v>329</v>
      </c>
      <c r="D140" s="69">
        <f>287512.36+97006+2461833</f>
        <v>2846351.3599999999</v>
      </c>
      <c r="E140" s="7"/>
      <c r="F140" s="48" t="s">
        <v>436</v>
      </c>
      <c r="G140" s="72">
        <f>G123-G139</f>
        <v>-14911697.489999998</v>
      </c>
    </row>
    <row r="141" spans="2:7" ht="13.7" customHeight="1" x14ac:dyDescent="0.25">
      <c r="B141" s="6" t="s">
        <v>437</v>
      </c>
      <c r="C141" s="19" t="s">
        <v>331</v>
      </c>
      <c r="D141" s="71">
        <f>113804+4015</f>
        <v>117819</v>
      </c>
      <c r="E141" s="73"/>
    </row>
    <row r="142" spans="2:7" ht="13.7" customHeight="1" thickBot="1" x14ac:dyDescent="0.3">
      <c r="B142" s="6"/>
      <c r="C142" s="28" t="s">
        <v>332</v>
      </c>
      <c r="D142" s="37">
        <f>SUM(D139:D141)</f>
        <v>2964170.36</v>
      </c>
      <c r="E142" s="73"/>
    </row>
    <row r="143" spans="2:7" ht="13.7" customHeight="1" thickBot="1" x14ac:dyDescent="0.3">
      <c r="B143" s="6"/>
      <c r="C143" s="59" t="s">
        <v>438</v>
      </c>
      <c r="D143" s="74">
        <f>[35]Amortizaciones!D33</f>
        <v>41351</v>
      </c>
      <c r="E143" s="21"/>
      <c r="F143" s="48" t="s">
        <v>439</v>
      </c>
      <c r="G143" s="17">
        <f>+[35]E.S.P.!D6</f>
        <v>2020</v>
      </c>
    </row>
    <row r="144" spans="2:7" ht="13.7" customHeight="1" x14ac:dyDescent="0.25">
      <c r="B144" s="6" t="s">
        <v>440</v>
      </c>
      <c r="C144" s="66" t="s">
        <v>441</v>
      </c>
      <c r="D144" s="67">
        <f>770615+353630</f>
        <v>1124245</v>
      </c>
      <c r="E144" s="21" t="s">
        <v>442</v>
      </c>
      <c r="F144" s="66" t="s">
        <v>443</v>
      </c>
      <c r="G144" s="67">
        <f>2236+237290-163044.6</f>
        <v>76481.399999999994</v>
      </c>
    </row>
    <row r="145" spans="2:7" ht="13.7" customHeight="1" x14ac:dyDescent="0.25">
      <c r="B145" s="6" t="s">
        <v>444</v>
      </c>
      <c r="C145" s="68" t="s">
        <v>445</v>
      </c>
      <c r="D145" s="69">
        <v>102569</v>
      </c>
      <c r="E145" s="21" t="s">
        <v>446</v>
      </c>
      <c r="F145" s="68" t="s">
        <v>447</v>
      </c>
      <c r="G145" s="69">
        <f>500901+422300+549</f>
        <v>923750</v>
      </c>
    </row>
    <row r="146" spans="2:7" ht="13.7" customHeight="1" x14ac:dyDescent="0.25">
      <c r="B146" s="6" t="s">
        <v>448</v>
      </c>
      <c r="C146" s="75" t="s">
        <v>449</v>
      </c>
      <c r="D146" s="69">
        <v>0</v>
      </c>
      <c r="E146" s="21" t="s">
        <v>450</v>
      </c>
      <c r="F146" s="68" t="s">
        <v>451</v>
      </c>
      <c r="G146" s="69">
        <f>245413+12304</f>
        <v>257717</v>
      </c>
    </row>
    <row r="147" spans="2:7" ht="13.7" customHeight="1" x14ac:dyDescent="0.25">
      <c r="B147" s="6" t="s">
        <v>452</v>
      </c>
      <c r="C147" s="19" t="s">
        <v>453</v>
      </c>
      <c r="D147" s="71">
        <f>36144+14638</f>
        <v>50782</v>
      </c>
      <c r="E147" s="21" t="s">
        <v>454</v>
      </c>
      <c r="F147" s="68" t="s">
        <v>455</v>
      </c>
      <c r="G147" s="69"/>
    </row>
    <row r="148" spans="2:7" ht="13.7" customHeight="1" thickBot="1" x14ac:dyDescent="0.3">
      <c r="B148" s="6"/>
      <c r="C148" s="28" t="s">
        <v>456</v>
      </c>
      <c r="D148" s="37">
        <f>SUM(D144:D147)</f>
        <v>1277596</v>
      </c>
      <c r="E148" s="21" t="s">
        <v>457</v>
      </c>
      <c r="F148" s="68" t="s">
        <v>458</v>
      </c>
      <c r="G148" s="69"/>
    </row>
    <row r="149" spans="2:7" ht="13.7" customHeight="1" x14ac:dyDescent="0.25">
      <c r="B149" s="6" t="s">
        <v>459</v>
      </c>
      <c r="C149" s="66" t="s">
        <v>460</v>
      </c>
      <c r="D149" s="67">
        <v>125706</v>
      </c>
      <c r="E149" s="21" t="s">
        <v>461</v>
      </c>
      <c r="F149" s="68" t="s">
        <v>462</v>
      </c>
      <c r="G149" s="69"/>
    </row>
    <row r="150" spans="2:7" ht="13.7" customHeight="1" x14ac:dyDescent="0.25">
      <c r="B150" s="6" t="s">
        <v>463</v>
      </c>
      <c r="C150" s="68" t="s">
        <v>464</v>
      </c>
      <c r="D150" s="69">
        <v>0</v>
      </c>
      <c r="E150" s="21" t="s">
        <v>465</v>
      </c>
      <c r="F150" s="68" t="s">
        <v>466</v>
      </c>
      <c r="G150" s="69"/>
    </row>
    <row r="151" spans="2:7" ht="13.7" customHeight="1" x14ac:dyDescent="0.25">
      <c r="B151" s="6" t="s">
        <v>467</v>
      </c>
      <c r="C151" s="19" t="s">
        <v>468</v>
      </c>
      <c r="D151" s="71">
        <v>5203</v>
      </c>
      <c r="E151" s="21" t="s">
        <v>469</v>
      </c>
      <c r="F151" s="68" t="s">
        <v>470</v>
      </c>
      <c r="G151" s="69">
        <f>31998589+4679800</f>
        <v>36678389</v>
      </c>
    </row>
    <row r="152" spans="2:7" ht="13.7" customHeight="1" thickBot="1" x14ac:dyDescent="0.3">
      <c r="B152" s="6"/>
      <c r="C152" s="28" t="s">
        <v>471</v>
      </c>
      <c r="D152" s="37">
        <f>SUM(D149:D151)</f>
        <v>130909</v>
      </c>
      <c r="E152" s="21" t="s">
        <v>472</v>
      </c>
      <c r="F152" s="68" t="s">
        <v>473</v>
      </c>
      <c r="G152" s="69">
        <v>0</v>
      </c>
    </row>
    <row r="153" spans="2:7" ht="13.7" customHeight="1" thickBot="1" x14ac:dyDescent="0.3">
      <c r="B153" s="6"/>
      <c r="C153" s="48" t="s">
        <v>474</v>
      </c>
      <c r="D153" s="76">
        <f>D122+D126+D138+D142+D143+D148+D152</f>
        <v>185333338.30000001</v>
      </c>
      <c r="E153" s="21" t="s">
        <v>475</v>
      </c>
      <c r="F153" s="19" t="s">
        <v>476</v>
      </c>
      <c r="G153" s="20">
        <f>51539+538</f>
        <v>52077</v>
      </c>
    </row>
    <row r="154" spans="2:7" ht="13.7" customHeight="1" thickBot="1" x14ac:dyDescent="0.3">
      <c r="B154" s="6"/>
      <c r="E154" s="21"/>
      <c r="F154" s="28" t="s">
        <v>477</v>
      </c>
      <c r="G154" s="37">
        <f>SUM(G144:G153)</f>
        <v>37988414.399999999</v>
      </c>
    </row>
    <row r="155" spans="2:7" ht="13.7" customHeight="1" thickBot="1" x14ac:dyDescent="0.3">
      <c r="B155" s="6"/>
      <c r="C155" s="77" t="s">
        <v>478</v>
      </c>
      <c r="D155" s="65">
        <f>G109-D153</f>
        <v>32618147.130000293</v>
      </c>
      <c r="E155" s="21" t="s">
        <v>479</v>
      </c>
      <c r="F155" s="66" t="s">
        <v>480</v>
      </c>
      <c r="G155" s="67">
        <v>8701975.25</v>
      </c>
    </row>
    <row r="156" spans="2:7" ht="13.7" customHeight="1" x14ac:dyDescent="0.25">
      <c r="E156" s="21" t="s">
        <v>481</v>
      </c>
      <c r="F156" s="68" t="s">
        <v>482</v>
      </c>
      <c r="G156" s="69">
        <f>13926008.31+606926</f>
        <v>14532934.310000001</v>
      </c>
    </row>
    <row r="157" spans="2:7" ht="13.7" customHeight="1" x14ac:dyDescent="0.25">
      <c r="E157" s="21" t="s">
        <v>483</v>
      </c>
      <c r="F157" s="68" t="s">
        <v>484</v>
      </c>
      <c r="G157" s="69">
        <v>400868</v>
      </c>
    </row>
    <row r="158" spans="2:7" ht="13.7" customHeight="1" x14ac:dyDescent="0.25">
      <c r="E158" s="21" t="s">
        <v>485</v>
      </c>
      <c r="F158" s="68" t="s">
        <v>486</v>
      </c>
      <c r="G158" s="69"/>
    </row>
    <row r="159" spans="2:7" ht="13.7" customHeight="1" x14ac:dyDescent="0.25">
      <c r="E159" s="21" t="s">
        <v>487</v>
      </c>
      <c r="F159" s="68" t="s">
        <v>488</v>
      </c>
      <c r="G159" s="69">
        <v>888458.04</v>
      </c>
    </row>
    <row r="160" spans="2:7" ht="13.7" customHeight="1" x14ac:dyDescent="0.25">
      <c r="E160" s="21" t="s">
        <v>489</v>
      </c>
      <c r="F160" s="68" t="s">
        <v>490</v>
      </c>
      <c r="G160" s="69">
        <v>3890</v>
      </c>
    </row>
    <row r="161" spans="5:7" ht="13.7" customHeight="1" x14ac:dyDescent="0.25">
      <c r="E161" s="21" t="s">
        <v>491</v>
      </c>
      <c r="F161" s="68" t="s">
        <v>492</v>
      </c>
      <c r="G161" s="69">
        <v>340814.23</v>
      </c>
    </row>
    <row r="162" spans="5:7" ht="13.7" customHeight="1" x14ac:dyDescent="0.25">
      <c r="E162" s="21" t="s">
        <v>493</v>
      </c>
      <c r="F162" s="68" t="s">
        <v>494</v>
      </c>
      <c r="G162" s="69"/>
    </row>
    <row r="163" spans="5:7" ht="13.7" customHeight="1" x14ac:dyDescent="0.25">
      <c r="E163" s="21" t="s">
        <v>495</v>
      </c>
      <c r="F163" s="68" t="s">
        <v>496</v>
      </c>
      <c r="G163" s="69"/>
    </row>
    <row r="164" spans="5:7" ht="13.7" customHeight="1" x14ac:dyDescent="0.25">
      <c r="E164" s="21" t="s">
        <v>497</v>
      </c>
      <c r="F164" s="68" t="s">
        <v>498</v>
      </c>
      <c r="G164" s="69"/>
    </row>
    <row r="165" spans="5:7" ht="13.7" customHeight="1" x14ac:dyDescent="0.25">
      <c r="E165" s="21" t="s">
        <v>499</v>
      </c>
      <c r="F165" s="68" t="s">
        <v>500</v>
      </c>
      <c r="G165" s="69"/>
    </row>
    <row r="166" spans="5:7" ht="13.7" customHeight="1" x14ac:dyDescent="0.25">
      <c r="E166" s="21" t="s">
        <v>501</v>
      </c>
      <c r="F166" s="68" t="s">
        <v>502</v>
      </c>
      <c r="G166" s="69">
        <f>8668+1827221+127172</f>
        <v>1963061</v>
      </c>
    </row>
    <row r="167" spans="5:7" ht="13.7" customHeight="1" x14ac:dyDescent="0.25">
      <c r="E167" s="21" t="s">
        <v>503</v>
      </c>
      <c r="F167" s="19" t="s">
        <v>504</v>
      </c>
      <c r="G167" s="20">
        <f>1063685.26+46980</f>
        <v>1110665.26</v>
      </c>
    </row>
    <row r="168" spans="5:7" ht="13.7" customHeight="1" thickBot="1" x14ac:dyDescent="0.3">
      <c r="E168" s="21"/>
      <c r="F168" s="28" t="s">
        <v>505</v>
      </c>
      <c r="G168" s="37">
        <f>SUM(G155:G167)</f>
        <v>27942666.090000004</v>
      </c>
    </row>
    <row r="169" spans="5:7" ht="13.7" customHeight="1" thickBot="1" x14ac:dyDescent="0.3">
      <c r="E169" s="21"/>
      <c r="F169" s="48" t="s">
        <v>506</v>
      </c>
      <c r="G169" s="72">
        <f>G154-G168</f>
        <v>10045748.309999995</v>
      </c>
    </row>
    <row r="170" spans="5:7" ht="13.7" customHeight="1" thickBot="1" x14ac:dyDescent="0.3">
      <c r="E170" s="21"/>
      <c r="F170" s="78"/>
      <c r="G170" s="78"/>
    </row>
    <row r="171" spans="5:7" ht="13.7" customHeight="1" thickBot="1" x14ac:dyDescent="0.3">
      <c r="E171" s="21"/>
      <c r="F171" s="77" t="s">
        <v>507</v>
      </c>
      <c r="G171" s="79"/>
    </row>
    <row r="172" spans="5:7" ht="13.7" customHeight="1" thickBot="1" x14ac:dyDescent="0.3">
      <c r="E172" s="21"/>
      <c r="F172" s="80"/>
      <c r="G172" s="81">
        <f>+D155+G140+G169</f>
        <v>27752197.95000029</v>
      </c>
    </row>
    <row r="173" spans="5:7" ht="13.7" customHeight="1" thickBot="1" x14ac:dyDescent="0.3">
      <c r="E173" s="21"/>
      <c r="F173" s="5"/>
      <c r="G173" s="5"/>
    </row>
    <row r="174" spans="5:7" ht="13.7" customHeight="1" thickBot="1" x14ac:dyDescent="0.3">
      <c r="E174" s="21"/>
      <c r="F174" s="48" t="s">
        <v>508</v>
      </c>
      <c r="G174" s="17">
        <f>+G143</f>
        <v>2020</v>
      </c>
    </row>
    <row r="175" spans="5:7" ht="13.7" customHeight="1" x14ac:dyDescent="0.25">
      <c r="E175" s="21"/>
      <c r="F175" s="66" t="s">
        <v>509</v>
      </c>
      <c r="G175" s="67">
        <v>4577510</v>
      </c>
    </row>
    <row r="176" spans="5:7" ht="13.7" customHeight="1" x14ac:dyDescent="0.25">
      <c r="E176" s="21"/>
      <c r="F176" s="68" t="s">
        <v>510</v>
      </c>
      <c r="G176" s="69"/>
    </row>
    <row r="177" spans="1:8" ht="13.7" customHeight="1" thickBot="1" x14ac:dyDescent="0.3">
      <c r="F177" s="68" t="s">
        <v>511</v>
      </c>
      <c r="G177" s="69"/>
    </row>
    <row r="178" spans="1:8" ht="13.7" customHeight="1" thickBot="1" x14ac:dyDescent="0.3">
      <c r="F178" s="48" t="s">
        <v>512</v>
      </c>
      <c r="G178" s="72">
        <f>SUM(G175:G177)</f>
        <v>4577510</v>
      </c>
    </row>
    <row r="179" spans="1:8" ht="13.7" customHeight="1" thickBot="1" x14ac:dyDescent="0.3"/>
    <row r="180" spans="1:8" ht="13.7" customHeight="1" thickBot="1" x14ac:dyDescent="0.3">
      <c r="F180" s="77" t="s">
        <v>513</v>
      </c>
      <c r="G180" s="79"/>
    </row>
    <row r="181" spans="1:8" ht="13.7" customHeight="1" thickBot="1" x14ac:dyDescent="0.3">
      <c r="F181" s="83"/>
      <c r="G181" s="81">
        <f>+G172+G178</f>
        <v>32329707.95000029</v>
      </c>
    </row>
    <row r="182" spans="1:8" ht="13.7" customHeight="1" x14ac:dyDescent="0.25"/>
    <row r="183" spans="1:8" ht="13.5" customHeight="1" x14ac:dyDescent="0.25"/>
    <row r="184" spans="1:8" ht="13.7" customHeight="1" x14ac:dyDescent="0.25">
      <c r="E184" s="84"/>
      <c r="F184" s="84"/>
      <c r="G184" s="84"/>
      <c r="H184" s="84"/>
    </row>
    <row r="185" spans="1:8" s="84" customFormat="1" ht="13.7" customHeight="1" x14ac:dyDescent="0.25">
      <c r="A185" s="85"/>
      <c r="E185" s="82"/>
      <c r="F185" s="86"/>
      <c r="G185" s="86"/>
    </row>
    <row r="186" spans="1:8" s="84" customFormat="1" ht="12.75" x14ac:dyDescent="0.25">
      <c r="A186" s="85"/>
      <c r="E186" s="82"/>
      <c r="F186" s="86"/>
      <c r="G186" s="86"/>
    </row>
    <row r="187" spans="1:8" s="84" customFormat="1" ht="12.75" hidden="1" x14ac:dyDescent="0.25">
      <c r="A187" s="85"/>
      <c r="E187" s="82"/>
      <c r="F187" s="86"/>
      <c r="G187" s="86"/>
    </row>
    <row r="188" spans="1:8" s="84" customFormat="1" ht="12.75" hidden="1" x14ac:dyDescent="0.25">
      <c r="A188" s="85"/>
      <c r="E188" s="82"/>
      <c r="F188" s="86"/>
      <c r="G188" s="86"/>
    </row>
    <row r="189" spans="1:8" s="84" customFormat="1" ht="12.75" hidden="1" x14ac:dyDescent="0.25">
      <c r="A189" s="85"/>
      <c r="E189" s="82"/>
      <c r="F189" s="86"/>
      <c r="G189" s="86"/>
    </row>
    <row r="190" spans="1:8" s="84" customFormat="1" ht="12.75" hidden="1" x14ac:dyDescent="0.25">
      <c r="A190" s="85"/>
      <c r="E190" s="82"/>
      <c r="F190" s="86"/>
      <c r="G190" s="86"/>
    </row>
    <row r="191" spans="1:8" s="84" customFormat="1" ht="12.75" hidden="1" x14ac:dyDescent="0.25">
      <c r="A191" s="85"/>
      <c r="E191" s="82"/>
      <c r="F191" s="86"/>
      <c r="G191" s="86"/>
    </row>
    <row r="192" spans="1:8" s="84" customFormat="1" ht="12.75" hidden="1" x14ac:dyDescent="0.25">
      <c r="A192" s="85"/>
      <c r="E192" s="82"/>
      <c r="F192" s="86"/>
      <c r="G192" s="86"/>
    </row>
    <row r="193" spans="5:7" s="84" customFormat="1" ht="12.75" hidden="1" x14ac:dyDescent="0.25">
      <c r="E193" s="82"/>
      <c r="F193" s="86"/>
      <c r="G193" s="86"/>
    </row>
    <row r="194" spans="5:7" s="84" customFormat="1" ht="12.75" hidden="1" x14ac:dyDescent="0.25">
      <c r="E194" s="82"/>
      <c r="F194" s="86"/>
      <c r="G194" s="86"/>
    </row>
    <row r="195" spans="5:7" s="84" customFormat="1" ht="12.75" hidden="1" x14ac:dyDescent="0.25">
      <c r="E195" s="82"/>
      <c r="F195" s="86"/>
      <c r="G195" s="86"/>
    </row>
    <row r="196" spans="5:7" s="84" customFormat="1" ht="12.75" hidden="1" x14ac:dyDescent="0.25">
      <c r="E196" s="82"/>
      <c r="F196" s="86"/>
      <c r="G196" s="86"/>
    </row>
    <row r="197" spans="5:7" s="84" customFormat="1" ht="12.75" hidden="1" x14ac:dyDescent="0.25">
      <c r="E197" s="82"/>
      <c r="F197" s="86"/>
      <c r="G197" s="86"/>
    </row>
    <row r="198" spans="5:7" s="84" customFormat="1" ht="12.75" hidden="1" x14ac:dyDescent="0.25">
      <c r="E198" s="82"/>
      <c r="F198" s="86"/>
      <c r="G198" s="86"/>
    </row>
    <row r="199" spans="5:7" s="84" customFormat="1" ht="12.75" hidden="1" x14ac:dyDescent="0.25">
      <c r="E199" s="82"/>
      <c r="F199" s="86"/>
      <c r="G199" s="86"/>
    </row>
    <row r="200" spans="5:7" s="84" customFormat="1" ht="12.75" hidden="1" x14ac:dyDescent="0.25">
      <c r="E200" s="82"/>
      <c r="F200" s="86"/>
      <c r="G200" s="86"/>
    </row>
    <row r="201" spans="5:7" s="84" customFormat="1" ht="12.75" hidden="1" x14ac:dyDescent="0.25">
      <c r="E201" s="82"/>
      <c r="F201" s="86"/>
      <c r="G201" s="86"/>
    </row>
    <row r="202" spans="5:7" s="84" customFormat="1" ht="12.75" hidden="1" x14ac:dyDescent="0.25">
      <c r="E202" s="82"/>
      <c r="F202" s="86"/>
      <c r="G202" s="86"/>
    </row>
    <row r="203" spans="5:7" s="84" customFormat="1" ht="12.75" hidden="1" x14ac:dyDescent="0.25">
      <c r="E203" s="82"/>
      <c r="F203" s="86"/>
      <c r="G203" s="86"/>
    </row>
    <row r="204" spans="5:7" s="84" customFormat="1" ht="12.75" hidden="1" x14ac:dyDescent="0.25">
      <c r="E204" s="82"/>
      <c r="F204" s="86"/>
      <c r="G204" s="86"/>
    </row>
    <row r="205" spans="5:7" s="84" customFormat="1" ht="12.75" hidden="1" x14ac:dyDescent="0.25">
      <c r="E205" s="82"/>
      <c r="F205" s="86"/>
      <c r="G205" s="86"/>
    </row>
    <row r="206" spans="5:7" s="84" customFormat="1" ht="12.75" hidden="1" x14ac:dyDescent="0.25">
      <c r="E206" s="82"/>
      <c r="F206" s="86"/>
      <c r="G206" s="86"/>
    </row>
    <row r="207" spans="5:7" s="84" customFormat="1" ht="12.75" hidden="1" x14ac:dyDescent="0.25">
      <c r="E207" s="82"/>
      <c r="F207" s="86"/>
      <c r="G207" s="86"/>
    </row>
    <row r="208" spans="5:7" s="84" customFormat="1" ht="12.75" hidden="1" x14ac:dyDescent="0.25">
      <c r="E208" s="82"/>
      <c r="F208" s="86"/>
      <c r="G208" s="86"/>
    </row>
    <row r="209" spans="3:8" s="84" customFormat="1" ht="12.75" hidden="1" x14ac:dyDescent="0.25">
      <c r="E209" s="82"/>
      <c r="F209" s="86"/>
      <c r="G209" s="86"/>
    </row>
    <row r="210" spans="3:8" s="84" customFormat="1" ht="12.75" hidden="1" x14ac:dyDescent="0.25">
      <c r="E210" s="82"/>
      <c r="F210" s="86"/>
      <c r="G210" s="86"/>
    </row>
    <row r="211" spans="3:8" s="84" customFormat="1" ht="12.75" hidden="1" x14ac:dyDescent="0.25">
      <c r="E211" s="82"/>
      <c r="F211" s="86"/>
      <c r="G211" s="86"/>
    </row>
    <row r="212" spans="3:8" s="84" customFormat="1" ht="12.75" hidden="1" x14ac:dyDescent="0.25">
      <c r="E212" s="82"/>
      <c r="F212" s="86"/>
      <c r="G212" s="86"/>
    </row>
    <row r="213" spans="3:8" s="84" customFormat="1" ht="12.75" hidden="1" x14ac:dyDescent="0.25">
      <c r="E213" s="82"/>
      <c r="F213" s="86"/>
      <c r="G213" s="86"/>
    </row>
    <row r="214" spans="3:8" s="84" customFormat="1" hidden="1" x14ac:dyDescent="0.25">
      <c r="E214" s="82"/>
      <c r="F214" s="87"/>
      <c r="G214" s="58"/>
      <c r="H214" s="5"/>
    </row>
    <row r="215" spans="3:8" hidden="1" x14ac:dyDescent="0.25">
      <c r="C215" s="86"/>
      <c r="D215" s="86"/>
      <c r="F215" s="87"/>
    </row>
    <row r="216" spans="3:8" hidden="1" x14ac:dyDescent="0.25"/>
    <row r="217" spans="3:8" hidden="1" x14ac:dyDescent="0.25"/>
    <row r="218" spans="3:8" hidden="1" x14ac:dyDescent="0.25"/>
    <row r="219" spans="3:8" hidden="1" x14ac:dyDescent="0.25"/>
    <row r="220" spans="3:8" hidden="1" x14ac:dyDescent="0.25"/>
    <row r="221" spans="3:8" hidden="1" x14ac:dyDescent="0.25"/>
    <row r="222" spans="3:8" hidden="1" x14ac:dyDescent="0.25"/>
    <row r="223" spans="3:8" hidden="1" x14ac:dyDescent="0.25"/>
    <row r="224" spans="3:8"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sheetData>
  <mergeCells count="6">
    <mergeCell ref="C1:D1"/>
    <mergeCell ref="E1:F1"/>
    <mergeCell ref="C2:D2"/>
    <mergeCell ref="E2:F2"/>
    <mergeCell ref="C3:D3"/>
    <mergeCell ref="E3:F3"/>
  </mergeCells>
  <conditionalFormatting sqref="D7:D12">
    <cfRule type="cellIs" dxfId="37" priority="2" stopIfTrue="1" operator="greaterThan">
      <formula>50</formula>
    </cfRule>
    <cfRule type="cellIs" dxfId="36" priority="11" stopIfTrue="1" operator="equal">
      <formula>0</formula>
    </cfRule>
  </conditionalFormatting>
  <conditionalFormatting sqref="D7:D61">
    <cfRule type="cellIs" dxfId="35" priority="9" stopIfTrue="1" operator="between">
      <formula>-0.1</formula>
      <formula>-50</formula>
    </cfRule>
    <cfRule type="cellIs" dxfId="34" priority="10" stopIfTrue="1" operator="between">
      <formula>0.1</formula>
      <formula>50</formula>
    </cfRule>
  </conditionalFormatting>
  <conditionalFormatting sqref="G152:G181 G7:G150">
    <cfRule type="cellIs" dxfId="33" priority="7" stopIfTrue="1" operator="between">
      <formula>-0.1</formula>
      <formula>-50</formula>
    </cfRule>
    <cfRule type="cellIs" dxfId="32" priority="8" stopIfTrue="1" operator="between">
      <formula>0.1</formula>
      <formula>50</formula>
    </cfRule>
  </conditionalFormatting>
  <conditionalFormatting sqref="D111:D155">
    <cfRule type="cellIs" dxfId="31" priority="5" stopIfTrue="1" operator="between">
      <formula>-0.1</formula>
      <formula>-50</formula>
    </cfRule>
    <cfRule type="cellIs" dxfId="30" priority="6" stopIfTrue="1" operator="between">
      <formula>0.1</formula>
      <formula>50</formula>
    </cfRule>
  </conditionalFormatting>
  <conditionalFormatting sqref="G165">
    <cfRule type="expression" dxfId="29" priority="4" stopIfTrue="1">
      <formula>AND($G$165&gt;0,$G$151&gt;0)</formula>
    </cfRule>
  </conditionalFormatting>
  <conditionalFormatting sqref="G151">
    <cfRule type="expression" dxfId="28" priority="1" stopIfTrue="1">
      <formula>AND($G$151&gt;0,$G$165&gt;0)</formula>
    </cfRule>
  </conditionalFormatting>
  <dataValidations count="11">
    <dataValidation type="custom" operator="greaterThan" showInputMessage="1" showErrorMessage="1" errorTitle="RDM" error="No se admite ingresar RDM como ingresos y egresos a la vez. Tampoco se admiten valores menores a $50._x000a_" sqref="G151">
      <formula1>AND(OR(G151=0, G151&gt;50),G165=0)</formula1>
    </dataValidation>
    <dataValidation type="whole" operator="greaterThan" allowBlank="1" showInputMessage="1" showErrorMessage="1" sqref="D8:D12">
      <formula1>50</formula1>
    </dataValidation>
    <dataValidation type="whole" operator="greaterThan" showInputMessage="1" showErrorMessage="1" errorTitle="eee" error="Valores mayores a $50" sqref="D7">
      <formula1>50</formula1>
    </dataValidation>
    <dataValidation type="custom" operator="greaterThan" showInputMessage="1" showErrorMessage="1" errorTitle="eee" sqref="D56">
      <formula1>OR(D56=0, D56&lt;50)</formula1>
    </dataValidation>
    <dataValidation type="custom" operator="greaterThan" showInputMessage="1" showErrorMessage="1" errorTitle="eee" sqref="D57:D61">
      <formula1>OR(D57=0, D57&lt;0)</formula1>
    </dataValidation>
    <dataValidation type="custom" operator="greaterThan" showInputMessage="1" showErrorMessage="1" errorTitle="eee" sqref="G7:G140 D62:D155 G152:G164 D13:D55 G144:G150 G166:G181">
      <formula1>OR(D7=0, D7&gt;50)</formula1>
    </dataValidation>
    <dataValidation type="whole" allowBlank="1" showErrorMessage="1" errorTitle="Error de datos" error="Debe ingresar un valor entre 1 y 12" sqref="G1:G3">
      <formula1>1</formula1>
      <formula2>12</formula2>
    </dataValidation>
    <dataValidation allowBlank="1" errorTitle="Error de datos" error="Debe introducir una fecha válida" sqref="E3"/>
    <dataValidation allowBlank="1" sqref="G204"/>
    <dataValidation operator="greaterThanOrEqual" allowBlank="1" errorTitle="Error de datos" error="Debe ingresar un valor entero positivo" sqref="F6:F107 F203 C13:C47 C106:C153 F171 F174:F178 F180 F111:F119 C7:C10 F121:F140 F143:F169 C49:C62 C155 F109"/>
    <dataValidation type="custom" operator="greaterThan" showInputMessage="1" showErrorMessage="1" errorTitle="rdm2" error="No se admite ingresar a la vez RDM como ingresos y como egresos. Tampoco se admiten valores negattivos o positivos menores de 50" sqref="G165">
      <formula1>AND(OR(G165=0, G165&gt;50),G151=0)</formula1>
    </dataValidation>
  </dataValidations>
  <pageMargins left="0.7" right="0.7" top="0.75" bottom="0.75" header="0.3" footer="0.3"/>
  <ignoredErrors>
    <ignoredError sqref="E7:E181" numberStoredAsText="1"/>
    <ignoredError sqref="D7:D19 D22:D28 D30:D34 D36:D46 D50 D112:D121 D127:D137 D140:D141 D144:D147 G156:G167 G144:G153 G129:G138 G116:G122 G97:G100 G81:G94 G58:G78 G49:G56 G46:G47 G39 G28:G31 G21:G26 G7:G18" unlockedFormula="1"/>
  </ignoredErrors>
  <legacyDrawing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26"/>
  <sheetViews>
    <sheetView showGridLines="0" workbookViewId="0">
      <selection activeCell="F4" sqref="F4"/>
    </sheetView>
  </sheetViews>
  <sheetFormatPr baseColWidth="10" defaultColWidth="0" defaultRowHeight="15" zeroHeight="1" x14ac:dyDescent="0.25"/>
  <cols>
    <col min="1" max="1" width="3.7109375" style="1" customWidth="1"/>
    <col min="2" max="2" width="14.28515625" style="7" hidden="1" customWidth="1"/>
    <col min="3" max="3" width="58.42578125" style="58" customWidth="1"/>
    <col min="4" max="4" width="25.140625" style="58" customWidth="1"/>
    <col min="5" max="5" width="4.7109375" style="82" customWidth="1"/>
    <col min="6" max="6" width="57.28515625" style="58" customWidth="1"/>
    <col min="7" max="7" width="24.7109375" style="58" customWidth="1"/>
    <col min="8" max="8" width="5.42578125" style="5" customWidth="1"/>
    <col min="9" max="16384" width="0" style="5" hidden="1"/>
  </cols>
  <sheetData>
    <row r="1" spans="1:9" ht="15.75" x14ac:dyDescent="0.25">
      <c r="B1" s="2"/>
      <c r="C1" s="313" t="s">
        <v>0</v>
      </c>
      <c r="D1" s="314"/>
      <c r="E1" s="315" t="str">
        <f>[36]Presentacion!C2</f>
        <v>IAC</v>
      </c>
      <c r="F1" s="315"/>
      <c r="G1" s="3"/>
      <c r="H1" s="4"/>
    </row>
    <row r="2" spans="1:9" ht="15.75" x14ac:dyDescent="0.25">
      <c r="B2" s="6"/>
      <c r="C2" s="313" t="s">
        <v>1</v>
      </c>
      <c r="D2" s="314"/>
      <c r="E2" s="315" t="str">
        <f>[36]Presentacion!C3</f>
        <v>Treinta y Tres</v>
      </c>
      <c r="F2" s="315"/>
      <c r="G2" s="3"/>
      <c r="H2" s="4"/>
    </row>
    <row r="3" spans="1:9" ht="15.75" x14ac:dyDescent="0.25">
      <c r="B3" s="6"/>
      <c r="C3" s="313" t="s">
        <v>2</v>
      </c>
      <c r="D3" s="316"/>
      <c r="E3" s="317" t="s">
        <v>3</v>
      </c>
      <c r="F3" s="317"/>
      <c r="G3" s="3"/>
      <c r="H3" s="4"/>
    </row>
    <row r="4" spans="1:9" ht="15.75" thickBot="1" x14ac:dyDescent="0.3">
      <c r="C4" s="287"/>
      <c r="D4" s="8"/>
      <c r="E4" s="9"/>
      <c r="F4" s="10"/>
      <c r="G4" s="11"/>
    </row>
    <row r="5" spans="1:9" ht="16.5" thickBot="1" x14ac:dyDescent="0.3">
      <c r="B5" s="12"/>
      <c r="C5" s="13" t="s">
        <v>4</v>
      </c>
      <c r="D5" s="284" t="s">
        <v>5</v>
      </c>
      <c r="E5" s="14"/>
      <c r="F5" s="13" t="s">
        <v>6</v>
      </c>
      <c r="G5" s="284" t="s">
        <v>5</v>
      </c>
      <c r="I5" s="15"/>
    </row>
    <row r="6" spans="1:9" ht="16.5" thickBot="1" x14ac:dyDescent="0.3">
      <c r="B6" s="12"/>
      <c r="C6" s="16" t="s">
        <v>7</v>
      </c>
      <c r="D6" s="290">
        <f>+[36]E.S.P.!D6</f>
        <v>2020</v>
      </c>
      <c r="E6" s="18"/>
      <c r="F6" s="16" t="s">
        <v>8</v>
      </c>
      <c r="G6" s="290">
        <f>+D6</f>
        <v>2020</v>
      </c>
      <c r="H6" s="15"/>
    </row>
    <row r="7" spans="1:9" x14ac:dyDescent="0.25">
      <c r="B7" s="6" t="s">
        <v>9</v>
      </c>
      <c r="C7" s="19" t="s">
        <v>10</v>
      </c>
      <c r="D7" s="20">
        <v>13811197</v>
      </c>
      <c r="E7" s="21" t="s">
        <v>11</v>
      </c>
      <c r="F7" s="22" t="s">
        <v>12</v>
      </c>
      <c r="G7" s="23">
        <v>1595101</v>
      </c>
    </row>
    <row r="8" spans="1:9" x14ac:dyDescent="0.25">
      <c r="B8" s="6" t="s">
        <v>13</v>
      </c>
      <c r="C8" s="19" t="s">
        <v>14</v>
      </c>
      <c r="D8" s="20">
        <v>30227086</v>
      </c>
      <c r="E8" s="21" t="s">
        <v>15</v>
      </c>
      <c r="F8" s="19" t="s">
        <v>16</v>
      </c>
      <c r="G8" s="24"/>
    </row>
    <row r="9" spans="1:9" x14ac:dyDescent="0.25">
      <c r="B9" s="6" t="s">
        <v>17</v>
      </c>
      <c r="C9" s="19" t="s">
        <v>18</v>
      </c>
      <c r="D9" s="20">
        <f>555968443</f>
        <v>555968443</v>
      </c>
      <c r="E9" s="21" t="s">
        <v>19</v>
      </c>
      <c r="F9" s="19" t="s">
        <v>20</v>
      </c>
      <c r="G9" s="20"/>
    </row>
    <row r="10" spans="1:9" x14ac:dyDescent="0.25">
      <c r="B10" s="6" t="s">
        <v>21</v>
      </c>
      <c r="C10" s="19" t="s">
        <v>22</v>
      </c>
      <c r="D10" s="20">
        <v>57598627</v>
      </c>
      <c r="E10" s="21" t="s">
        <v>23</v>
      </c>
      <c r="F10" s="19" t="s">
        <v>24</v>
      </c>
      <c r="G10" s="20">
        <v>72178378</v>
      </c>
    </row>
    <row r="11" spans="1:9" x14ac:dyDescent="0.25">
      <c r="B11" s="6" t="s">
        <v>25</v>
      </c>
      <c r="C11" s="19" t="s">
        <v>26</v>
      </c>
      <c r="D11" s="20">
        <v>13811102</v>
      </c>
      <c r="E11" s="21" t="s">
        <v>27</v>
      </c>
      <c r="F11" s="19" t="s">
        <v>28</v>
      </c>
      <c r="G11" s="20">
        <v>115440504</v>
      </c>
    </row>
    <row r="12" spans="1:9" x14ac:dyDescent="0.25">
      <c r="B12" s="6" t="s">
        <v>29</v>
      </c>
      <c r="C12" s="19" t="s">
        <v>30</v>
      </c>
      <c r="D12" s="20">
        <v>14430772</v>
      </c>
      <c r="E12" s="21" t="s">
        <v>31</v>
      </c>
      <c r="F12" s="19" t="s">
        <v>32</v>
      </c>
      <c r="G12" s="20">
        <v>24250296</v>
      </c>
    </row>
    <row r="13" spans="1:9" x14ac:dyDescent="0.25">
      <c r="B13" s="6" t="s">
        <v>33</v>
      </c>
      <c r="C13" s="19" t="s">
        <v>34</v>
      </c>
      <c r="D13" s="20">
        <v>2039720</v>
      </c>
      <c r="E13" s="21" t="s">
        <v>35</v>
      </c>
      <c r="F13" s="19" t="s">
        <v>36</v>
      </c>
      <c r="G13" s="20">
        <v>24653533</v>
      </c>
    </row>
    <row r="14" spans="1:9" x14ac:dyDescent="0.25">
      <c r="A14" s="25"/>
      <c r="B14" s="6" t="s">
        <v>37</v>
      </c>
      <c r="C14" s="19" t="s">
        <v>38</v>
      </c>
      <c r="D14" s="20"/>
      <c r="E14" s="21" t="s">
        <v>39</v>
      </c>
      <c r="F14" s="19" t="s">
        <v>40</v>
      </c>
      <c r="G14" s="20">
        <v>71824852</v>
      </c>
    </row>
    <row r="15" spans="1:9" x14ac:dyDescent="0.25">
      <c r="B15" s="6" t="s">
        <v>41</v>
      </c>
      <c r="C15" s="26" t="s">
        <v>42</v>
      </c>
      <c r="D15" s="20"/>
      <c r="E15" s="21" t="s">
        <v>43</v>
      </c>
      <c r="F15" s="19" t="s">
        <v>44</v>
      </c>
      <c r="G15" s="20">
        <v>49679599</v>
      </c>
    </row>
    <row r="16" spans="1:9" x14ac:dyDescent="0.25">
      <c r="B16" s="6" t="s">
        <v>45</v>
      </c>
      <c r="C16" s="19" t="s">
        <v>46</v>
      </c>
      <c r="D16" s="20"/>
      <c r="E16" s="21" t="s">
        <v>47</v>
      </c>
      <c r="F16" s="19" t="s">
        <v>48</v>
      </c>
      <c r="G16" s="20">
        <v>39408150</v>
      </c>
    </row>
    <row r="17" spans="1:7" x14ac:dyDescent="0.25">
      <c r="B17" s="6" t="s">
        <v>49</v>
      </c>
      <c r="C17" s="19" t="s">
        <v>50</v>
      </c>
      <c r="D17" s="20"/>
      <c r="E17" s="21" t="s">
        <v>51</v>
      </c>
      <c r="F17" s="19" t="s">
        <v>52</v>
      </c>
      <c r="G17" s="20">
        <f>23920615+2389387</f>
        <v>26310002</v>
      </c>
    </row>
    <row r="18" spans="1:7" x14ac:dyDescent="0.25">
      <c r="A18" s="25"/>
      <c r="B18" s="6" t="s">
        <v>53</v>
      </c>
      <c r="C18" s="19" t="s">
        <v>54</v>
      </c>
      <c r="D18" s="20">
        <v>16332</v>
      </c>
      <c r="E18" s="21" t="s">
        <v>55</v>
      </c>
      <c r="F18" s="19" t="s">
        <v>56</v>
      </c>
      <c r="G18" s="27">
        <v>19906323</v>
      </c>
    </row>
    <row r="19" spans="1:7" ht="15.75" thickBot="1" x14ac:dyDescent="0.3">
      <c r="A19" s="25"/>
      <c r="B19" s="6" t="s">
        <v>57</v>
      </c>
      <c r="C19" s="19" t="s">
        <v>58</v>
      </c>
      <c r="D19" s="20">
        <v>32193742</v>
      </c>
      <c r="E19" s="21"/>
      <c r="F19" s="28" t="s">
        <v>59</v>
      </c>
      <c r="G19" s="29">
        <f>SUM(G7:G18)</f>
        <v>445246738</v>
      </c>
    </row>
    <row r="20" spans="1:7" ht="15.75" thickBot="1" x14ac:dyDescent="0.3">
      <c r="B20" s="6"/>
      <c r="C20" s="28" t="s">
        <v>60</v>
      </c>
      <c r="D20" s="29">
        <f>SUM(D7:D19)</f>
        <v>720097021</v>
      </c>
      <c r="E20" s="21" t="s">
        <v>61</v>
      </c>
      <c r="F20" s="22" t="s">
        <v>62</v>
      </c>
      <c r="G20" s="23">
        <v>63804</v>
      </c>
    </row>
    <row r="21" spans="1:7" x14ac:dyDescent="0.25">
      <c r="B21" s="6"/>
      <c r="C21" s="30" t="s">
        <v>63</v>
      </c>
      <c r="D21" s="31">
        <f>SUM(D22:D28)</f>
        <v>8763458</v>
      </c>
      <c r="E21" s="21" t="s">
        <v>64</v>
      </c>
      <c r="F21" s="19" t="s">
        <v>65</v>
      </c>
      <c r="G21" s="20">
        <v>10035243</v>
      </c>
    </row>
    <row r="22" spans="1:7" x14ac:dyDescent="0.25">
      <c r="B22" s="6" t="s">
        <v>66</v>
      </c>
      <c r="C22" s="19" t="s">
        <v>67</v>
      </c>
      <c r="D22" s="20">
        <v>5452810</v>
      </c>
      <c r="E22" s="21" t="s">
        <v>68</v>
      </c>
      <c r="F22" s="19" t="s">
        <v>69</v>
      </c>
      <c r="G22" s="20"/>
    </row>
    <row r="23" spans="1:7" x14ac:dyDescent="0.25">
      <c r="B23" s="6" t="s">
        <v>70</v>
      </c>
      <c r="C23" s="19" t="s">
        <v>71</v>
      </c>
      <c r="D23" s="20">
        <v>361546</v>
      </c>
      <c r="E23" s="21" t="s">
        <v>72</v>
      </c>
      <c r="F23" s="19" t="s">
        <v>73</v>
      </c>
      <c r="G23" s="20">
        <v>5338758</v>
      </c>
    </row>
    <row r="24" spans="1:7" x14ac:dyDescent="0.25">
      <c r="B24" s="6" t="s">
        <v>74</v>
      </c>
      <c r="C24" s="19" t="s">
        <v>75</v>
      </c>
      <c r="D24" s="20">
        <v>1868298</v>
      </c>
      <c r="E24" s="21" t="s">
        <v>76</v>
      </c>
      <c r="F24" s="19" t="s">
        <v>77</v>
      </c>
      <c r="G24" s="20"/>
    </row>
    <row r="25" spans="1:7" x14ac:dyDescent="0.25">
      <c r="B25" s="6" t="s">
        <v>78</v>
      </c>
      <c r="C25" s="19" t="s">
        <v>79</v>
      </c>
      <c r="D25" s="20">
        <v>37742</v>
      </c>
      <c r="E25" s="21" t="s">
        <v>80</v>
      </c>
      <c r="F25" s="19" t="s">
        <v>81</v>
      </c>
      <c r="G25" s="20"/>
    </row>
    <row r="26" spans="1:7" x14ac:dyDescent="0.25">
      <c r="B26" s="6" t="s">
        <v>82</v>
      </c>
      <c r="C26" s="19" t="s">
        <v>83</v>
      </c>
      <c r="D26" s="20">
        <v>238551</v>
      </c>
      <c r="E26" s="21" t="s">
        <v>84</v>
      </c>
      <c r="F26" s="19" t="s">
        <v>85</v>
      </c>
      <c r="G26" s="27">
        <v>722503</v>
      </c>
    </row>
    <row r="27" spans="1:7" ht="15.75" thickBot="1" x14ac:dyDescent="0.3">
      <c r="B27" s="6" t="s">
        <v>86</v>
      </c>
      <c r="C27" s="19" t="s">
        <v>87</v>
      </c>
      <c r="D27" s="20">
        <v>391801</v>
      </c>
      <c r="E27" s="21"/>
      <c r="F27" s="28" t="s">
        <v>88</v>
      </c>
      <c r="G27" s="29">
        <f>SUM(G20:G26)</f>
        <v>16160308</v>
      </c>
    </row>
    <row r="28" spans="1:7" x14ac:dyDescent="0.25">
      <c r="B28" s="6" t="s">
        <v>89</v>
      </c>
      <c r="C28" s="19" t="s">
        <v>90</v>
      </c>
      <c r="D28" s="20">
        <v>412710</v>
      </c>
      <c r="E28" s="21" t="s">
        <v>91</v>
      </c>
      <c r="F28" s="22" t="s">
        <v>92</v>
      </c>
      <c r="G28" s="23">
        <v>38333168</v>
      </c>
    </row>
    <row r="29" spans="1:7" x14ac:dyDescent="0.25">
      <c r="B29" s="6"/>
      <c r="C29" s="32" t="s">
        <v>93</v>
      </c>
      <c r="D29" s="31">
        <f>SUM(D30:D34)</f>
        <v>48835482</v>
      </c>
      <c r="E29" s="21" t="s">
        <v>94</v>
      </c>
      <c r="F29" s="19" t="s">
        <v>95</v>
      </c>
      <c r="G29" s="20"/>
    </row>
    <row r="30" spans="1:7" x14ac:dyDescent="0.25">
      <c r="B30" s="6" t="s">
        <v>96</v>
      </c>
      <c r="C30" s="19" t="s">
        <v>97</v>
      </c>
      <c r="D30" s="20">
        <v>40021344</v>
      </c>
      <c r="E30" s="21" t="s">
        <v>98</v>
      </c>
      <c r="F30" s="19" t="s">
        <v>99</v>
      </c>
      <c r="G30" s="20">
        <v>2523029</v>
      </c>
    </row>
    <row r="31" spans="1:7" x14ac:dyDescent="0.25">
      <c r="B31" s="6" t="s">
        <v>100</v>
      </c>
      <c r="C31" s="19" t="s">
        <v>101</v>
      </c>
      <c r="D31" s="20">
        <v>3924771</v>
      </c>
      <c r="E31" s="21" t="s">
        <v>102</v>
      </c>
      <c r="F31" s="19" t="s">
        <v>103</v>
      </c>
      <c r="G31" s="27">
        <v>1912108</v>
      </c>
    </row>
    <row r="32" spans="1:7" ht="15.75" thickBot="1" x14ac:dyDescent="0.3">
      <c r="B32" s="6" t="s">
        <v>104</v>
      </c>
      <c r="C32" s="19" t="s">
        <v>105</v>
      </c>
      <c r="D32" s="20">
        <f>2424545</f>
        <v>2424545</v>
      </c>
      <c r="E32" s="21"/>
      <c r="F32" s="28" t="s">
        <v>106</v>
      </c>
      <c r="G32" s="29">
        <f>SUM(G28:G31)</f>
        <v>42768305</v>
      </c>
    </row>
    <row r="33" spans="2:7" x14ac:dyDescent="0.25">
      <c r="B33" s="6" t="s">
        <v>107</v>
      </c>
      <c r="C33" s="19" t="s">
        <v>108</v>
      </c>
      <c r="D33" s="20">
        <v>281460</v>
      </c>
      <c r="E33" s="21"/>
      <c r="F33" s="32" t="s">
        <v>109</v>
      </c>
      <c r="G33" s="31">
        <f>SUM(G34:G39)</f>
        <v>37668536</v>
      </c>
    </row>
    <row r="34" spans="2:7" x14ac:dyDescent="0.25">
      <c r="B34" s="6" t="s">
        <v>110</v>
      </c>
      <c r="C34" s="19" t="s">
        <v>111</v>
      </c>
      <c r="D34" s="20">
        <v>2183362</v>
      </c>
      <c r="E34" s="21" t="s">
        <v>112</v>
      </c>
      <c r="F34" s="19" t="s">
        <v>113</v>
      </c>
      <c r="G34" s="20">
        <v>1753722</v>
      </c>
    </row>
    <row r="35" spans="2:7" ht="15.75" thickBot="1" x14ac:dyDescent="0.3">
      <c r="B35" s="6"/>
      <c r="C35" s="28" t="s">
        <v>114</v>
      </c>
      <c r="D35" s="29">
        <f>+D21+D29</f>
        <v>57598940</v>
      </c>
      <c r="E35" s="21" t="s">
        <v>115</v>
      </c>
      <c r="F35" s="19" t="s">
        <v>116</v>
      </c>
      <c r="G35" s="20">
        <v>680132</v>
      </c>
    </row>
    <row r="36" spans="2:7" x14ac:dyDescent="0.25">
      <c r="B36" s="6" t="s">
        <v>117</v>
      </c>
      <c r="C36" s="19" t="s">
        <v>118</v>
      </c>
      <c r="D36" s="20">
        <v>6048047</v>
      </c>
      <c r="E36" s="21" t="s">
        <v>119</v>
      </c>
      <c r="F36" s="19" t="s">
        <v>120</v>
      </c>
      <c r="G36" s="20">
        <v>1112030</v>
      </c>
    </row>
    <row r="37" spans="2:7" x14ac:dyDescent="0.25">
      <c r="B37" s="6" t="s">
        <v>121</v>
      </c>
      <c r="C37" s="19" t="s">
        <v>122</v>
      </c>
      <c r="D37" s="20">
        <v>16571903</v>
      </c>
      <c r="E37" s="21" t="s">
        <v>123</v>
      </c>
      <c r="F37" s="19" t="s">
        <v>124</v>
      </c>
      <c r="G37" s="20">
        <v>3201442</v>
      </c>
    </row>
    <row r="38" spans="2:7" x14ac:dyDescent="0.25">
      <c r="B38" s="6" t="s">
        <v>125</v>
      </c>
      <c r="C38" s="19" t="s">
        <v>126</v>
      </c>
      <c r="D38" s="20"/>
      <c r="E38" s="21" t="s">
        <v>127</v>
      </c>
      <c r="F38" s="19" t="s">
        <v>128</v>
      </c>
      <c r="G38" s="20">
        <v>4349874</v>
      </c>
    </row>
    <row r="39" spans="2:7" x14ac:dyDescent="0.25">
      <c r="B39" s="6" t="s">
        <v>129</v>
      </c>
      <c r="C39" s="19" t="s">
        <v>130</v>
      </c>
      <c r="D39" s="20"/>
      <c r="E39" s="21" t="s">
        <v>131</v>
      </c>
      <c r="F39" s="19" t="s">
        <v>132</v>
      </c>
      <c r="G39" s="20">
        <v>26571336</v>
      </c>
    </row>
    <row r="40" spans="2:7" x14ac:dyDescent="0.25">
      <c r="B40" s="6" t="s">
        <v>133</v>
      </c>
      <c r="C40" s="19" t="s">
        <v>134</v>
      </c>
      <c r="D40" s="20">
        <v>625714</v>
      </c>
      <c r="E40" s="21"/>
      <c r="F40" s="33" t="s">
        <v>135</v>
      </c>
      <c r="G40" s="34">
        <f>SUM(G41:G46)</f>
        <v>10971023</v>
      </c>
    </row>
    <row r="41" spans="2:7" x14ac:dyDescent="0.25">
      <c r="B41" s="6" t="s">
        <v>136</v>
      </c>
      <c r="C41" s="19" t="s">
        <v>137</v>
      </c>
      <c r="D41" s="20"/>
      <c r="E41" s="21" t="s">
        <v>138</v>
      </c>
      <c r="F41" s="19" t="s">
        <v>139</v>
      </c>
      <c r="G41" s="20">
        <v>1312716</v>
      </c>
    </row>
    <row r="42" spans="2:7" x14ac:dyDescent="0.25">
      <c r="B42" s="6" t="s">
        <v>140</v>
      </c>
      <c r="C42" s="19" t="s">
        <v>141</v>
      </c>
      <c r="D42" s="20">
        <f>27757+28342+10982489+7462902</f>
        <v>18501490</v>
      </c>
      <c r="E42" s="21" t="s">
        <v>142</v>
      </c>
      <c r="F42" s="19" t="s">
        <v>143</v>
      </c>
      <c r="G42" s="20">
        <v>41290</v>
      </c>
    </row>
    <row r="43" spans="2:7" x14ac:dyDescent="0.25">
      <c r="B43" s="6" t="s">
        <v>144</v>
      </c>
      <c r="C43" s="19" t="s">
        <v>145</v>
      </c>
      <c r="D43" s="20"/>
      <c r="E43" s="21" t="s">
        <v>146</v>
      </c>
      <c r="F43" s="19" t="s">
        <v>147</v>
      </c>
      <c r="G43" s="20">
        <v>1074029</v>
      </c>
    </row>
    <row r="44" spans="2:7" x14ac:dyDescent="0.25">
      <c r="B44" s="6" t="s">
        <v>148</v>
      </c>
      <c r="C44" s="19" t="s">
        <v>149</v>
      </c>
      <c r="D44" s="20"/>
      <c r="E44" s="21" t="s">
        <v>150</v>
      </c>
      <c r="F44" s="19" t="s">
        <v>151</v>
      </c>
      <c r="G44" s="20">
        <v>435170</v>
      </c>
    </row>
    <row r="45" spans="2:7" x14ac:dyDescent="0.25">
      <c r="B45" s="6" t="s">
        <v>152</v>
      </c>
      <c r="C45" s="19" t="s">
        <v>153</v>
      </c>
      <c r="D45" s="20">
        <v>2516268</v>
      </c>
      <c r="E45" s="21" t="s">
        <v>154</v>
      </c>
      <c r="F45" s="19" t="s">
        <v>155</v>
      </c>
      <c r="G45" s="20">
        <v>259006</v>
      </c>
    </row>
    <row r="46" spans="2:7" x14ac:dyDescent="0.25">
      <c r="B46" s="6" t="s">
        <v>156</v>
      </c>
      <c r="C46" s="19" t="s">
        <v>157</v>
      </c>
      <c r="D46" s="20">
        <v>2071569</v>
      </c>
      <c r="E46" s="21" t="s">
        <v>158</v>
      </c>
      <c r="F46" s="19" t="s">
        <v>159</v>
      </c>
      <c r="G46" s="20">
        <v>7848812</v>
      </c>
    </row>
    <row r="47" spans="2:7" ht="15.75" thickBot="1" x14ac:dyDescent="0.3">
      <c r="B47" s="6"/>
      <c r="C47" s="28" t="s">
        <v>160</v>
      </c>
      <c r="D47" s="29">
        <f>SUM(D36:D46)</f>
        <v>46334991</v>
      </c>
      <c r="E47" s="21" t="s">
        <v>161</v>
      </c>
      <c r="F47" s="19" t="s">
        <v>162</v>
      </c>
      <c r="G47" s="27">
        <v>2276376</v>
      </c>
    </row>
    <row r="48" spans="2:7" ht="15.75" thickBot="1" x14ac:dyDescent="0.3">
      <c r="B48" s="6"/>
      <c r="C48" s="35" t="s">
        <v>163</v>
      </c>
      <c r="D48" s="36"/>
      <c r="E48" s="21"/>
      <c r="F48" s="28" t="s">
        <v>164</v>
      </c>
      <c r="G48" s="37">
        <f>+G33+G40+G47</f>
        <v>50915935</v>
      </c>
    </row>
    <row r="49" spans="2:7" x14ac:dyDescent="0.25">
      <c r="B49" s="6" t="s">
        <v>165</v>
      </c>
      <c r="C49" s="38" t="s">
        <v>166</v>
      </c>
      <c r="D49" s="39"/>
      <c r="E49" s="21" t="s">
        <v>167</v>
      </c>
      <c r="F49" s="22" t="s">
        <v>168</v>
      </c>
      <c r="G49" s="23">
        <v>17357311</v>
      </c>
    </row>
    <row r="50" spans="2:7" x14ac:dyDescent="0.25">
      <c r="B50" s="6" t="s">
        <v>169</v>
      </c>
      <c r="C50" s="19" t="s">
        <v>163</v>
      </c>
      <c r="D50" s="20">
        <f>93286-4171</f>
        <v>89115</v>
      </c>
      <c r="E50" s="21" t="s">
        <v>170</v>
      </c>
      <c r="F50" s="19" t="s">
        <v>171</v>
      </c>
      <c r="G50" s="20">
        <v>23945127</v>
      </c>
    </row>
    <row r="51" spans="2:7" x14ac:dyDescent="0.25">
      <c r="B51" s="6" t="s">
        <v>172</v>
      </c>
      <c r="C51" s="19" t="s">
        <v>173</v>
      </c>
      <c r="D51" s="27">
        <v>4171</v>
      </c>
      <c r="E51" s="21" t="s">
        <v>174</v>
      </c>
      <c r="F51" s="19" t="s">
        <v>175</v>
      </c>
      <c r="G51" s="20"/>
    </row>
    <row r="52" spans="2:7" ht="15.75" thickBot="1" x14ac:dyDescent="0.3">
      <c r="B52" s="12"/>
      <c r="C52" s="28" t="s">
        <v>176</v>
      </c>
      <c r="D52" s="29">
        <f>SUM(D49:D51)</f>
        <v>93286</v>
      </c>
      <c r="E52" s="21" t="s">
        <v>177</v>
      </c>
      <c r="F52" s="19" t="s">
        <v>178</v>
      </c>
      <c r="G52" s="20">
        <v>527118</v>
      </c>
    </row>
    <row r="53" spans="2:7" ht="15.75" thickBot="1" x14ac:dyDescent="0.3">
      <c r="B53" s="6"/>
      <c r="C53" s="40" t="s">
        <v>179</v>
      </c>
      <c r="D53" s="41">
        <f>D20+D35+D47+D52</f>
        <v>824124238</v>
      </c>
      <c r="E53" s="21" t="s">
        <v>180</v>
      </c>
      <c r="F53" s="19" t="s">
        <v>181</v>
      </c>
      <c r="G53" s="20">
        <v>1752986</v>
      </c>
    </row>
    <row r="54" spans="2:7" x14ac:dyDescent="0.25">
      <c r="C54" s="42"/>
      <c r="D54" s="43"/>
      <c r="E54" s="21" t="s">
        <v>182</v>
      </c>
      <c r="F54" s="19" t="s">
        <v>183</v>
      </c>
      <c r="G54" s="20">
        <v>221197</v>
      </c>
    </row>
    <row r="55" spans="2:7" x14ac:dyDescent="0.25">
      <c r="C55" s="44" t="s">
        <v>184</v>
      </c>
      <c r="D55" s="45"/>
      <c r="E55" s="21" t="s">
        <v>185</v>
      </c>
      <c r="F55" s="19" t="s">
        <v>186</v>
      </c>
      <c r="G55" s="20"/>
    </row>
    <row r="56" spans="2:7" x14ac:dyDescent="0.25">
      <c r="B56" s="6" t="s">
        <v>187</v>
      </c>
      <c r="C56" s="46" t="s">
        <v>188</v>
      </c>
      <c r="D56" s="20"/>
      <c r="E56" s="21" t="s">
        <v>189</v>
      </c>
      <c r="F56" s="19" t="s">
        <v>190</v>
      </c>
      <c r="G56" s="27">
        <v>2050055</v>
      </c>
    </row>
    <row r="57" spans="2:7" ht="15.75" thickBot="1" x14ac:dyDescent="0.3">
      <c r="B57" s="6" t="s">
        <v>191</v>
      </c>
      <c r="C57" s="46" t="s">
        <v>192</v>
      </c>
      <c r="D57" s="20"/>
      <c r="E57" s="21"/>
      <c r="F57" s="28" t="s">
        <v>193</v>
      </c>
      <c r="G57" s="29">
        <f>SUM(G49:G56)</f>
        <v>45853794</v>
      </c>
    </row>
    <row r="58" spans="2:7" x14ac:dyDescent="0.25">
      <c r="B58" s="6" t="s">
        <v>194</v>
      </c>
      <c r="C58" s="46" t="s">
        <v>195</v>
      </c>
      <c r="D58" s="20"/>
      <c r="E58" s="21" t="s">
        <v>196</v>
      </c>
      <c r="F58" s="22" t="s">
        <v>197</v>
      </c>
      <c r="G58" s="23"/>
    </row>
    <row r="59" spans="2:7" x14ac:dyDescent="0.25">
      <c r="B59" s="6" t="s">
        <v>198</v>
      </c>
      <c r="C59" s="19" t="s">
        <v>199</v>
      </c>
      <c r="D59" s="27"/>
      <c r="E59" s="21" t="s">
        <v>200</v>
      </c>
      <c r="F59" s="19" t="s">
        <v>201</v>
      </c>
      <c r="G59" s="20">
        <v>11356590</v>
      </c>
    </row>
    <row r="60" spans="2:7" ht="15.75" thickBot="1" x14ac:dyDescent="0.3">
      <c r="B60" s="6"/>
      <c r="C60" s="28" t="s">
        <v>202</v>
      </c>
      <c r="D60" s="29">
        <f>SUM(D56:D59)</f>
        <v>0</v>
      </c>
      <c r="E60" s="21" t="s">
        <v>203</v>
      </c>
      <c r="F60" s="19" t="s">
        <v>204</v>
      </c>
      <c r="G60" s="20"/>
    </row>
    <row r="61" spans="2:7" ht="16.5" thickBot="1" x14ac:dyDescent="0.3">
      <c r="B61" s="47"/>
      <c r="C61" s="48" t="s">
        <v>205</v>
      </c>
      <c r="D61" s="49">
        <f>D53+D60</f>
        <v>824124238</v>
      </c>
      <c r="E61" s="21" t="s">
        <v>206</v>
      </c>
      <c r="F61" s="19" t="s">
        <v>207</v>
      </c>
      <c r="G61" s="20"/>
    </row>
    <row r="62" spans="2:7" x14ac:dyDescent="0.25">
      <c r="B62" s="50"/>
      <c r="C62" s="51"/>
      <c r="D62" s="51"/>
      <c r="E62" s="21" t="s">
        <v>208</v>
      </c>
      <c r="F62" s="19" t="s">
        <v>209</v>
      </c>
      <c r="G62" s="20"/>
    </row>
    <row r="63" spans="2:7" x14ac:dyDescent="0.25">
      <c r="B63" s="52"/>
      <c r="C63" s="53" t="s">
        <v>8</v>
      </c>
      <c r="D63" s="53"/>
      <c r="E63" s="21" t="s">
        <v>210</v>
      </c>
      <c r="F63" s="19" t="s">
        <v>211</v>
      </c>
      <c r="G63" s="20">
        <v>7237630</v>
      </c>
    </row>
    <row r="64" spans="2:7" x14ac:dyDescent="0.25">
      <c r="B64" s="54" t="s">
        <v>212</v>
      </c>
      <c r="C64" s="55" t="s">
        <v>213</v>
      </c>
      <c r="D64" s="55">
        <f>[36]Amortizaciones!D6</f>
        <v>4869477</v>
      </c>
      <c r="E64" s="21" t="s">
        <v>214</v>
      </c>
      <c r="F64" s="19" t="s">
        <v>215</v>
      </c>
      <c r="G64" s="20">
        <v>1606944</v>
      </c>
    </row>
    <row r="65" spans="2:7" x14ac:dyDescent="0.25">
      <c r="B65" s="54" t="s">
        <v>216</v>
      </c>
      <c r="C65" s="55" t="s">
        <v>217</v>
      </c>
      <c r="D65" s="55">
        <f>[36]Amortizaciones!D7</f>
        <v>0</v>
      </c>
      <c r="E65" s="21" t="s">
        <v>218</v>
      </c>
      <c r="F65" s="19" t="s">
        <v>219</v>
      </c>
      <c r="G65" s="20">
        <v>4294035</v>
      </c>
    </row>
    <row r="66" spans="2:7" x14ac:dyDescent="0.25">
      <c r="B66" s="54" t="s">
        <v>220</v>
      </c>
      <c r="C66" s="55" t="s">
        <v>221</v>
      </c>
      <c r="D66" s="55">
        <f>[36]Amortizaciones!D8</f>
        <v>3662937</v>
      </c>
      <c r="E66" s="21" t="s">
        <v>222</v>
      </c>
      <c r="F66" s="19" t="s">
        <v>223</v>
      </c>
      <c r="G66" s="20">
        <v>3040108</v>
      </c>
    </row>
    <row r="67" spans="2:7" x14ac:dyDescent="0.25">
      <c r="B67" s="54" t="s">
        <v>224</v>
      </c>
      <c r="C67" s="55" t="s">
        <v>225</v>
      </c>
      <c r="D67" s="55">
        <f>[36]Amortizaciones!D9</f>
        <v>1388</v>
      </c>
      <c r="E67" s="21" t="s">
        <v>226</v>
      </c>
      <c r="F67" s="19" t="s">
        <v>227</v>
      </c>
      <c r="G67" s="20"/>
    </row>
    <row r="68" spans="2:7" x14ac:dyDescent="0.25">
      <c r="B68" s="54" t="s">
        <v>228</v>
      </c>
      <c r="C68" s="55" t="s">
        <v>229</v>
      </c>
      <c r="D68" s="55">
        <f>[36]Amortizaciones!D10</f>
        <v>334882</v>
      </c>
      <c r="E68" s="21" t="s">
        <v>230</v>
      </c>
      <c r="F68" s="19" t="s">
        <v>231</v>
      </c>
      <c r="G68" s="20"/>
    </row>
    <row r="69" spans="2:7" x14ac:dyDescent="0.25">
      <c r="B69" s="54" t="s">
        <v>232</v>
      </c>
      <c r="C69" s="55" t="s">
        <v>233</v>
      </c>
      <c r="D69" s="55">
        <f>[36]Amortizaciones!D11</f>
        <v>140830</v>
      </c>
      <c r="E69" s="21" t="s">
        <v>234</v>
      </c>
      <c r="F69" s="19" t="s">
        <v>235</v>
      </c>
      <c r="G69" s="20">
        <v>6318223</v>
      </c>
    </row>
    <row r="70" spans="2:7" x14ac:dyDescent="0.25">
      <c r="B70" s="54" t="s">
        <v>236</v>
      </c>
      <c r="C70" s="55" t="s">
        <v>237</v>
      </c>
      <c r="D70" s="55">
        <f>[36]Amortizaciones!D12</f>
        <v>220879</v>
      </c>
      <c r="E70" s="21" t="s">
        <v>238</v>
      </c>
      <c r="F70" s="19" t="s">
        <v>239</v>
      </c>
      <c r="G70" s="20"/>
    </row>
    <row r="71" spans="2:7" x14ac:dyDescent="0.25">
      <c r="B71" s="54" t="s">
        <v>240</v>
      </c>
      <c r="C71" s="55" t="s">
        <v>241</v>
      </c>
      <c r="D71" s="55">
        <f>[36]Amortizaciones!D13</f>
        <v>708641</v>
      </c>
      <c r="E71" s="21" t="s">
        <v>242</v>
      </c>
      <c r="F71" s="19" t="s">
        <v>243</v>
      </c>
      <c r="G71" s="20"/>
    </row>
    <row r="72" spans="2:7" x14ac:dyDescent="0.25">
      <c r="B72" s="54" t="s">
        <v>244</v>
      </c>
      <c r="C72" s="55" t="s">
        <v>245</v>
      </c>
      <c r="D72" s="55">
        <f>[36]Amortizaciones!D14</f>
        <v>916666</v>
      </c>
      <c r="E72" s="21" t="s">
        <v>246</v>
      </c>
      <c r="F72" s="19" t="s">
        <v>247</v>
      </c>
      <c r="G72" s="20"/>
    </row>
    <row r="73" spans="2:7" x14ac:dyDescent="0.25">
      <c r="B73" s="54" t="s">
        <v>248</v>
      </c>
      <c r="C73" s="55" t="s">
        <v>249</v>
      </c>
      <c r="D73" s="55">
        <f>[36]Amortizaciones!D15</f>
        <v>0</v>
      </c>
      <c r="E73" s="21" t="s">
        <v>250</v>
      </c>
      <c r="F73" s="19" t="s">
        <v>251</v>
      </c>
      <c r="G73" s="20"/>
    </row>
    <row r="74" spans="2:7" x14ac:dyDescent="0.25">
      <c r="B74" s="54" t="s">
        <v>252</v>
      </c>
      <c r="C74" s="55" t="s">
        <v>253</v>
      </c>
      <c r="D74" s="55">
        <f>[36]Amortizaciones!D16</f>
        <v>362546</v>
      </c>
      <c r="E74" s="21" t="s">
        <v>254</v>
      </c>
      <c r="F74" s="19" t="s">
        <v>255</v>
      </c>
      <c r="G74" s="20"/>
    </row>
    <row r="75" spans="2:7" x14ac:dyDescent="0.25">
      <c r="B75" s="54" t="s">
        <v>256</v>
      </c>
      <c r="C75" s="55" t="s">
        <v>257</v>
      </c>
      <c r="D75" s="55">
        <f>[36]Amortizaciones!D17</f>
        <v>0</v>
      </c>
      <c r="E75" s="21" t="s">
        <v>258</v>
      </c>
      <c r="F75" s="19" t="s">
        <v>259</v>
      </c>
      <c r="G75" s="20">
        <v>0</v>
      </c>
    </row>
    <row r="76" spans="2:7" x14ac:dyDescent="0.25">
      <c r="B76" s="54" t="s">
        <v>260</v>
      </c>
      <c r="C76" s="55" t="s">
        <v>261</v>
      </c>
      <c r="D76" s="55">
        <f>[36]Amortizaciones!D18</f>
        <v>0</v>
      </c>
      <c r="E76" s="21" t="s">
        <v>262</v>
      </c>
      <c r="F76" s="19" t="s">
        <v>263</v>
      </c>
      <c r="G76" s="20">
        <v>6397774</v>
      </c>
    </row>
    <row r="77" spans="2:7" x14ac:dyDescent="0.25">
      <c r="B77" s="54" t="s">
        <v>264</v>
      </c>
      <c r="C77" s="55" t="s">
        <v>265</v>
      </c>
      <c r="D77" s="55">
        <f>SUM(D64:D76)</f>
        <v>11218246</v>
      </c>
      <c r="E77" s="21" t="s">
        <v>266</v>
      </c>
      <c r="F77" s="19" t="s">
        <v>267</v>
      </c>
      <c r="G77" s="20">
        <f>4047735+4214507+9927080+769</f>
        <v>18190091</v>
      </c>
    </row>
    <row r="78" spans="2:7" x14ac:dyDescent="0.25">
      <c r="B78" s="54"/>
      <c r="C78" s="55"/>
      <c r="D78" s="55"/>
      <c r="E78" s="21" t="s">
        <v>268</v>
      </c>
      <c r="F78" s="19" t="s">
        <v>269</v>
      </c>
      <c r="G78" s="27">
        <v>2735111</v>
      </c>
    </row>
    <row r="79" spans="2:7" ht="15.75" thickBot="1" x14ac:dyDescent="0.3">
      <c r="B79" s="54"/>
      <c r="C79" s="53" t="s">
        <v>270</v>
      </c>
      <c r="D79" s="56"/>
      <c r="E79" s="21"/>
      <c r="F79" s="28" t="s">
        <v>271</v>
      </c>
      <c r="G79" s="29">
        <f>SUM(G58:G78)</f>
        <v>61176506</v>
      </c>
    </row>
    <row r="80" spans="2:7" x14ac:dyDescent="0.25">
      <c r="B80" s="54" t="s">
        <v>272</v>
      </c>
      <c r="C80" s="55" t="s">
        <v>237</v>
      </c>
      <c r="D80" s="55">
        <f>[36]Amortizaciones!D22</f>
        <v>0</v>
      </c>
      <c r="E80" s="21" t="s">
        <v>273</v>
      </c>
      <c r="F80" s="22" t="s">
        <v>274</v>
      </c>
      <c r="G80" s="23">
        <v>135992</v>
      </c>
    </row>
    <row r="81" spans="2:7" x14ac:dyDescent="0.25">
      <c r="B81" s="54" t="s">
        <v>275</v>
      </c>
      <c r="C81" s="55" t="s">
        <v>241</v>
      </c>
      <c r="D81" s="55">
        <f>[36]Amortizaciones!D23</f>
        <v>0</v>
      </c>
      <c r="E81" s="21" t="s">
        <v>276</v>
      </c>
      <c r="F81" s="19" t="s">
        <v>277</v>
      </c>
      <c r="G81" s="20">
        <v>947392</v>
      </c>
    </row>
    <row r="82" spans="2:7" x14ac:dyDescent="0.25">
      <c r="B82" s="54" t="s">
        <v>278</v>
      </c>
      <c r="C82" s="55" t="s">
        <v>245</v>
      </c>
      <c r="D82" s="55">
        <f>[36]Amortizaciones!D24</f>
        <v>0</v>
      </c>
      <c r="E82" s="21" t="s">
        <v>279</v>
      </c>
      <c r="F82" s="19" t="s">
        <v>280</v>
      </c>
      <c r="G82" s="20">
        <v>1759134</v>
      </c>
    </row>
    <row r="83" spans="2:7" x14ac:dyDescent="0.25">
      <c r="B83" s="54" t="s">
        <v>281</v>
      </c>
      <c r="C83" s="55" t="s">
        <v>249</v>
      </c>
      <c r="D83" s="55">
        <f>[36]Amortizaciones!D25</f>
        <v>0</v>
      </c>
      <c r="E83" s="21" t="s">
        <v>282</v>
      </c>
      <c r="F83" s="19" t="s">
        <v>283</v>
      </c>
      <c r="G83" s="20">
        <v>1970408</v>
      </c>
    </row>
    <row r="84" spans="2:7" x14ac:dyDescent="0.25">
      <c r="B84" s="54" t="s">
        <v>284</v>
      </c>
      <c r="C84" s="55" t="s">
        <v>285</v>
      </c>
      <c r="D84" s="55">
        <v>0</v>
      </c>
      <c r="E84" s="21" t="s">
        <v>286</v>
      </c>
      <c r="F84" s="19" t="s">
        <v>287</v>
      </c>
      <c r="G84" s="20">
        <v>3879393</v>
      </c>
    </row>
    <row r="85" spans="2:7" x14ac:dyDescent="0.25">
      <c r="B85" s="54" t="s">
        <v>288</v>
      </c>
      <c r="C85" s="55" t="s">
        <v>289</v>
      </c>
      <c r="D85" s="55">
        <f>[36]Amortizaciones!D27</f>
        <v>0</v>
      </c>
      <c r="E85" s="21" t="s">
        <v>290</v>
      </c>
      <c r="F85" s="19" t="s">
        <v>291</v>
      </c>
      <c r="G85" s="20">
        <v>757674</v>
      </c>
    </row>
    <row r="86" spans="2:7" x14ac:dyDescent="0.25">
      <c r="B86" s="54" t="s">
        <v>292</v>
      </c>
      <c r="C86" s="55" t="s">
        <v>293</v>
      </c>
      <c r="D86" s="55">
        <f>[36]Amortizaciones!D28</f>
        <v>0</v>
      </c>
      <c r="E86" s="21" t="s">
        <v>294</v>
      </c>
      <c r="F86" s="19" t="s">
        <v>295</v>
      </c>
      <c r="G86" s="20">
        <v>998686</v>
      </c>
    </row>
    <row r="87" spans="2:7" x14ac:dyDescent="0.25">
      <c r="B87" s="54" t="s">
        <v>296</v>
      </c>
      <c r="C87" s="55" t="s">
        <v>297</v>
      </c>
      <c r="D87" s="55">
        <f>[36]Amortizaciones!D29</f>
        <v>0</v>
      </c>
      <c r="E87" s="21" t="s">
        <v>298</v>
      </c>
      <c r="F87" s="19" t="s">
        <v>299</v>
      </c>
      <c r="G87" s="20">
        <v>428804</v>
      </c>
    </row>
    <row r="88" spans="2:7" x14ac:dyDescent="0.25">
      <c r="B88" s="54" t="s">
        <v>300</v>
      </c>
      <c r="C88" s="55" t="s">
        <v>301</v>
      </c>
      <c r="D88" s="55">
        <f>[36]Amortizaciones!D30</f>
        <v>0</v>
      </c>
      <c r="E88" s="21" t="s">
        <v>302</v>
      </c>
      <c r="F88" s="19" t="s">
        <v>303</v>
      </c>
      <c r="G88" s="20">
        <v>1068696</v>
      </c>
    </row>
    <row r="89" spans="2:7" x14ac:dyDescent="0.25">
      <c r="B89" s="54" t="s">
        <v>304</v>
      </c>
      <c r="C89" s="55" t="s">
        <v>213</v>
      </c>
      <c r="D89" s="55">
        <f>[36]Amortizaciones!D31</f>
        <v>0</v>
      </c>
      <c r="E89" s="21" t="s">
        <v>305</v>
      </c>
      <c r="F89" s="19" t="s">
        <v>306</v>
      </c>
      <c r="G89" s="20">
        <v>1806261</v>
      </c>
    </row>
    <row r="90" spans="2:7" x14ac:dyDescent="0.25">
      <c r="B90" s="54" t="s">
        <v>307</v>
      </c>
      <c r="C90" s="55" t="s">
        <v>229</v>
      </c>
      <c r="D90" s="55">
        <f>[36]Amortizaciones!D32</f>
        <v>0</v>
      </c>
      <c r="E90" s="21" t="s">
        <v>308</v>
      </c>
      <c r="F90" s="19" t="s">
        <v>309</v>
      </c>
      <c r="G90" s="20">
        <v>1240648</v>
      </c>
    </row>
    <row r="91" spans="2:7" x14ac:dyDescent="0.25">
      <c r="B91" s="54" t="s">
        <v>310</v>
      </c>
      <c r="C91" s="55" t="s">
        <v>311</v>
      </c>
      <c r="D91" s="55">
        <f>SUM(D80:D90)</f>
        <v>0</v>
      </c>
      <c r="E91" s="52" t="s">
        <v>312</v>
      </c>
      <c r="F91" s="19" t="s">
        <v>313</v>
      </c>
      <c r="G91" s="20">
        <v>2118677</v>
      </c>
    </row>
    <row r="92" spans="2:7" x14ac:dyDescent="0.25">
      <c r="B92" s="54"/>
      <c r="C92" s="57" t="s">
        <v>314</v>
      </c>
      <c r="D92" s="55">
        <f>D77+D91</f>
        <v>11218246</v>
      </c>
      <c r="E92" s="52" t="s">
        <v>315</v>
      </c>
      <c r="F92" s="19" t="s">
        <v>316</v>
      </c>
      <c r="G92" s="20"/>
    </row>
    <row r="93" spans="2:7" x14ac:dyDescent="0.25">
      <c r="E93" s="52" t="s">
        <v>317</v>
      </c>
      <c r="F93" s="19" t="s">
        <v>318</v>
      </c>
      <c r="G93" s="20">
        <v>1865863</v>
      </c>
    </row>
    <row r="94" spans="2:7" x14ac:dyDescent="0.25">
      <c r="E94" s="52" t="s">
        <v>319</v>
      </c>
      <c r="F94" s="19" t="s">
        <v>320</v>
      </c>
      <c r="G94" s="27">
        <v>545365</v>
      </c>
    </row>
    <row r="95" spans="2:7" ht="13.5" customHeight="1" thickBot="1" x14ac:dyDescent="0.3">
      <c r="E95" s="21"/>
      <c r="F95" s="28" t="s">
        <v>321</v>
      </c>
      <c r="G95" s="29">
        <f>SUM(G80:G94)</f>
        <v>19522993</v>
      </c>
    </row>
    <row r="96" spans="2:7" x14ac:dyDescent="0.25">
      <c r="E96" s="52" t="s">
        <v>322</v>
      </c>
      <c r="F96" s="22" t="s">
        <v>323</v>
      </c>
      <c r="G96" s="23">
        <v>6077539</v>
      </c>
    </row>
    <row r="97" spans="2:7" x14ac:dyDescent="0.25">
      <c r="E97" s="52" t="s">
        <v>324</v>
      </c>
      <c r="F97" s="19" t="s">
        <v>325</v>
      </c>
      <c r="G97" s="20">
        <v>2208789</v>
      </c>
    </row>
    <row r="98" spans="2:7" x14ac:dyDescent="0.25">
      <c r="E98" s="52" t="s">
        <v>326</v>
      </c>
      <c r="F98" s="19" t="s">
        <v>327</v>
      </c>
      <c r="G98" s="20">
        <v>539561</v>
      </c>
    </row>
    <row r="99" spans="2:7" x14ac:dyDescent="0.25">
      <c r="E99" s="52" t="s">
        <v>328</v>
      </c>
      <c r="F99" s="19" t="s">
        <v>329</v>
      </c>
      <c r="G99" s="20">
        <f>2714889+112090</f>
        <v>2826979</v>
      </c>
    </row>
    <row r="100" spans="2:7" x14ac:dyDescent="0.25">
      <c r="E100" s="52" t="s">
        <v>330</v>
      </c>
      <c r="F100" s="19" t="s">
        <v>331</v>
      </c>
      <c r="G100" s="27">
        <v>888170</v>
      </c>
    </row>
    <row r="101" spans="2:7" ht="15.75" thickBot="1" x14ac:dyDescent="0.3">
      <c r="E101" s="21"/>
      <c r="F101" s="28" t="s">
        <v>332</v>
      </c>
      <c r="G101" s="29">
        <f>SUM(G96:G100)</f>
        <v>12541038</v>
      </c>
    </row>
    <row r="102" spans="2:7" ht="15.75" thickBot="1" x14ac:dyDescent="0.3">
      <c r="E102" s="52"/>
      <c r="F102" s="59" t="s">
        <v>333</v>
      </c>
      <c r="G102" s="60">
        <f>[36]Amortizaciones!D19</f>
        <v>11218246</v>
      </c>
    </row>
    <row r="103" spans="2:7" x14ac:dyDescent="0.25">
      <c r="E103" s="52" t="s">
        <v>334</v>
      </c>
      <c r="F103" s="19" t="s">
        <v>335</v>
      </c>
      <c r="G103" s="23"/>
    </row>
    <row r="104" spans="2:7" x14ac:dyDescent="0.25">
      <c r="E104" s="52" t="s">
        <v>336</v>
      </c>
      <c r="F104" s="61" t="s">
        <v>337</v>
      </c>
      <c r="G104" s="20"/>
    </row>
    <row r="105" spans="2:7" ht="15.75" thickBot="1" x14ac:dyDescent="0.3">
      <c r="E105" s="21"/>
      <c r="F105" s="28" t="s">
        <v>338</v>
      </c>
      <c r="G105" s="29">
        <f>SUM(G103:G104)</f>
        <v>0</v>
      </c>
    </row>
    <row r="106" spans="2:7" ht="13.7" customHeight="1" thickBot="1" x14ac:dyDescent="0.3">
      <c r="B106" s="6"/>
      <c r="C106" s="62"/>
      <c r="D106" s="62"/>
      <c r="E106" s="52"/>
      <c r="F106" s="48" t="s">
        <v>339</v>
      </c>
      <c r="G106" s="49">
        <f>G19+G27+G32+G48+G57+G79+G95+G101+G102+G105</f>
        <v>705403863</v>
      </c>
    </row>
    <row r="107" spans="2:7" ht="13.7" customHeight="1" x14ac:dyDescent="0.25">
      <c r="B107" s="6"/>
      <c r="C107" s="62"/>
      <c r="D107" s="62"/>
      <c r="E107" s="21"/>
      <c r="F107" s="63"/>
      <c r="G107" s="64"/>
    </row>
    <row r="108" spans="2:7" ht="13.7" customHeight="1" thickBot="1" x14ac:dyDescent="0.3">
      <c r="B108" s="6"/>
      <c r="C108" s="62"/>
      <c r="D108" s="62"/>
      <c r="E108" s="21"/>
    </row>
    <row r="109" spans="2:7" ht="13.7" customHeight="1" thickBot="1" x14ac:dyDescent="0.3">
      <c r="B109" s="6"/>
      <c r="C109" s="62"/>
      <c r="D109" s="62"/>
      <c r="E109" s="21"/>
      <c r="F109" s="13" t="s">
        <v>340</v>
      </c>
      <c r="G109" s="65">
        <f>D61-G106</f>
        <v>118720375</v>
      </c>
    </row>
    <row r="110" spans="2:7" ht="13.7" customHeight="1" thickBot="1" x14ac:dyDescent="0.3">
      <c r="B110" s="6"/>
      <c r="C110" s="62"/>
      <c r="D110" s="62"/>
      <c r="E110" s="21"/>
    </row>
    <row r="111" spans="2:7" ht="13.7" customHeight="1" thickBot="1" x14ac:dyDescent="0.3">
      <c r="C111" s="48" t="s">
        <v>270</v>
      </c>
      <c r="D111" s="17">
        <f>+[36]E.S.P.!D6</f>
        <v>2020</v>
      </c>
      <c r="E111" s="52"/>
      <c r="F111" s="48" t="s">
        <v>341</v>
      </c>
      <c r="G111" s="17">
        <f>+[36]E.S.P.!D6</f>
        <v>2020</v>
      </c>
    </row>
    <row r="112" spans="2:7" ht="13.7" customHeight="1" x14ac:dyDescent="0.25">
      <c r="B112" s="6" t="s">
        <v>342</v>
      </c>
      <c r="C112" s="66" t="s">
        <v>343</v>
      </c>
      <c r="D112" s="67">
        <v>1348119</v>
      </c>
      <c r="E112" s="21" t="s">
        <v>344</v>
      </c>
      <c r="F112" s="66" t="s">
        <v>309</v>
      </c>
      <c r="G112" s="67"/>
    </row>
    <row r="113" spans="2:7" ht="13.7" customHeight="1" x14ac:dyDescent="0.25">
      <c r="B113" s="6" t="s">
        <v>345</v>
      </c>
      <c r="C113" s="68" t="s">
        <v>346</v>
      </c>
      <c r="D113" s="69">
        <v>36605619</v>
      </c>
      <c r="E113" s="21" t="s">
        <v>347</v>
      </c>
      <c r="F113" s="68" t="s">
        <v>348</v>
      </c>
      <c r="G113" s="69"/>
    </row>
    <row r="114" spans="2:7" ht="13.7" customHeight="1" x14ac:dyDescent="0.25">
      <c r="B114" s="6" t="s">
        <v>349</v>
      </c>
      <c r="C114" s="68" t="s">
        <v>48</v>
      </c>
      <c r="D114" s="69">
        <f>5174549-686</f>
        <v>5173863</v>
      </c>
      <c r="E114" s="21" t="s">
        <v>350</v>
      </c>
      <c r="F114" s="68" t="s">
        <v>351</v>
      </c>
      <c r="G114" s="69">
        <v>1241027</v>
      </c>
    </row>
    <row r="115" spans="2:7" ht="13.7" customHeight="1" x14ac:dyDescent="0.25">
      <c r="B115" s="6" t="s">
        <v>352</v>
      </c>
      <c r="C115" s="68" t="s">
        <v>353</v>
      </c>
      <c r="D115" s="69"/>
      <c r="E115" s="21" t="s">
        <v>354</v>
      </c>
      <c r="F115" s="68" t="s">
        <v>355</v>
      </c>
      <c r="G115" s="69"/>
    </row>
    <row r="116" spans="2:7" ht="13.7" customHeight="1" x14ac:dyDescent="0.25">
      <c r="B116" s="6" t="s">
        <v>356</v>
      </c>
      <c r="C116" s="68" t="s">
        <v>357</v>
      </c>
      <c r="D116" s="69">
        <v>3535077</v>
      </c>
      <c r="E116" s="21" t="s">
        <v>358</v>
      </c>
      <c r="F116" s="68" t="s">
        <v>359</v>
      </c>
      <c r="G116" s="69"/>
    </row>
    <row r="117" spans="2:7" ht="13.7" customHeight="1" x14ac:dyDescent="0.25">
      <c r="B117" s="6" t="s">
        <v>360</v>
      </c>
      <c r="C117" s="68" t="s">
        <v>361</v>
      </c>
      <c r="D117" s="69">
        <v>1797689</v>
      </c>
      <c r="E117" s="21" t="s">
        <v>362</v>
      </c>
      <c r="F117" s="68" t="s">
        <v>363</v>
      </c>
      <c r="G117" s="69"/>
    </row>
    <row r="118" spans="2:7" ht="13.7" customHeight="1" x14ac:dyDescent="0.25">
      <c r="B118" s="6" t="s">
        <v>364</v>
      </c>
      <c r="C118" s="68" t="s">
        <v>365</v>
      </c>
      <c r="D118" s="69"/>
      <c r="E118" s="21" t="s">
        <v>366</v>
      </c>
      <c r="F118" s="68" t="s">
        <v>367</v>
      </c>
      <c r="G118" s="69"/>
    </row>
    <row r="119" spans="2:7" ht="13.7" customHeight="1" x14ac:dyDescent="0.25">
      <c r="B119" s="6" t="s">
        <v>368</v>
      </c>
      <c r="C119" s="68" t="s">
        <v>369</v>
      </c>
      <c r="D119" s="69">
        <v>3161726</v>
      </c>
      <c r="E119" s="21" t="s">
        <v>370</v>
      </c>
      <c r="F119" s="68" t="s">
        <v>371</v>
      </c>
      <c r="G119" s="69"/>
    </row>
    <row r="120" spans="2:7" ht="13.7" customHeight="1" x14ac:dyDescent="0.25">
      <c r="B120" s="6" t="s">
        <v>372</v>
      </c>
      <c r="C120" s="68" t="s">
        <v>373</v>
      </c>
      <c r="D120" s="69">
        <v>3015089</v>
      </c>
      <c r="E120" s="21" t="s">
        <v>374</v>
      </c>
      <c r="F120" s="68" t="s">
        <v>375</v>
      </c>
      <c r="G120" s="69"/>
    </row>
    <row r="121" spans="2:7" ht="13.7" customHeight="1" x14ac:dyDescent="0.25">
      <c r="B121" s="6" t="s">
        <v>376</v>
      </c>
      <c r="C121" s="19" t="s">
        <v>377</v>
      </c>
      <c r="D121" s="69">
        <v>2623159</v>
      </c>
      <c r="E121" s="21" t="s">
        <v>378</v>
      </c>
      <c r="F121" s="68" t="s">
        <v>379</v>
      </c>
      <c r="G121" s="69">
        <f>18954+201208+2381049</f>
        <v>2601211</v>
      </c>
    </row>
    <row r="122" spans="2:7" ht="13.7" customHeight="1" thickBot="1" x14ac:dyDescent="0.3">
      <c r="B122" s="6"/>
      <c r="C122" s="28" t="s">
        <v>380</v>
      </c>
      <c r="D122" s="37">
        <f>SUM(D112:D121)</f>
        <v>57260341</v>
      </c>
      <c r="E122" s="21" t="s">
        <v>381</v>
      </c>
      <c r="F122" s="19" t="s">
        <v>382</v>
      </c>
      <c r="G122" s="20">
        <v>179820</v>
      </c>
    </row>
    <row r="123" spans="2:7" ht="13.7" customHeight="1" thickBot="1" x14ac:dyDescent="0.3">
      <c r="B123" s="6" t="s">
        <v>383</v>
      </c>
      <c r="C123" s="70" t="s">
        <v>309</v>
      </c>
      <c r="D123" s="67"/>
      <c r="E123" s="52"/>
      <c r="F123" s="28" t="s">
        <v>384</v>
      </c>
      <c r="G123" s="37">
        <f>SUM(G112:G122)</f>
        <v>4022058</v>
      </c>
    </row>
    <row r="124" spans="2:7" ht="13.7" customHeight="1" x14ac:dyDescent="0.25">
      <c r="B124" s="6" t="s">
        <v>385</v>
      </c>
      <c r="C124" s="68" t="s">
        <v>313</v>
      </c>
      <c r="D124" s="69"/>
      <c r="E124" s="21" t="s">
        <v>386</v>
      </c>
      <c r="F124" s="68" t="s">
        <v>387</v>
      </c>
      <c r="G124" s="69">
        <v>386099</v>
      </c>
    </row>
    <row r="125" spans="2:7" ht="13.7" customHeight="1" x14ac:dyDescent="0.25">
      <c r="B125" s="6" t="s">
        <v>388</v>
      </c>
      <c r="C125" s="19" t="s">
        <v>389</v>
      </c>
      <c r="D125" s="69"/>
      <c r="E125" s="21" t="s">
        <v>390</v>
      </c>
      <c r="F125" s="68" t="s">
        <v>391</v>
      </c>
      <c r="G125" s="69">
        <v>228934</v>
      </c>
    </row>
    <row r="126" spans="2:7" ht="13.7" customHeight="1" thickBot="1" x14ac:dyDescent="0.3">
      <c r="B126" s="6"/>
      <c r="C126" s="28" t="s">
        <v>392</v>
      </c>
      <c r="D126" s="37">
        <f>SUM(D123:D125)</f>
        <v>0</v>
      </c>
      <c r="E126" s="21" t="s">
        <v>393</v>
      </c>
      <c r="F126" s="68" t="s">
        <v>394</v>
      </c>
      <c r="G126" s="69">
        <v>849828</v>
      </c>
    </row>
    <row r="127" spans="2:7" ht="13.7" customHeight="1" x14ac:dyDescent="0.25">
      <c r="B127" s="6" t="s">
        <v>395</v>
      </c>
      <c r="C127" s="66" t="s">
        <v>274</v>
      </c>
      <c r="D127" s="67">
        <v>1764288</v>
      </c>
      <c r="E127" s="21" t="s">
        <v>396</v>
      </c>
      <c r="F127" s="68" t="s">
        <v>397</v>
      </c>
      <c r="G127" s="69"/>
    </row>
    <row r="128" spans="2:7" ht="13.7" customHeight="1" x14ac:dyDescent="0.25">
      <c r="B128" s="6" t="s">
        <v>398</v>
      </c>
      <c r="C128" s="68" t="s">
        <v>399</v>
      </c>
      <c r="D128" s="69">
        <v>1040965</v>
      </c>
      <c r="E128" s="21" t="s">
        <v>400</v>
      </c>
      <c r="F128" s="68" t="s">
        <v>401</v>
      </c>
      <c r="G128" s="69"/>
    </row>
    <row r="129" spans="2:7" ht="13.7" customHeight="1" x14ac:dyDescent="0.25">
      <c r="B129" s="6" t="s">
        <v>402</v>
      </c>
      <c r="C129" s="68" t="s">
        <v>277</v>
      </c>
      <c r="D129" s="69">
        <v>423636</v>
      </c>
      <c r="E129" s="21" t="s">
        <v>403</v>
      </c>
      <c r="F129" s="68" t="s">
        <v>404</v>
      </c>
      <c r="G129" s="69">
        <v>726750</v>
      </c>
    </row>
    <row r="130" spans="2:7" ht="13.7" customHeight="1" x14ac:dyDescent="0.25">
      <c r="B130" s="6" t="s">
        <v>405</v>
      </c>
      <c r="C130" s="68" t="s">
        <v>283</v>
      </c>
      <c r="D130" s="69">
        <v>114720</v>
      </c>
      <c r="E130" s="21" t="s">
        <v>406</v>
      </c>
      <c r="F130" s="68" t="s">
        <v>407</v>
      </c>
      <c r="G130" s="69"/>
    </row>
    <row r="131" spans="2:7" ht="13.7" customHeight="1" x14ac:dyDescent="0.25">
      <c r="B131" s="6" t="s">
        <v>408</v>
      </c>
      <c r="C131" s="68" t="s">
        <v>287</v>
      </c>
      <c r="D131" s="69">
        <v>753464</v>
      </c>
      <c r="E131" s="21" t="s">
        <v>409</v>
      </c>
      <c r="F131" s="68" t="s">
        <v>410</v>
      </c>
      <c r="G131" s="69"/>
    </row>
    <row r="132" spans="2:7" ht="13.7" customHeight="1" x14ac:dyDescent="0.25">
      <c r="B132" s="6" t="s">
        <v>411</v>
      </c>
      <c r="C132" s="68" t="s">
        <v>291</v>
      </c>
      <c r="D132" s="69">
        <v>112597</v>
      </c>
      <c r="E132" s="21" t="s">
        <v>412</v>
      </c>
      <c r="F132" s="68" t="s">
        <v>413</v>
      </c>
      <c r="G132" s="69">
        <v>14243</v>
      </c>
    </row>
    <row r="133" spans="2:7" ht="13.7" customHeight="1" x14ac:dyDescent="0.25">
      <c r="B133" s="6" t="s">
        <v>414</v>
      </c>
      <c r="C133" s="68" t="s">
        <v>295</v>
      </c>
      <c r="D133" s="69">
        <v>5882</v>
      </c>
      <c r="E133" s="21" t="s">
        <v>415</v>
      </c>
      <c r="F133" s="68" t="s">
        <v>416</v>
      </c>
      <c r="G133" s="69">
        <v>350000</v>
      </c>
    </row>
    <row r="134" spans="2:7" ht="13.7" customHeight="1" x14ac:dyDescent="0.25">
      <c r="B134" s="6" t="s">
        <v>417</v>
      </c>
      <c r="C134" s="68" t="s">
        <v>418</v>
      </c>
      <c r="D134" s="69">
        <v>1626367</v>
      </c>
      <c r="E134" s="21" t="s">
        <v>419</v>
      </c>
      <c r="F134" s="68" t="s">
        <v>420</v>
      </c>
      <c r="G134" s="69"/>
    </row>
    <row r="135" spans="2:7" ht="13.7" customHeight="1" x14ac:dyDescent="0.25">
      <c r="B135" s="6" t="s">
        <v>421</v>
      </c>
      <c r="C135" s="68" t="s">
        <v>422</v>
      </c>
      <c r="D135" s="69"/>
      <c r="E135" s="21" t="s">
        <v>423</v>
      </c>
      <c r="F135" s="68" t="s">
        <v>424</v>
      </c>
      <c r="G135" s="69"/>
    </row>
    <row r="136" spans="2:7" ht="13.7" customHeight="1" x14ac:dyDescent="0.25">
      <c r="B136" s="6" t="s">
        <v>425</v>
      </c>
      <c r="C136" s="68" t="s">
        <v>318</v>
      </c>
      <c r="D136" s="69">
        <f>589203+770205+32000+2541526+11358463</f>
        <v>15291397</v>
      </c>
      <c r="E136" s="21" t="s">
        <v>426</v>
      </c>
      <c r="F136" s="68" t="s">
        <v>427</v>
      </c>
      <c r="G136" s="69"/>
    </row>
    <row r="137" spans="2:7" ht="13.7" customHeight="1" x14ac:dyDescent="0.25">
      <c r="B137" s="6" t="s">
        <v>428</v>
      </c>
      <c r="C137" s="19" t="s">
        <v>320</v>
      </c>
      <c r="D137" s="71">
        <v>950709</v>
      </c>
      <c r="E137" s="21" t="s">
        <v>429</v>
      </c>
      <c r="F137" s="68" t="s">
        <v>430</v>
      </c>
      <c r="G137" s="69">
        <v>538016</v>
      </c>
    </row>
    <row r="138" spans="2:7" ht="13.7" customHeight="1" thickBot="1" x14ac:dyDescent="0.3">
      <c r="B138" s="6"/>
      <c r="C138" s="28" t="s">
        <v>321</v>
      </c>
      <c r="D138" s="37">
        <f>SUM(D127:D137)</f>
        <v>22084025</v>
      </c>
      <c r="E138" s="21" t="s">
        <v>431</v>
      </c>
      <c r="F138" s="19" t="s">
        <v>432</v>
      </c>
      <c r="G138" s="20">
        <v>144796</v>
      </c>
    </row>
    <row r="139" spans="2:7" ht="13.7" customHeight="1" thickBot="1" x14ac:dyDescent="0.3">
      <c r="B139" s="6" t="s">
        <v>433</v>
      </c>
      <c r="C139" s="66" t="s">
        <v>327</v>
      </c>
      <c r="D139" s="67">
        <v>104207</v>
      </c>
      <c r="E139" s="7"/>
      <c r="F139" s="28" t="s">
        <v>434</v>
      </c>
      <c r="G139" s="37">
        <f>SUM(G124:G138)</f>
        <v>3238666</v>
      </c>
    </row>
    <row r="140" spans="2:7" ht="13.7" customHeight="1" thickBot="1" x14ac:dyDescent="0.3">
      <c r="B140" s="6" t="s">
        <v>435</v>
      </c>
      <c r="C140" s="68" t="s">
        <v>329</v>
      </c>
      <c r="D140" s="69">
        <v>2099610</v>
      </c>
      <c r="E140" s="7"/>
      <c r="F140" s="48" t="s">
        <v>436</v>
      </c>
      <c r="G140" s="72">
        <f>G123-G139</f>
        <v>783392</v>
      </c>
    </row>
    <row r="141" spans="2:7" ht="13.7" customHeight="1" x14ac:dyDescent="0.25">
      <c r="B141" s="6" t="s">
        <v>437</v>
      </c>
      <c r="C141" s="19" t="s">
        <v>331</v>
      </c>
      <c r="D141" s="71">
        <v>99142</v>
      </c>
      <c r="E141" s="73"/>
    </row>
    <row r="142" spans="2:7" ht="13.7" customHeight="1" thickBot="1" x14ac:dyDescent="0.3">
      <c r="B142" s="6"/>
      <c r="C142" s="28" t="s">
        <v>332</v>
      </c>
      <c r="D142" s="37">
        <f>SUM(D139:D141)</f>
        <v>2302959</v>
      </c>
      <c r="E142" s="73"/>
    </row>
    <row r="143" spans="2:7" ht="13.7" customHeight="1" thickBot="1" x14ac:dyDescent="0.3">
      <c r="B143" s="6"/>
      <c r="C143" s="59" t="s">
        <v>438</v>
      </c>
      <c r="D143" s="74">
        <f>[36]Amortizaciones!D33</f>
        <v>0</v>
      </c>
      <c r="E143" s="21"/>
      <c r="F143" s="48" t="s">
        <v>439</v>
      </c>
      <c r="G143" s="17">
        <f>+[36]E.S.P.!D6</f>
        <v>2020</v>
      </c>
    </row>
    <row r="144" spans="2:7" ht="13.7" customHeight="1" x14ac:dyDescent="0.25">
      <c r="B144" s="6" t="s">
        <v>440</v>
      </c>
      <c r="C144" s="66" t="s">
        <v>441</v>
      </c>
      <c r="D144" s="67"/>
      <c r="E144" s="21" t="s">
        <v>442</v>
      </c>
      <c r="F144" s="66" t="s">
        <v>443</v>
      </c>
      <c r="G144" s="67">
        <f>211667-60098</f>
        <v>151569</v>
      </c>
    </row>
    <row r="145" spans="2:7" ht="13.7" customHeight="1" x14ac:dyDescent="0.25">
      <c r="B145" s="6" t="s">
        <v>444</v>
      </c>
      <c r="C145" s="68" t="s">
        <v>445</v>
      </c>
      <c r="D145" s="69"/>
      <c r="E145" s="21" t="s">
        <v>446</v>
      </c>
      <c r="F145" s="68" t="s">
        <v>447</v>
      </c>
      <c r="G145" s="69">
        <v>2308024</v>
      </c>
    </row>
    <row r="146" spans="2:7" ht="13.7" customHeight="1" x14ac:dyDescent="0.25">
      <c r="B146" s="6" t="s">
        <v>448</v>
      </c>
      <c r="C146" s="75" t="s">
        <v>449</v>
      </c>
      <c r="D146" s="69"/>
      <c r="E146" s="21" t="s">
        <v>450</v>
      </c>
      <c r="F146" s="68" t="s">
        <v>451</v>
      </c>
      <c r="G146" s="69"/>
    </row>
    <row r="147" spans="2:7" ht="13.7" customHeight="1" x14ac:dyDescent="0.25">
      <c r="B147" s="6" t="s">
        <v>452</v>
      </c>
      <c r="C147" s="19" t="s">
        <v>453</v>
      </c>
      <c r="D147" s="71"/>
      <c r="E147" s="21" t="s">
        <v>454</v>
      </c>
      <c r="F147" s="68" t="s">
        <v>455</v>
      </c>
      <c r="G147" s="69"/>
    </row>
    <row r="148" spans="2:7" ht="13.7" customHeight="1" thickBot="1" x14ac:dyDescent="0.3">
      <c r="B148" s="6"/>
      <c r="C148" s="28" t="s">
        <v>456</v>
      </c>
      <c r="D148" s="37">
        <f>SUM(D144:D147)</f>
        <v>0</v>
      </c>
      <c r="E148" s="21" t="s">
        <v>457</v>
      </c>
      <c r="F148" s="68" t="s">
        <v>458</v>
      </c>
      <c r="G148" s="69"/>
    </row>
    <row r="149" spans="2:7" ht="13.7" customHeight="1" x14ac:dyDescent="0.25">
      <c r="B149" s="6" t="s">
        <v>459</v>
      </c>
      <c r="C149" s="66" t="s">
        <v>460</v>
      </c>
      <c r="D149" s="67"/>
      <c r="E149" s="21" t="s">
        <v>461</v>
      </c>
      <c r="F149" s="68" t="s">
        <v>462</v>
      </c>
      <c r="G149" s="69"/>
    </row>
    <row r="150" spans="2:7" ht="13.7" customHeight="1" x14ac:dyDescent="0.25">
      <c r="B150" s="6" t="s">
        <v>463</v>
      </c>
      <c r="C150" s="68" t="s">
        <v>464</v>
      </c>
      <c r="D150" s="69"/>
      <c r="E150" s="21" t="s">
        <v>465</v>
      </c>
      <c r="F150" s="68" t="s">
        <v>466</v>
      </c>
      <c r="G150" s="69"/>
    </row>
    <row r="151" spans="2:7" ht="13.7" customHeight="1" x14ac:dyDescent="0.25">
      <c r="B151" s="6" t="s">
        <v>467</v>
      </c>
      <c r="C151" s="19" t="s">
        <v>468</v>
      </c>
      <c r="D151" s="71"/>
      <c r="E151" s="21" t="s">
        <v>469</v>
      </c>
      <c r="F151" s="68" t="s">
        <v>470</v>
      </c>
      <c r="G151" s="69"/>
    </row>
    <row r="152" spans="2:7" ht="13.7" customHeight="1" thickBot="1" x14ac:dyDescent="0.3">
      <c r="B152" s="6"/>
      <c r="C152" s="28" t="s">
        <v>471</v>
      </c>
      <c r="D152" s="37">
        <f>SUM(D149:D151)</f>
        <v>0</v>
      </c>
      <c r="E152" s="21" t="s">
        <v>472</v>
      </c>
      <c r="F152" s="68" t="s">
        <v>473</v>
      </c>
      <c r="G152" s="69"/>
    </row>
    <row r="153" spans="2:7" ht="13.7" customHeight="1" thickBot="1" x14ac:dyDescent="0.3">
      <c r="B153" s="6"/>
      <c r="C153" s="48" t="s">
        <v>474</v>
      </c>
      <c r="D153" s="76">
        <f>D122+D126+D138+D142+D143+D148+D152</f>
        <v>81647325</v>
      </c>
      <c r="E153" s="21" t="s">
        <v>475</v>
      </c>
      <c r="F153" s="19" t="s">
        <v>476</v>
      </c>
      <c r="G153" s="20">
        <v>115112</v>
      </c>
    </row>
    <row r="154" spans="2:7" ht="13.7" customHeight="1" thickBot="1" x14ac:dyDescent="0.3">
      <c r="B154" s="6"/>
      <c r="E154" s="21"/>
      <c r="F154" s="28" t="s">
        <v>477</v>
      </c>
      <c r="G154" s="37">
        <f>SUM(G144:G153)</f>
        <v>2574705</v>
      </c>
    </row>
    <row r="155" spans="2:7" ht="13.7" customHeight="1" thickBot="1" x14ac:dyDescent="0.3">
      <c r="B155" s="6"/>
      <c r="C155" s="77" t="s">
        <v>478</v>
      </c>
      <c r="D155" s="65">
        <f>G109-D153</f>
        <v>37073050</v>
      </c>
      <c r="E155" s="21" t="s">
        <v>479</v>
      </c>
      <c r="F155" s="66" t="s">
        <v>480</v>
      </c>
      <c r="G155" s="67">
        <v>1494656</v>
      </c>
    </row>
    <row r="156" spans="2:7" ht="13.7" customHeight="1" x14ac:dyDescent="0.25">
      <c r="E156" s="21" t="s">
        <v>481</v>
      </c>
      <c r="F156" s="68" t="s">
        <v>482</v>
      </c>
      <c r="G156" s="69">
        <v>4354254</v>
      </c>
    </row>
    <row r="157" spans="2:7" ht="13.7" customHeight="1" x14ac:dyDescent="0.25">
      <c r="E157" s="21" t="s">
        <v>483</v>
      </c>
      <c r="F157" s="68" t="s">
        <v>484</v>
      </c>
      <c r="G157" s="69"/>
    </row>
    <row r="158" spans="2:7" ht="13.7" customHeight="1" x14ac:dyDescent="0.25">
      <c r="E158" s="21" t="s">
        <v>485</v>
      </c>
      <c r="F158" s="68" t="s">
        <v>486</v>
      </c>
      <c r="G158" s="69"/>
    </row>
    <row r="159" spans="2:7" ht="13.7" customHeight="1" x14ac:dyDescent="0.25">
      <c r="E159" s="21" t="s">
        <v>487</v>
      </c>
      <c r="F159" s="68" t="s">
        <v>488</v>
      </c>
      <c r="G159" s="69"/>
    </row>
    <row r="160" spans="2:7" ht="13.7" customHeight="1" x14ac:dyDescent="0.25">
      <c r="E160" s="21" t="s">
        <v>489</v>
      </c>
      <c r="F160" s="68" t="s">
        <v>490</v>
      </c>
      <c r="G160" s="69">
        <v>180530</v>
      </c>
    </row>
    <row r="161" spans="5:7" ht="13.7" customHeight="1" x14ac:dyDescent="0.25">
      <c r="E161" s="21" t="s">
        <v>491</v>
      </c>
      <c r="F161" s="68" t="s">
        <v>492</v>
      </c>
      <c r="G161" s="69">
        <v>4321</v>
      </c>
    </row>
    <row r="162" spans="5:7" ht="13.7" customHeight="1" x14ac:dyDescent="0.25">
      <c r="E162" s="21" t="s">
        <v>493</v>
      </c>
      <c r="F162" s="68" t="s">
        <v>494</v>
      </c>
      <c r="G162" s="69"/>
    </row>
    <row r="163" spans="5:7" ht="13.7" customHeight="1" x14ac:dyDescent="0.25">
      <c r="E163" s="21" t="s">
        <v>495</v>
      </c>
      <c r="F163" s="68" t="s">
        <v>496</v>
      </c>
      <c r="G163" s="69"/>
    </row>
    <row r="164" spans="5:7" ht="13.7" customHeight="1" x14ac:dyDescent="0.25">
      <c r="E164" s="21" t="s">
        <v>497</v>
      </c>
      <c r="F164" s="68" t="s">
        <v>498</v>
      </c>
      <c r="G164" s="69"/>
    </row>
    <row r="165" spans="5:7" ht="13.7" customHeight="1" x14ac:dyDescent="0.25">
      <c r="E165" s="21" t="s">
        <v>499</v>
      </c>
      <c r="F165" s="68" t="s">
        <v>500</v>
      </c>
      <c r="G165" s="69">
        <v>6501533</v>
      </c>
    </row>
    <row r="166" spans="5:7" ht="13.7" customHeight="1" x14ac:dyDescent="0.25">
      <c r="E166" s="21" t="s">
        <v>501</v>
      </c>
      <c r="F166" s="68" t="s">
        <v>502</v>
      </c>
      <c r="G166" s="69">
        <f>364034+143220</f>
        <v>507254</v>
      </c>
    </row>
    <row r="167" spans="5:7" ht="13.7" customHeight="1" x14ac:dyDescent="0.25">
      <c r="E167" s="21" t="s">
        <v>503</v>
      </c>
      <c r="F167" s="19" t="s">
        <v>504</v>
      </c>
      <c r="G167" s="20">
        <v>282386</v>
      </c>
    </row>
    <row r="168" spans="5:7" ht="13.7" customHeight="1" thickBot="1" x14ac:dyDescent="0.3">
      <c r="E168" s="21"/>
      <c r="F168" s="28" t="s">
        <v>505</v>
      </c>
      <c r="G168" s="37">
        <f>SUM(G155:G167)</f>
        <v>13324934</v>
      </c>
    </row>
    <row r="169" spans="5:7" ht="13.7" customHeight="1" thickBot="1" x14ac:dyDescent="0.3">
      <c r="E169" s="21"/>
      <c r="F169" s="48" t="s">
        <v>506</v>
      </c>
      <c r="G169" s="72">
        <f>G154-G168</f>
        <v>-10750229</v>
      </c>
    </row>
    <row r="170" spans="5:7" ht="13.7" customHeight="1" thickBot="1" x14ac:dyDescent="0.3">
      <c r="E170" s="21"/>
      <c r="F170" s="78"/>
      <c r="G170" s="78"/>
    </row>
    <row r="171" spans="5:7" ht="13.7" customHeight="1" thickBot="1" x14ac:dyDescent="0.3">
      <c r="E171" s="21"/>
      <c r="F171" s="77" t="s">
        <v>507</v>
      </c>
      <c r="G171" s="79"/>
    </row>
    <row r="172" spans="5:7" ht="13.7" customHeight="1" thickBot="1" x14ac:dyDescent="0.3">
      <c r="E172" s="21"/>
      <c r="F172" s="80"/>
      <c r="G172" s="81">
        <f>+D155+G140+G169</f>
        <v>27106213</v>
      </c>
    </row>
    <row r="173" spans="5:7" ht="13.7" customHeight="1" thickBot="1" x14ac:dyDescent="0.3">
      <c r="E173" s="21"/>
      <c r="F173" s="5"/>
      <c r="G173" s="5"/>
    </row>
    <row r="174" spans="5:7" ht="13.7" customHeight="1" thickBot="1" x14ac:dyDescent="0.3">
      <c r="E174" s="21"/>
      <c r="F174" s="48" t="s">
        <v>508</v>
      </c>
      <c r="G174" s="17">
        <f>+G143</f>
        <v>2020</v>
      </c>
    </row>
    <row r="175" spans="5:7" ht="13.7" customHeight="1" x14ac:dyDescent="0.25">
      <c r="E175" s="21"/>
      <c r="F175" s="66" t="s">
        <v>509</v>
      </c>
      <c r="G175" s="67"/>
    </row>
    <row r="176" spans="5:7" ht="13.7" customHeight="1" x14ac:dyDescent="0.25">
      <c r="E176" s="21"/>
      <c r="F176" s="68" t="s">
        <v>510</v>
      </c>
      <c r="G176" s="69"/>
    </row>
    <row r="177" spans="1:8" ht="13.7" customHeight="1" thickBot="1" x14ac:dyDescent="0.3">
      <c r="F177" s="68" t="s">
        <v>511</v>
      </c>
      <c r="G177" s="69"/>
    </row>
    <row r="178" spans="1:8" ht="13.7" customHeight="1" thickBot="1" x14ac:dyDescent="0.3">
      <c r="F178" s="48" t="s">
        <v>512</v>
      </c>
      <c r="G178" s="72">
        <f>SUM(G175:G177)</f>
        <v>0</v>
      </c>
    </row>
    <row r="179" spans="1:8" ht="13.7" customHeight="1" thickBot="1" x14ac:dyDescent="0.3"/>
    <row r="180" spans="1:8" ht="13.7" customHeight="1" thickBot="1" x14ac:dyDescent="0.3">
      <c r="F180" s="77" t="s">
        <v>513</v>
      </c>
      <c r="G180" s="79"/>
    </row>
    <row r="181" spans="1:8" ht="13.7" customHeight="1" thickBot="1" x14ac:dyDescent="0.3">
      <c r="F181" s="83"/>
      <c r="G181" s="81">
        <f>+G172+G178</f>
        <v>27106213</v>
      </c>
    </row>
    <row r="182" spans="1:8" ht="13.7" customHeight="1" x14ac:dyDescent="0.25"/>
    <row r="183" spans="1:8" ht="13.5" customHeight="1" x14ac:dyDescent="0.25"/>
    <row r="184" spans="1:8" ht="13.7" customHeight="1" x14ac:dyDescent="0.25">
      <c r="E184" s="84"/>
      <c r="F184" s="84"/>
      <c r="G184" s="84"/>
      <c r="H184" s="84"/>
    </row>
    <row r="185" spans="1:8" s="84" customFormat="1" ht="13.7" customHeight="1" x14ac:dyDescent="0.25">
      <c r="A185" s="85"/>
      <c r="E185" s="82"/>
      <c r="F185" s="86"/>
      <c r="G185" s="86"/>
    </row>
    <row r="186" spans="1:8" s="84" customFormat="1" ht="12.75" x14ac:dyDescent="0.25">
      <c r="A186" s="85"/>
      <c r="E186" s="82"/>
      <c r="F186" s="86"/>
      <c r="G186" s="86"/>
    </row>
    <row r="187" spans="1:8" s="84" customFormat="1" ht="12.75" hidden="1" x14ac:dyDescent="0.25">
      <c r="A187" s="85"/>
      <c r="E187" s="82"/>
      <c r="F187" s="86"/>
      <c r="G187" s="86"/>
    </row>
    <row r="188" spans="1:8" s="84" customFormat="1" ht="12.75" hidden="1" x14ac:dyDescent="0.25">
      <c r="A188" s="85"/>
      <c r="E188" s="82"/>
      <c r="F188" s="86"/>
      <c r="G188" s="86"/>
    </row>
    <row r="189" spans="1:8" s="84" customFormat="1" ht="12.75" hidden="1" x14ac:dyDescent="0.25">
      <c r="A189" s="85"/>
      <c r="E189" s="82"/>
      <c r="F189" s="86"/>
      <c r="G189" s="86"/>
    </row>
    <row r="190" spans="1:8" s="84" customFormat="1" ht="12.75" hidden="1" x14ac:dyDescent="0.25">
      <c r="A190" s="85"/>
      <c r="E190" s="82"/>
      <c r="F190" s="86"/>
      <c r="G190" s="86"/>
    </row>
    <row r="191" spans="1:8" s="84" customFormat="1" ht="12.75" hidden="1" x14ac:dyDescent="0.25">
      <c r="A191" s="85"/>
      <c r="E191" s="82"/>
      <c r="F191" s="86"/>
      <c r="G191" s="86"/>
    </row>
    <row r="192" spans="1:8" s="84" customFormat="1" ht="12.75" hidden="1" x14ac:dyDescent="0.25">
      <c r="A192" s="85"/>
      <c r="E192" s="82"/>
      <c r="F192" s="86"/>
      <c r="G192" s="86"/>
    </row>
    <row r="193" spans="5:7" s="84" customFormat="1" ht="12.75" hidden="1" x14ac:dyDescent="0.25">
      <c r="E193" s="82"/>
      <c r="F193" s="86"/>
      <c r="G193" s="86"/>
    </row>
    <row r="194" spans="5:7" s="84" customFormat="1" ht="12.75" hidden="1" x14ac:dyDescent="0.25">
      <c r="E194" s="82"/>
      <c r="F194" s="86"/>
      <c r="G194" s="86"/>
    </row>
    <row r="195" spans="5:7" s="84" customFormat="1" ht="12.75" hidden="1" x14ac:dyDescent="0.25">
      <c r="E195" s="82"/>
      <c r="F195" s="86"/>
      <c r="G195" s="86"/>
    </row>
    <row r="196" spans="5:7" s="84" customFormat="1" ht="12.75" hidden="1" x14ac:dyDescent="0.25">
      <c r="E196" s="82"/>
      <c r="F196" s="86"/>
      <c r="G196" s="86"/>
    </row>
    <row r="197" spans="5:7" s="84" customFormat="1" ht="12.75" hidden="1" x14ac:dyDescent="0.25">
      <c r="E197" s="82"/>
      <c r="F197" s="86"/>
      <c r="G197" s="86"/>
    </row>
    <row r="198" spans="5:7" s="84" customFormat="1" ht="12.75" hidden="1" x14ac:dyDescent="0.25">
      <c r="E198" s="82"/>
      <c r="F198" s="86"/>
      <c r="G198" s="86"/>
    </row>
    <row r="199" spans="5:7" s="84" customFormat="1" ht="12.75" hidden="1" x14ac:dyDescent="0.25">
      <c r="E199" s="82"/>
      <c r="F199" s="86"/>
      <c r="G199" s="86"/>
    </row>
    <row r="200" spans="5:7" s="84" customFormat="1" ht="12.75" hidden="1" x14ac:dyDescent="0.25">
      <c r="E200" s="82"/>
      <c r="F200" s="86"/>
      <c r="G200" s="86"/>
    </row>
    <row r="201" spans="5:7" s="84" customFormat="1" ht="12.75" hidden="1" x14ac:dyDescent="0.25">
      <c r="E201" s="82"/>
      <c r="F201" s="86"/>
      <c r="G201" s="86"/>
    </row>
    <row r="202" spans="5:7" s="84" customFormat="1" ht="12.75" hidden="1" x14ac:dyDescent="0.25">
      <c r="E202" s="82"/>
      <c r="F202" s="86"/>
      <c r="G202" s="86"/>
    </row>
    <row r="203" spans="5:7" s="84" customFormat="1" ht="12.75" hidden="1" x14ac:dyDescent="0.25">
      <c r="E203" s="82"/>
      <c r="F203" s="86"/>
      <c r="G203" s="86"/>
    </row>
    <row r="204" spans="5:7" s="84" customFormat="1" ht="12.75" hidden="1" x14ac:dyDescent="0.25">
      <c r="E204" s="82"/>
      <c r="F204" s="86"/>
      <c r="G204" s="86"/>
    </row>
    <row r="205" spans="5:7" s="84" customFormat="1" ht="12.75" hidden="1" x14ac:dyDescent="0.25">
      <c r="E205" s="82"/>
      <c r="F205" s="86"/>
      <c r="G205" s="86"/>
    </row>
    <row r="206" spans="5:7" s="84" customFormat="1" ht="12.75" hidden="1" x14ac:dyDescent="0.25">
      <c r="E206" s="82"/>
      <c r="F206" s="86"/>
      <c r="G206" s="86"/>
    </row>
    <row r="207" spans="5:7" s="84" customFormat="1" ht="12.75" hidden="1" x14ac:dyDescent="0.25">
      <c r="E207" s="82"/>
      <c r="F207" s="86"/>
      <c r="G207" s="86"/>
    </row>
    <row r="208" spans="5:7" s="84" customFormat="1" ht="12.75" hidden="1" x14ac:dyDescent="0.25">
      <c r="E208" s="82"/>
      <c r="F208" s="86"/>
      <c r="G208" s="86"/>
    </row>
    <row r="209" spans="3:8" s="84" customFormat="1" ht="12.75" hidden="1" x14ac:dyDescent="0.25">
      <c r="E209" s="82"/>
      <c r="F209" s="86"/>
      <c r="G209" s="86"/>
    </row>
    <row r="210" spans="3:8" s="84" customFormat="1" ht="12.75" hidden="1" x14ac:dyDescent="0.25">
      <c r="E210" s="82"/>
      <c r="F210" s="86"/>
      <c r="G210" s="86"/>
    </row>
    <row r="211" spans="3:8" s="84" customFormat="1" ht="12.75" hidden="1" x14ac:dyDescent="0.25">
      <c r="E211" s="82"/>
      <c r="F211" s="86"/>
      <c r="G211" s="86"/>
    </row>
    <row r="212" spans="3:8" s="84" customFormat="1" ht="12.75" hidden="1" x14ac:dyDescent="0.25">
      <c r="E212" s="82"/>
      <c r="F212" s="86"/>
      <c r="G212" s="86"/>
    </row>
    <row r="213" spans="3:8" s="84" customFormat="1" ht="12.75" hidden="1" x14ac:dyDescent="0.25">
      <c r="E213" s="82"/>
      <c r="F213" s="86"/>
      <c r="G213" s="86"/>
    </row>
    <row r="214" spans="3:8" s="84" customFormat="1" hidden="1" x14ac:dyDescent="0.25">
      <c r="E214" s="82"/>
      <c r="F214" s="87"/>
      <c r="G214" s="58"/>
      <c r="H214" s="5"/>
    </row>
    <row r="215" spans="3:8" hidden="1" x14ac:dyDescent="0.25">
      <c r="C215" s="86"/>
      <c r="D215" s="86"/>
      <c r="F215" s="87"/>
    </row>
    <row r="216" spans="3:8" hidden="1" x14ac:dyDescent="0.25"/>
    <row r="217" spans="3:8" hidden="1" x14ac:dyDescent="0.25"/>
    <row r="218" spans="3:8" hidden="1" x14ac:dyDescent="0.25"/>
    <row r="219" spans="3:8" hidden="1" x14ac:dyDescent="0.25"/>
    <row r="220" spans="3:8" hidden="1" x14ac:dyDescent="0.25"/>
    <row r="221" spans="3:8" hidden="1" x14ac:dyDescent="0.25"/>
    <row r="222" spans="3:8" hidden="1" x14ac:dyDescent="0.25"/>
    <row r="223" spans="3:8" hidden="1" x14ac:dyDescent="0.25"/>
    <row r="224" spans="3:8"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sheetData>
  <mergeCells count="6">
    <mergeCell ref="C1:D1"/>
    <mergeCell ref="E1:F1"/>
    <mergeCell ref="C2:D2"/>
    <mergeCell ref="E2:F2"/>
    <mergeCell ref="C3:D3"/>
    <mergeCell ref="E3:F3"/>
  </mergeCells>
  <conditionalFormatting sqref="D7:D12">
    <cfRule type="cellIs" dxfId="27" priority="2" stopIfTrue="1" operator="greaterThan">
      <formula>50</formula>
    </cfRule>
    <cfRule type="cellIs" dxfId="26" priority="11" stopIfTrue="1" operator="equal">
      <formula>0</formula>
    </cfRule>
  </conditionalFormatting>
  <conditionalFormatting sqref="D7:D61">
    <cfRule type="cellIs" dxfId="25" priority="9" stopIfTrue="1" operator="between">
      <formula>-0.1</formula>
      <formula>-50</formula>
    </cfRule>
    <cfRule type="cellIs" dxfId="24" priority="10" stopIfTrue="1" operator="between">
      <formula>0.1</formula>
      <formula>50</formula>
    </cfRule>
  </conditionalFormatting>
  <conditionalFormatting sqref="G152:G181 G7:G150">
    <cfRule type="cellIs" dxfId="23" priority="7" stopIfTrue="1" operator="between">
      <formula>-0.1</formula>
      <formula>-50</formula>
    </cfRule>
    <cfRule type="cellIs" dxfId="22" priority="8" stopIfTrue="1" operator="between">
      <formula>0.1</formula>
      <formula>50</formula>
    </cfRule>
  </conditionalFormatting>
  <conditionalFormatting sqref="D111:D155">
    <cfRule type="cellIs" dxfId="21" priority="5" stopIfTrue="1" operator="between">
      <formula>-0.1</formula>
      <formula>-50</formula>
    </cfRule>
    <cfRule type="cellIs" dxfId="20" priority="6" stopIfTrue="1" operator="between">
      <formula>0.1</formula>
      <formula>50</formula>
    </cfRule>
  </conditionalFormatting>
  <conditionalFormatting sqref="G165">
    <cfRule type="expression" dxfId="19" priority="4" stopIfTrue="1">
      <formula>AND($G$165&gt;0,$G$151&gt;0)</formula>
    </cfRule>
  </conditionalFormatting>
  <conditionalFormatting sqref="G151">
    <cfRule type="expression" dxfId="18" priority="1" stopIfTrue="1">
      <formula>AND($G$151&gt;0,$G$165&gt;0)</formula>
    </cfRule>
  </conditionalFormatting>
  <dataValidations count="11">
    <dataValidation type="custom" operator="greaterThan" showInputMessage="1" showErrorMessage="1" errorTitle="RDM" error="No se admite ingresar RDM como ingresos y egresos a la vez. Tampoco se admiten valores menores a $50._x000a_" sqref="G151">
      <formula1>AND(OR(G151=0, G151&gt;50),G165=0)</formula1>
    </dataValidation>
    <dataValidation type="whole" operator="greaterThan" allowBlank="1" showInputMessage="1" showErrorMessage="1" sqref="D8:D12">
      <formula1>50</formula1>
    </dataValidation>
    <dataValidation type="whole" operator="greaterThan" showInputMessage="1" showErrorMessage="1" errorTitle="eee" error="Valores mayores a $50" sqref="D7">
      <formula1>50</formula1>
    </dataValidation>
    <dataValidation type="custom" operator="greaterThan" showInputMessage="1" showErrorMessage="1" errorTitle="eee" sqref="D56">
      <formula1>OR(D56=0, D56&lt;50)</formula1>
    </dataValidation>
    <dataValidation type="custom" operator="greaterThan" showInputMessage="1" showErrorMessage="1" errorTitle="eee" sqref="D57:D61">
      <formula1>OR(D57=0, D57&lt;0)</formula1>
    </dataValidation>
    <dataValidation type="custom" operator="greaterThan" showInputMessage="1" showErrorMessage="1" errorTitle="eee" sqref="G7:G140 D62:D155 G152:G164 G166:G181 G144:G150 D13:D55">
      <formula1>OR(D7=0, D7&gt;50)</formula1>
    </dataValidation>
    <dataValidation type="whole" allowBlank="1" showErrorMessage="1" errorTitle="Error de datos" error="Debe ingresar un valor entre 1 y 12" sqref="G1:G3">
      <formula1>1</formula1>
      <formula2>12</formula2>
    </dataValidation>
    <dataValidation allowBlank="1" errorTitle="Error de datos" error="Debe introducir una fecha válida" sqref="E3"/>
    <dataValidation allowBlank="1" sqref="G204"/>
    <dataValidation operator="greaterThanOrEqual" allowBlank="1" errorTitle="Error de datos" error="Debe ingresar un valor entero positivo" sqref="F6:F107 F203 C13:C47 C106:C153 F171 F174:F178 F180 F111:F119 C7:C10 F121:F140 F143:F169 C49:C62 C155 F109"/>
    <dataValidation type="custom" operator="greaterThan" showInputMessage="1" showErrorMessage="1" errorTitle="rdm2" error="No se admite ingresar a la vez RDM como ingresos y como egresos. Tampoco se admiten valores negattivos o positivos menores de 50" sqref="G165">
      <formula1>AND(OR(G165=0, G165&gt;50),G151=0)</formula1>
    </dataValidation>
  </dataValidations>
  <pageMargins left="0.7" right="0.7" top="0.75" bottom="0.75" header="0.3" footer="0.3"/>
  <ignoredErrors>
    <ignoredError sqref="E7:E181" numberStoredAsText="1"/>
    <ignoredError sqref="D9 D32 D42 D50 D114 D136 G17 G77 G99 G121 G144 G166" unlockedFormula="1"/>
    <ignoredError sqref="G40" formulaRange="1"/>
  </ignoredErrors>
  <legacyDrawing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26"/>
  <sheetViews>
    <sheetView showGridLines="0" workbookViewId="0">
      <selection activeCell="F4" sqref="F4"/>
    </sheetView>
  </sheetViews>
  <sheetFormatPr baseColWidth="10" defaultColWidth="0" defaultRowHeight="15" zeroHeight="1" x14ac:dyDescent="0.25"/>
  <cols>
    <col min="1" max="1" width="3.7109375" style="1" customWidth="1"/>
    <col min="2" max="2" width="14.28515625" style="7" hidden="1" customWidth="1"/>
    <col min="3" max="3" width="58.7109375" style="58" customWidth="1"/>
    <col min="4" max="4" width="25.140625" style="58" customWidth="1"/>
    <col min="5" max="5" width="5.85546875" style="82" customWidth="1"/>
    <col min="6" max="6" width="57.28515625" style="58" customWidth="1"/>
    <col min="7" max="7" width="24.7109375" style="58" customWidth="1"/>
    <col min="8" max="8" width="5.42578125" style="5" customWidth="1"/>
    <col min="9" max="16384" width="0" style="5" hidden="1"/>
  </cols>
  <sheetData>
    <row r="1" spans="1:9" ht="15.75" x14ac:dyDescent="0.25">
      <c r="B1" s="2"/>
      <c r="C1" s="313" t="s">
        <v>0</v>
      </c>
      <c r="D1" s="314"/>
      <c r="E1" s="315" t="s">
        <v>517</v>
      </c>
      <c r="F1" s="315"/>
      <c r="G1" s="3"/>
      <c r="H1" s="4"/>
    </row>
    <row r="2" spans="1:9" ht="15.75" x14ac:dyDescent="0.25">
      <c r="B2" s="6"/>
      <c r="C2" s="313" t="s">
        <v>1</v>
      </c>
      <c r="D2" s="314"/>
      <c r="E2" s="315" t="s">
        <v>514</v>
      </c>
      <c r="F2" s="315"/>
      <c r="G2" s="3"/>
      <c r="H2" s="4"/>
    </row>
    <row r="3" spans="1:9" ht="15.75" x14ac:dyDescent="0.25">
      <c r="B3" s="6"/>
      <c r="C3" s="313" t="s">
        <v>2</v>
      </c>
      <c r="D3" s="316"/>
      <c r="E3" s="317" t="s">
        <v>3</v>
      </c>
      <c r="F3" s="317"/>
      <c r="G3" s="3"/>
      <c r="H3" s="4"/>
    </row>
    <row r="4" spans="1:9" ht="15.75" thickBot="1" x14ac:dyDescent="0.3">
      <c r="C4" s="287"/>
      <c r="D4" s="8"/>
      <c r="E4" s="9"/>
      <c r="F4" s="10"/>
      <c r="G4" s="11"/>
    </row>
    <row r="5" spans="1:9" ht="16.5" thickBot="1" x14ac:dyDescent="0.3">
      <c r="B5" s="12"/>
      <c r="C5" s="13" t="s">
        <v>4</v>
      </c>
      <c r="D5" s="284" t="s">
        <v>5</v>
      </c>
      <c r="E5" s="14"/>
      <c r="F5" s="13" t="s">
        <v>6</v>
      </c>
      <c r="G5" s="284" t="s">
        <v>5</v>
      </c>
      <c r="I5" s="15"/>
    </row>
    <row r="6" spans="1:9" ht="16.5" thickBot="1" x14ac:dyDescent="0.3">
      <c r="B6" s="12"/>
      <c r="C6" s="16" t="s">
        <v>7</v>
      </c>
      <c r="D6" s="290">
        <f>+[9]E.S.P.!D6</f>
        <v>2020</v>
      </c>
      <c r="E6" s="18"/>
      <c r="F6" s="16" t="s">
        <v>8</v>
      </c>
      <c r="G6" s="290">
        <f>+D6</f>
        <v>2020</v>
      </c>
      <c r="H6" s="15"/>
    </row>
    <row r="7" spans="1:9" x14ac:dyDescent="0.25">
      <c r="B7" s="6" t="s">
        <v>9</v>
      </c>
      <c r="C7" s="19" t="s">
        <v>10</v>
      </c>
      <c r="D7" s="20">
        <f>SUM(ASOC.ESPAÑOLA:UNIVERSAL!D7)</f>
        <v>1158399313.1399999</v>
      </c>
      <c r="E7" s="21" t="s">
        <v>11</v>
      </c>
      <c r="F7" s="22" t="s">
        <v>12</v>
      </c>
      <c r="G7" s="23">
        <f>SUM(ASOC.ESPAÑOLA:UNIVERSAL!G7)</f>
        <v>273258870.63351744</v>
      </c>
    </row>
    <row r="8" spans="1:9" x14ac:dyDescent="0.25">
      <c r="B8" s="6" t="s">
        <v>13</v>
      </c>
      <c r="C8" s="19" t="s">
        <v>14</v>
      </c>
      <c r="D8" s="20">
        <f>SUM(ASOC.ESPAÑOLA:UNIVERSAL!D8)</f>
        <v>636775769.72000003</v>
      </c>
      <c r="E8" s="21" t="s">
        <v>15</v>
      </c>
      <c r="F8" s="19" t="s">
        <v>16</v>
      </c>
      <c r="G8" s="24">
        <f>SUM(ASOC.ESPAÑOLA:UNIVERSAL!G8)</f>
        <v>1630944039.4636664</v>
      </c>
    </row>
    <row r="9" spans="1:9" x14ac:dyDescent="0.25">
      <c r="B9" s="6" t="s">
        <v>17</v>
      </c>
      <c r="C9" s="19" t="s">
        <v>18</v>
      </c>
      <c r="D9" s="20">
        <f>SUM(ASOC.ESPAÑOLA:UNIVERSAL!D9)</f>
        <v>36336230119.25</v>
      </c>
      <c r="E9" s="21" t="s">
        <v>19</v>
      </c>
      <c r="F9" s="19" t="s">
        <v>20</v>
      </c>
      <c r="G9" s="20">
        <f>SUM(ASOC.ESPAÑOLA:UNIVERSAL!G9)</f>
        <v>1684849594.5562975</v>
      </c>
    </row>
    <row r="10" spans="1:9" x14ac:dyDescent="0.25">
      <c r="B10" s="6" t="s">
        <v>21</v>
      </c>
      <c r="C10" s="19" t="s">
        <v>22</v>
      </c>
      <c r="D10" s="20">
        <f>SUM(ASOC.ESPAÑOLA:UNIVERSAL!D10)</f>
        <v>3606584435.73</v>
      </c>
      <c r="E10" s="21" t="s">
        <v>23</v>
      </c>
      <c r="F10" s="19" t="s">
        <v>24</v>
      </c>
      <c r="G10" s="20">
        <f>SUM(ASOC.ESPAÑOLA:UNIVERSAL!G10)</f>
        <v>5687111949.3221512</v>
      </c>
    </row>
    <row r="11" spans="1:9" x14ac:dyDescent="0.25">
      <c r="B11" s="6" t="s">
        <v>25</v>
      </c>
      <c r="C11" s="19" t="s">
        <v>26</v>
      </c>
      <c r="D11" s="20">
        <f>SUM(ASOC.ESPAÑOLA:UNIVERSAL!D11)</f>
        <v>692605614</v>
      </c>
      <c r="E11" s="21" t="s">
        <v>27</v>
      </c>
      <c r="F11" s="19" t="s">
        <v>28</v>
      </c>
      <c r="G11" s="20">
        <f>SUM(ASOC.ESPAÑOLA:UNIVERSAL!G11)</f>
        <v>3448668827.649189</v>
      </c>
    </row>
    <row r="12" spans="1:9" x14ac:dyDescent="0.25">
      <c r="B12" s="6" t="s">
        <v>29</v>
      </c>
      <c r="C12" s="19" t="s">
        <v>30</v>
      </c>
      <c r="D12" s="20">
        <f>SUM(ASOC.ESPAÑOLA:UNIVERSAL!D12)</f>
        <v>908216462.62</v>
      </c>
      <c r="E12" s="21" t="s">
        <v>31</v>
      </c>
      <c r="F12" s="19" t="s">
        <v>32</v>
      </c>
      <c r="G12" s="20">
        <f>SUM(ASOC.ESPAÑOLA:UNIVERSAL!G12)</f>
        <v>2655754278.6380348</v>
      </c>
    </row>
    <row r="13" spans="1:9" x14ac:dyDescent="0.25">
      <c r="B13" s="6" t="s">
        <v>33</v>
      </c>
      <c r="C13" s="19" t="s">
        <v>34</v>
      </c>
      <c r="D13" s="20">
        <f>SUM(ASOC.ESPAÑOLA:UNIVERSAL!D13)</f>
        <v>0</v>
      </c>
      <c r="E13" s="21" t="s">
        <v>35</v>
      </c>
      <c r="F13" s="19" t="s">
        <v>36</v>
      </c>
      <c r="G13" s="20">
        <f>SUM(ASOC.ESPAÑOLA:UNIVERSAL!G13)</f>
        <v>619988875.26473022</v>
      </c>
    </row>
    <row r="14" spans="1:9" x14ac:dyDescent="0.25">
      <c r="A14" s="25"/>
      <c r="B14" s="6" t="s">
        <v>37</v>
      </c>
      <c r="C14" s="19" t="s">
        <v>38</v>
      </c>
      <c r="D14" s="20">
        <f>SUM(ASOC.ESPAÑOLA:UNIVERSAL!D14)</f>
        <v>241411850.75000003</v>
      </c>
      <c r="E14" s="21" t="s">
        <v>39</v>
      </c>
      <c r="F14" s="19" t="s">
        <v>40</v>
      </c>
      <c r="G14" s="20">
        <f>SUM(ASOC.ESPAÑOLA:UNIVERSAL!G14)</f>
        <v>6554077399.5913391</v>
      </c>
    </row>
    <row r="15" spans="1:9" x14ac:dyDescent="0.25">
      <c r="B15" s="6" t="s">
        <v>41</v>
      </c>
      <c r="C15" s="26" t="s">
        <v>42</v>
      </c>
      <c r="D15" s="20">
        <f>SUM(ASOC.ESPAÑOLA:UNIVERSAL!D15)</f>
        <v>28255077</v>
      </c>
      <c r="E15" s="21" t="s">
        <v>43</v>
      </c>
      <c r="F15" s="19" t="s">
        <v>44</v>
      </c>
      <c r="G15" s="20">
        <f>SUM(ASOC.ESPAÑOLA:UNIVERSAL!G15)</f>
        <v>3149001424.7013192</v>
      </c>
    </row>
    <row r="16" spans="1:9" x14ac:dyDescent="0.25">
      <c r="B16" s="6" t="s">
        <v>45</v>
      </c>
      <c r="C16" s="19" t="s">
        <v>46</v>
      </c>
      <c r="D16" s="20">
        <f>SUM(ASOC.ESPAÑOLA:UNIVERSAL!D16)</f>
        <v>0</v>
      </c>
      <c r="E16" s="21" t="s">
        <v>47</v>
      </c>
      <c r="F16" s="19" t="s">
        <v>48</v>
      </c>
      <c r="G16" s="20">
        <f>SUM(ASOC.ESPAÑOLA:UNIVERSAL!G16)</f>
        <v>2387619269.8797398</v>
      </c>
    </row>
    <row r="17" spans="1:7" x14ac:dyDescent="0.25">
      <c r="B17" s="6" t="s">
        <v>49</v>
      </c>
      <c r="C17" s="19" t="s">
        <v>50</v>
      </c>
      <c r="D17" s="20">
        <f>SUM(ASOC.ESPAÑOLA:UNIVERSAL!D17)</f>
        <v>2382</v>
      </c>
      <c r="E17" s="21" t="s">
        <v>51</v>
      </c>
      <c r="F17" s="19" t="s">
        <v>52</v>
      </c>
      <c r="G17" s="20">
        <f>SUM(ASOC.ESPAÑOLA:UNIVERSAL!G17)</f>
        <v>22515976.719999999</v>
      </c>
    </row>
    <row r="18" spans="1:7" x14ac:dyDescent="0.25">
      <c r="A18" s="25"/>
      <c r="B18" s="6" t="s">
        <v>53</v>
      </c>
      <c r="C18" s="19" t="s">
        <v>54</v>
      </c>
      <c r="D18" s="20">
        <f>SUM(ASOC.ESPAÑOLA:UNIVERSAL!D18)</f>
        <v>778814455</v>
      </c>
      <c r="E18" s="21" t="s">
        <v>55</v>
      </c>
      <c r="F18" s="19" t="s">
        <v>56</v>
      </c>
      <c r="G18" s="27">
        <f>SUM(ASOC.ESPAÑOLA:UNIVERSAL!G18)</f>
        <v>1237044319.9013228</v>
      </c>
    </row>
    <row r="19" spans="1:7" ht="15.75" thickBot="1" x14ac:dyDescent="0.3">
      <c r="A19" s="25"/>
      <c r="B19" s="6" t="s">
        <v>57</v>
      </c>
      <c r="C19" s="19" t="s">
        <v>58</v>
      </c>
      <c r="D19" s="20">
        <f>SUM(ASOC.ESPAÑOLA:UNIVERSAL!D19)</f>
        <v>1889181219.7266684</v>
      </c>
      <c r="E19" s="21"/>
      <c r="F19" s="28" t="s">
        <v>59</v>
      </c>
      <c r="G19" s="29">
        <f>SUM(ASOC.ESPAÑOLA:UNIVERSAL!G19)</f>
        <v>29350834826.321308</v>
      </c>
    </row>
    <row r="20" spans="1:7" ht="15.75" thickBot="1" x14ac:dyDescent="0.3">
      <c r="B20" s="6"/>
      <c r="C20" s="28" t="s">
        <v>60</v>
      </c>
      <c r="D20" s="29">
        <f>SUM(ASOC.ESPAÑOLA:UNIVERSAL!D20)</f>
        <v>46276476698.936668</v>
      </c>
      <c r="E20" s="21" t="s">
        <v>61</v>
      </c>
      <c r="F20" s="22" t="s">
        <v>62</v>
      </c>
      <c r="G20" s="23">
        <f>SUM(ASOC.ESPAÑOLA:UNIVERSAL!G20)</f>
        <v>20828267.509948649</v>
      </c>
    </row>
    <row r="21" spans="1:7" x14ac:dyDescent="0.25">
      <c r="B21" s="6"/>
      <c r="C21" s="30" t="s">
        <v>63</v>
      </c>
      <c r="D21" s="31">
        <f>SUM(ASOC.ESPAÑOLA:UNIVERSAL!D21)</f>
        <v>523783531.12254167</v>
      </c>
      <c r="E21" s="21" t="s">
        <v>64</v>
      </c>
      <c r="F21" s="19" t="s">
        <v>65</v>
      </c>
      <c r="G21" s="20">
        <f>SUM(ASOC.ESPAÑOLA:UNIVERSAL!G21)</f>
        <v>600933613.02569377</v>
      </c>
    </row>
    <row r="22" spans="1:7" x14ac:dyDescent="0.25">
      <c r="B22" s="6" t="s">
        <v>66</v>
      </c>
      <c r="C22" s="19" t="s">
        <v>67</v>
      </c>
      <c r="D22" s="20">
        <f>SUM(ASOC.ESPAÑOLA:UNIVERSAL!D22)</f>
        <v>227741445.41</v>
      </c>
      <c r="E22" s="21" t="s">
        <v>68</v>
      </c>
      <c r="F22" s="19" t="s">
        <v>69</v>
      </c>
      <c r="G22" s="20">
        <f>SUM(ASOC.ESPAÑOLA:UNIVERSAL!G22)</f>
        <v>292021852.43512666</v>
      </c>
    </row>
    <row r="23" spans="1:7" x14ac:dyDescent="0.25">
      <c r="B23" s="6" t="s">
        <v>70</v>
      </c>
      <c r="C23" s="19" t="s">
        <v>71</v>
      </c>
      <c r="D23" s="20">
        <f>SUM(ASOC.ESPAÑOLA:UNIVERSAL!D23)</f>
        <v>54675849.43</v>
      </c>
      <c r="E23" s="21" t="s">
        <v>72</v>
      </c>
      <c r="F23" s="19" t="s">
        <v>73</v>
      </c>
      <c r="G23" s="20">
        <f>SUM(ASOC.ESPAÑOLA:UNIVERSAL!G23)</f>
        <v>492783851.34923089</v>
      </c>
    </row>
    <row r="24" spans="1:7" x14ac:dyDescent="0.25">
      <c r="B24" s="6" t="s">
        <v>74</v>
      </c>
      <c r="C24" s="19" t="s">
        <v>75</v>
      </c>
      <c r="D24" s="20">
        <f>SUM(ASOC.ESPAÑOLA:UNIVERSAL!D24)</f>
        <v>75179848.180000007</v>
      </c>
      <c r="E24" s="21" t="s">
        <v>76</v>
      </c>
      <c r="F24" s="19" t="s">
        <v>77</v>
      </c>
      <c r="G24" s="20">
        <f>SUM(ASOC.ESPAÑOLA:UNIVERSAL!G24)</f>
        <v>28939310.059999999</v>
      </c>
    </row>
    <row r="25" spans="1:7" x14ac:dyDescent="0.25">
      <c r="B25" s="6" t="s">
        <v>78</v>
      </c>
      <c r="C25" s="19" t="s">
        <v>79</v>
      </c>
      <c r="D25" s="20">
        <f>SUM(ASOC.ESPAÑOLA:UNIVERSAL!D25)</f>
        <v>36755726.480000004</v>
      </c>
      <c r="E25" s="21" t="s">
        <v>80</v>
      </c>
      <c r="F25" s="19" t="s">
        <v>81</v>
      </c>
      <c r="G25" s="20">
        <f>SUM(ASOC.ESPAÑOLA:UNIVERSAL!G25)</f>
        <v>218514327.96000004</v>
      </c>
    </row>
    <row r="26" spans="1:7" x14ac:dyDescent="0.25">
      <c r="B26" s="6" t="s">
        <v>82</v>
      </c>
      <c r="C26" s="19" t="s">
        <v>83</v>
      </c>
      <c r="D26" s="20">
        <f>SUM(ASOC.ESPAÑOLA:UNIVERSAL!D26)</f>
        <v>20796217.719999999</v>
      </c>
      <c r="E26" s="21" t="s">
        <v>84</v>
      </c>
      <c r="F26" s="19" t="s">
        <v>85</v>
      </c>
      <c r="G26" s="27">
        <f>SUM(ASOC.ESPAÑOLA:UNIVERSAL!G26)</f>
        <v>72023434.678054243</v>
      </c>
    </row>
    <row r="27" spans="1:7" ht="15.75" thickBot="1" x14ac:dyDescent="0.3">
      <c r="B27" s="6" t="s">
        <v>86</v>
      </c>
      <c r="C27" s="19" t="s">
        <v>87</v>
      </c>
      <c r="D27" s="20">
        <f>SUM(ASOC.ESPAÑOLA:UNIVERSAL!D27)</f>
        <v>85651245.840000004</v>
      </c>
      <c r="E27" s="21"/>
      <c r="F27" s="28" t="s">
        <v>88</v>
      </c>
      <c r="G27" s="29">
        <f>SUM(ASOC.ESPAÑOLA:UNIVERSAL!G27)</f>
        <v>1726044657.0180542</v>
      </c>
    </row>
    <row r="28" spans="1:7" x14ac:dyDescent="0.25">
      <c r="B28" s="6" t="s">
        <v>89</v>
      </c>
      <c r="C28" s="19" t="s">
        <v>90</v>
      </c>
      <c r="D28" s="20">
        <f>SUM(ASOC.ESPAÑOLA:UNIVERSAL!D28)</f>
        <v>22983198.06254166</v>
      </c>
      <c r="E28" s="21" t="s">
        <v>91</v>
      </c>
      <c r="F28" s="22" t="s">
        <v>92</v>
      </c>
      <c r="G28" s="23">
        <f>SUM(ASOC.ESPAÑOLA:UNIVERSAL!G28)</f>
        <v>965213948</v>
      </c>
    </row>
    <row r="29" spans="1:7" x14ac:dyDescent="0.25">
      <c r="B29" s="6"/>
      <c r="C29" s="32" t="s">
        <v>93</v>
      </c>
      <c r="D29" s="31">
        <f>SUM(ASOC.ESPAÑOLA:UNIVERSAL!D29)</f>
        <v>3689267023.0080228</v>
      </c>
      <c r="E29" s="21" t="s">
        <v>94</v>
      </c>
      <c r="F29" s="19" t="s">
        <v>95</v>
      </c>
      <c r="G29" s="20">
        <f>SUM(ASOC.ESPAÑOLA:UNIVERSAL!G29)</f>
        <v>701066454</v>
      </c>
    </row>
    <row r="30" spans="1:7" x14ac:dyDescent="0.25">
      <c r="B30" s="6" t="s">
        <v>96</v>
      </c>
      <c r="C30" s="19" t="s">
        <v>97</v>
      </c>
      <c r="D30" s="20">
        <f>SUM(ASOC.ESPAÑOLA:UNIVERSAL!D30)</f>
        <v>2736202018.9499998</v>
      </c>
      <c r="E30" s="21" t="s">
        <v>98</v>
      </c>
      <c r="F30" s="19" t="s">
        <v>99</v>
      </c>
      <c r="G30" s="20">
        <f>SUM(ASOC.ESPAÑOLA:UNIVERSAL!G30)</f>
        <v>132129201</v>
      </c>
    </row>
    <row r="31" spans="1:7" x14ac:dyDescent="0.25">
      <c r="B31" s="6" t="s">
        <v>100</v>
      </c>
      <c r="C31" s="19" t="s">
        <v>101</v>
      </c>
      <c r="D31" s="20">
        <f>SUM(ASOC.ESPAÑOLA:UNIVERSAL!D31)</f>
        <v>327418393.99000001</v>
      </c>
      <c r="E31" s="21" t="s">
        <v>102</v>
      </c>
      <c r="F31" s="19" t="s">
        <v>103</v>
      </c>
      <c r="G31" s="27">
        <f>SUM(ASOC.ESPAÑOLA:UNIVERSAL!G31)</f>
        <v>76247150</v>
      </c>
    </row>
    <row r="32" spans="1:7" ht="15.75" thickBot="1" x14ac:dyDescent="0.3">
      <c r="B32" s="6" t="s">
        <v>104</v>
      </c>
      <c r="C32" s="19" t="s">
        <v>105</v>
      </c>
      <c r="D32" s="20">
        <f>SUM(ASOC.ESPAÑOLA:UNIVERSAL!D32)</f>
        <v>355423479.57999998</v>
      </c>
      <c r="E32" s="21"/>
      <c r="F32" s="28" t="s">
        <v>106</v>
      </c>
      <c r="G32" s="29">
        <f>SUM(ASOC.ESPAÑOLA:UNIVERSAL!G32)</f>
        <v>1874656753</v>
      </c>
    </row>
    <row r="33" spans="2:7" x14ac:dyDescent="0.25">
      <c r="B33" s="6" t="s">
        <v>107</v>
      </c>
      <c r="C33" s="19" t="s">
        <v>108</v>
      </c>
      <c r="D33" s="20">
        <f>SUM(ASOC.ESPAÑOLA:UNIVERSAL!D33)</f>
        <v>115931445</v>
      </c>
      <c r="E33" s="21"/>
      <c r="F33" s="32" t="s">
        <v>109</v>
      </c>
      <c r="G33" s="31">
        <f>SUM(ASOC.ESPAÑOLA:UNIVERSAL!G33)</f>
        <v>3215159595.4077592</v>
      </c>
    </row>
    <row r="34" spans="2:7" x14ac:dyDescent="0.25">
      <c r="B34" s="6" t="s">
        <v>110</v>
      </c>
      <c r="C34" s="19" t="s">
        <v>111</v>
      </c>
      <c r="D34" s="20">
        <f>SUM(ASOC.ESPAÑOLA:UNIVERSAL!D34)</f>
        <v>154291685.48802274</v>
      </c>
      <c r="E34" s="21" t="s">
        <v>112</v>
      </c>
      <c r="F34" s="19" t="s">
        <v>113</v>
      </c>
      <c r="G34" s="20">
        <f>SUM(ASOC.ESPAÑOLA:UNIVERSAL!G34)</f>
        <v>159342323.84974656</v>
      </c>
    </row>
    <row r="35" spans="2:7" ht="15.75" thickBot="1" x14ac:dyDescent="0.3">
      <c r="B35" s="6"/>
      <c r="C35" s="28" t="s">
        <v>114</v>
      </c>
      <c r="D35" s="29">
        <f>SUM(ASOC.ESPAÑOLA:UNIVERSAL!D35)</f>
        <v>4213050554.1305642</v>
      </c>
      <c r="E35" s="21" t="s">
        <v>115</v>
      </c>
      <c r="F35" s="19" t="s">
        <v>116</v>
      </c>
      <c r="G35" s="20">
        <f>SUM(ASOC.ESPAÑOLA:UNIVERSAL!G35)</f>
        <v>191860429.00380665</v>
      </c>
    </row>
    <row r="36" spans="2:7" x14ac:dyDescent="0.25">
      <c r="B36" s="6" t="s">
        <v>117</v>
      </c>
      <c r="C36" s="19" t="s">
        <v>118</v>
      </c>
      <c r="D36" s="20">
        <f>SUM(ASOC.ESPAÑOLA:UNIVERSAL!D36)</f>
        <v>566825386.54999995</v>
      </c>
      <c r="E36" s="21" t="s">
        <v>119</v>
      </c>
      <c r="F36" s="19" t="s">
        <v>120</v>
      </c>
      <c r="G36" s="20">
        <f>SUM(ASOC.ESPAÑOLA:UNIVERSAL!G36)</f>
        <v>87459860.888642043</v>
      </c>
    </row>
    <row r="37" spans="2:7" x14ac:dyDescent="0.25">
      <c r="B37" s="6" t="s">
        <v>121</v>
      </c>
      <c r="C37" s="19" t="s">
        <v>122</v>
      </c>
      <c r="D37" s="20">
        <f>SUM(ASOC.ESPAÑOLA:UNIVERSAL!D37)</f>
        <v>296018423.36000001</v>
      </c>
      <c r="E37" s="21" t="s">
        <v>123</v>
      </c>
      <c r="F37" s="19" t="s">
        <v>124</v>
      </c>
      <c r="G37" s="20">
        <f>SUM(ASOC.ESPAÑOLA:UNIVERSAL!G37)</f>
        <v>180684319.69580624</v>
      </c>
    </row>
    <row r="38" spans="2:7" x14ac:dyDescent="0.25">
      <c r="B38" s="6" t="s">
        <v>125</v>
      </c>
      <c r="C38" s="19" t="s">
        <v>126</v>
      </c>
      <c r="D38" s="20">
        <f>SUM(ASOC.ESPAÑOLA:UNIVERSAL!D38)</f>
        <v>88894320</v>
      </c>
      <c r="E38" s="21" t="s">
        <v>127</v>
      </c>
      <c r="F38" s="19" t="s">
        <v>128</v>
      </c>
      <c r="G38" s="20">
        <f>SUM(ASOC.ESPAÑOLA:UNIVERSAL!G38)</f>
        <v>320139453.15904796</v>
      </c>
    </row>
    <row r="39" spans="2:7" x14ac:dyDescent="0.25">
      <c r="B39" s="6" t="s">
        <v>129</v>
      </c>
      <c r="C39" s="19" t="s">
        <v>130</v>
      </c>
      <c r="D39" s="20">
        <f>SUM(ASOC.ESPAÑOLA:UNIVERSAL!D39)</f>
        <v>65345027</v>
      </c>
      <c r="E39" s="21" t="s">
        <v>131</v>
      </c>
      <c r="F39" s="19" t="s">
        <v>132</v>
      </c>
      <c r="G39" s="20">
        <f>SUM(ASOC.ESPAÑOLA:UNIVERSAL!G39)</f>
        <v>2275673208.81071</v>
      </c>
    </row>
    <row r="40" spans="2:7" x14ac:dyDescent="0.25">
      <c r="B40" s="6" t="s">
        <v>133</v>
      </c>
      <c r="C40" s="19" t="s">
        <v>134</v>
      </c>
      <c r="D40" s="20">
        <f>SUM(ASOC.ESPAÑOLA:UNIVERSAL!D40)</f>
        <v>107844394</v>
      </c>
      <c r="E40" s="21"/>
      <c r="F40" s="33" t="s">
        <v>135</v>
      </c>
      <c r="G40" s="34">
        <f>SUM(ASOC.ESPAÑOLA:UNIVERSAL!G40)</f>
        <v>617350954.54224098</v>
      </c>
    </row>
    <row r="41" spans="2:7" x14ac:dyDescent="0.25">
      <c r="B41" s="6" t="s">
        <v>136</v>
      </c>
      <c r="C41" s="19" t="s">
        <v>137</v>
      </c>
      <c r="D41" s="20">
        <f>SUM(ASOC.ESPAÑOLA:UNIVERSAL!D41)</f>
        <v>1557518607.3499999</v>
      </c>
      <c r="E41" s="21" t="s">
        <v>138</v>
      </c>
      <c r="F41" s="19" t="s">
        <v>139</v>
      </c>
      <c r="G41" s="20">
        <f>SUM(ASOC.ESPAÑOLA:UNIVERSAL!G41)</f>
        <v>52657638.817025259</v>
      </c>
    </row>
    <row r="42" spans="2:7" x14ac:dyDescent="0.25">
      <c r="B42" s="6" t="s">
        <v>140</v>
      </c>
      <c r="C42" s="19" t="s">
        <v>141</v>
      </c>
      <c r="D42" s="20">
        <f>SUM(ASOC.ESPAÑOLA:UNIVERSAL!D42)</f>
        <v>498905337.07999998</v>
      </c>
      <c r="E42" s="21" t="s">
        <v>142</v>
      </c>
      <c r="F42" s="19" t="s">
        <v>143</v>
      </c>
      <c r="G42" s="20">
        <f>SUM(ASOC.ESPAÑOLA:UNIVERSAL!G42)</f>
        <v>8960268.9316548854</v>
      </c>
    </row>
    <row r="43" spans="2:7" x14ac:dyDescent="0.25">
      <c r="B43" s="6" t="s">
        <v>144</v>
      </c>
      <c r="C43" s="19" t="s">
        <v>145</v>
      </c>
      <c r="D43" s="20">
        <f>SUM(ASOC.ESPAÑOLA:UNIVERSAL!D43)</f>
        <v>20127671</v>
      </c>
      <c r="E43" s="21" t="s">
        <v>146</v>
      </c>
      <c r="F43" s="19" t="s">
        <v>147</v>
      </c>
      <c r="G43" s="20">
        <f>SUM(ASOC.ESPAÑOLA:UNIVERSAL!G43)</f>
        <v>71137529.907713056</v>
      </c>
    </row>
    <row r="44" spans="2:7" x14ac:dyDescent="0.25">
      <c r="B44" s="6" t="s">
        <v>148</v>
      </c>
      <c r="C44" s="19" t="s">
        <v>149</v>
      </c>
      <c r="D44" s="20">
        <f>SUM(ASOC.ESPAÑOLA:UNIVERSAL!D44)</f>
        <v>93489</v>
      </c>
      <c r="E44" s="21" t="s">
        <v>150</v>
      </c>
      <c r="F44" s="19" t="s">
        <v>151</v>
      </c>
      <c r="G44" s="20">
        <f>SUM(ASOC.ESPAÑOLA:UNIVERSAL!G44)</f>
        <v>21323033.317690074</v>
      </c>
    </row>
    <row r="45" spans="2:7" x14ac:dyDescent="0.25">
      <c r="B45" s="6" t="s">
        <v>152</v>
      </c>
      <c r="C45" s="19" t="s">
        <v>153</v>
      </c>
      <c r="D45" s="20">
        <f>SUM(ASOC.ESPAÑOLA:UNIVERSAL!D45)</f>
        <v>1012901393</v>
      </c>
      <c r="E45" s="21" t="s">
        <v>154</v>
      </c>
      <c r="F45" s="19" t="s">
        <v>155</v>
      </c>
      <c r="G45" s="20">
        <f>SUM(ASOC.ESPAÑOLA:UNIVERSAL!G45)</f>
        <v>43618039.300742604</v>
      </c>
    </row>
    <row r="46" spans="2:7" x14ac:dyDescent="0.25">
      <c r="B46" s="6" t="s">
        <v>156</v>
      </c>
      <c r="C46" s="19" t="s">
        <v>157</v>
      </c>
      <c r="D46" s="20">
        <f>SUM(ASOC.ESPAÑOLA:UNIVERSAL!D46)</f>
        <v>183765987.79842085</v>
      </c>
      <c r="E46" s="21" t="s">
        <v>158</v>
      </c>
      <c r="F46" s="19" t="s">
        <v>159</v>
      </c>
      <c r="G46" s="20">
        <f>SUM(ASOC.ESPAÑOLA:UNIVERSAL!G46)</f>
        <v>419654444.26741517</v>
      </c>
    </row>
    <row r="47" spans="2:7" ht="15.75" thickBot="1" x14ac:dyDescent="0.3">
      <c r="B47" s="6"/>
      <c r="C47" s="28" t="s">
        <v>160</v>
      </c>
      <c r="D47" s="29">
        <f>SUM(ASOC.ESPAÑOLA:UNIVERSAL!D47)</f>
        <v>4398240036.1384211</v>
      </c>
      <c r="E47" s="21" t="s">
        <v>161</v>
      </c>
      <c r="F47" s="19" t="s">
        <v>162</v>
      </c>
      <c r="G47" s="27">
        <f>SUM(ASOC.ESPAÑOLA:UNIVERSAL!G47)</f>
        <v>181759118.74597347</v>
      </c>
    </row>
    <row r="48" spans="2:7" ht="15.75" thickBot="1" x14ac:dyDescent="0.3">
      <c r="B48" s="6"/>
      <c r="C48" s="35" t="s">
        <v>163</v>
      </c>
      <c r="D48" s="36"/>
      <c r="E48" s="21"/>
      <c r="F48" s="28" t="s">
        <v>164</v>
      </c>
      <c r="G48" s="37">
        <f>SUM(ASOC.ESPAÑOLA:UNIVERSAL!G48)</f>
        <v>4014269668.6959739</v>
      </c>
    </row>
    <row r="49" spans="2:7" x14ac:dyDescent="0.25">
      <c r="B49" s="6" t="s">
        <v>165</v>
      </c>
      <c r="C49" s="38" t="s">
        <v>166</v>
      </c>
      <c r="D49" s="39">
        <f>SUM(ASOC.ESPAÑOLA:UNIVERSAL!D49)</f>
        <v>596345</v>
      </c>
      <c r="E49" s="21" t="s">
        <v>167</v>
      </c>
      <c r="F49" s="22" t="s">
        <v>168</v>
      </c>
      <c r="G49" s="23">
        <f>SUM(ASOC.ESPAÑOLA:UNIVERSAL!G49)</f>
        <v>673370712.75999999</v>
      </c>
    </row>
    <row r="50" spans="2:7" x14ac:dyDescent="0.25">
      <c r="B50" s="6" t="s">
        <v>169</v>
      </c>
      <c r="C50" s="19" t="s">
        <v>163</v>
      </c>
      <c r="D50" s="20">
        <f>SUM(ASOC.ESPAÑOLA:UNIVERSAL!D50)</f>
        <v>439215122.93000001</v>
      </c>
      <c r="E50" s="21" t="s">
        <v>170</v>
      </c>
      <c r="F50" s="19" t="s">
        <v>171</v>
      </c>
      <c r="G50" s="20">
        <f>SUM(ASOC.ESPAÑOLA:UNIVERSAL!G50)</f>
        <v>1251055328.9999998</v>
      </c>
    </row>
    <row r="51" spans="2:7" x14ac:dyDescent="0.25">
      <c r="B51" s="6" t="s">
        <v>172</v>
      </c>
      <c r="C51" s="19" t="s">
        <v>173</v>
      </c>
      <c r="D51" s="27">
        <f>SUM(ASOC.ESPAÑOLA:UNIVERSAL!D51)</f>
        <v>24518126</v>
      </c>
      <c r="E51" s="21" t="s">
        <v>174</v>
      </c>
      <c r="F51" s="19" t="s">
        <v>175</v>
      </c>
      <c r="G51" s="20">
        <f>SUM(ASOC.ESPAÑOLA:UNIVERSAL!G51)</f>
        <v>54162210.909999996</v>
      </c>
    </row>
    <row r="52" spans="2:7" ht="15.75" thickBot="1" x14ac:dyDescent="0.3">
      <c r="B52" s="12"/>
      <c r="C52" s="28" t="s">
        <v>176</v>
      </c>
      <c r="D52" s="29">
        <f>SUM(ASOC.ESPAÑOLA:UNIVERSAL!D52)</f>
        <v>464329593.93000001</v>
      </c>
      <c r="E52" s="21" t="s">
        <v>177</v>
      </c>
      <c r="F52" s="19" t="s">
        <v>178</v>
      </c>
      <c r="G52" s="20">
        <f>SUM(ASOC.ESPAÑOLA:UNIVERSAL!G52)</f>
        <v>20377127</v>
      </c>
    </row>
    <row r="53" spans="2:7" ht="15.75" thickBot="1" x14ac:dyDescent="0.3">
      <c r="B53" s="6"/>
      <c r="C53" s="40" t="s">
        <v>179</v>
      </c>
      <c r="D53" s="41">
        <f>SUM(ASOC.ESPAÑOLA:UNIVERSAL!D53)</f>
        <v>55352096883.135651</v>
      </c>
      <c r="E53" s="21" t="s">
        <v>180</v>
      </c>
      <c r="F53" s="19" t="s">
        <v>181</v>
      </c>
      <c r="G53" s="20">
        <f>SUM(ASOC.ESPAÑOLA:UNIVERSAL!G53)</f>
        <v>222800573.38999999</v>
      </c>
    </row>
    <row r="54" spans="2:7" x14ac:dyDescent="0.25">
      <c r="C54" s="42"/>
      <c r="D54" s="43"/>
      <c r="E54" s="21" t="s">
        <v>182</v>
      </c>
      <c r="F54" s="19" t="s">
        <v>183</v>
      </c>
      <c r="G54" s="20">
        <f>SUM(ASOC.ESPAÑOLA:UNIVERSAL!G54)</f>
        <v>74433337.12000002</v>
      </c>
    </row>
    <row r="55" spans="2:7" x14ac:dyDescent="0.25">
      <c r="C55" s="44" t="s">
        <v>184</v>
      </c>
      <c r="D55" s="45"/>
      <c r="E55" s="21" t="s">
        <v>185</v>
      </c>
      <c r="F55" s="19" t="s">
        <v>186</v>
      </c>
      <c r="G55" s="20">
        <f>SUM(ASOC.ESPAÑOLA:UNIVERSAL!G55)</f>
        <v>82899722.840000004</v>
      </c>
    </row>
    <row r="56" spans="2:7" x14ac:dyDescent="0.25">
      <c r="B56" s="6" t="s">
        <v>187</v>
      </c>
      <c r="C56" s="46" t="s">
        <v>188</v>
      </c>
      <c r="D56" s="20">
        <f>SUM(ASOC.ESPAÑOLA:UNIVERSAL!D56)</f>
        <v>-921346</v>
      </c>
      <c r="E56" s="21" t="s">
        <v>189</v>
      </c>
      <c r="F56" s="19" t="s">
        <v>190</v>
      </c>
      <c r="G56" s="27">
        <f>SUM(ASOC.ESPAÑOLA:UNIVERSAL!G56)</f>
        <v>153821538.6702055</v>
      </c>
    </row>
    <row r="57" spans="2:7" ht="15.75" thickBot="1" x14ac:dyDescent="0.3">
      <c r="B57" s="6" t="s">
        <v>191</v>
      </c>
      <c r="C57" s="46" t="s">
        <v>192</v>
      </c>
      <c r="D57" s="20">
        <f>SUM(ASOC.ESPAÑOLA:UNIVERSAL!D57)</f>
        <v>-28453633</v>
      </c>
      <c r="E57" s="21"/>
      <c r="F57" s="28" t="s">
        <v>193</v>
      </c>
      <c r="G57" s="29">
        <f>SUM(ASOC.ESPAÑOLA:UNIVERSAL!G57)</f>
        <v>2532920551.6902051</v>
      </c>
    </row>
    <row r="58" spans="2:7" x14ac:dyDescent="0.25">
      <c r="B58" s="6" t="s">
        <v>194</v>
      </c>
      <c r="C58" s="46" t="s">
        <v>195</v>
      </c>
      <c r="D58" s="20">
        <f>SUM(ASOC.ESPAÑOLA:UNIVERSAL!D58)</f>
        <v>-43325</v>
      </c>
      <c r="E58" s="21" t="s">
        <v>196</v>
      </c>
      <c r="F58" s="22" t="s">
        <v>197</v>
      </c>
      <c r="G58" s="23">
        <f>SUM(ASOC.ESPAÑOLA:UNIVERSAL!G58)</f>
        <v>2580724395.6199999</v>
      </c>
    </row>
    <row r="59" spans="2:7" x14ac:dyDescent="0.25">
      <c r="B59" s="6" t="s">
        <v>198</v>
      </c>
      <c r="C59" s="19" t="s">
        <v>199</v>
      </c>
      <c r="D59" s="27">
        <f>SUM(ASOC.ESPAÑOLA:UNIVERSAL!D59)</f>
        <v>-1256147</v>
      </c>
      <c r="E59" s="21" t="s">
        <v>200</v>
      </c>
      <c r="F59" s="19" t="s">
        <v>201</v>
      </c>
      <c r="G59" s="20">
        <f>SUM(ASOC.ESPAÑOLA:UNIVERSAL!G59)</f>
        <v>958546617.70000005</v>
      </c>
    </row>
    <row r="60" spans="2:7" ht="15.75" thickBot="1" x14ac:dyDescent="0.3">
      <c r="B60" s="6"/>
      <c r="C60" s="28" t="s">
        <v>202</v>
      </c>
      <c r="D60" s="29">
        <f>SUM(ASOC.ESPAÑOLA:UNIVERSAL!D60)</f>
        <v>-30674451</v>
      </c>
      <c r="E60" s="21" t="s">
        <v>203</v>
      </c>
      <c r="F60" s="19" t="s">
        <v>204</v>
      </c>
      <c r="G60" s="20">
        <f>SUM(ASOC.ESPAÑOLA:UNIVERSAL!G60)</f>
        <v>196095122</v>
      </c>
    </row>
    <row r="61" spans="2:7" ht="16.5" thickBot="1" x14ac:dyDescent="0.3">
      <c r="B61" s="47"/>
      <c r="C61" s="48" t="s">
        <v>205</v>
      </c>
      <c r="D61" s="49">
        <f>SUM(ASOC.ESPAÑOLA:UNIVERSAL!D61)</f>
        <v>55321422432.135651</v>
      </c>
      <c r="E61" s="21" t="s">
        <v>206</v>
      </c>
      <c r="F61" s="19" t="s">
        <v>207</v>
      </c>
      <c r="G61" s="20">
        <f>SUM(ASOC.ESPAÑOLA:UNIVERSAL!G61)</f>
        <v>53995888.890000001</v>
      </c>
    </row>
    <row r="62" spans="2:7" x14ac:dyDescent="0.25">
      <c r="B62" s="50"/>
      <c r="C62" s="51"/>
      <c r="D62" s="51">
        <f>SUM(ASOC.ESPAÑOLA:UNIVERSAL!D62)</f>
        <v>0</v>
      </c>
      <c r="E62" s="21" t="s">
        <v>208</v>
      </c>
      <c r="F62" s="19" t="s">
        <v>209</v>
      </c>
      <c r="G62" s="20">
        <f>SUM(ASOC.ESPAÑOLA:UNIVERSAL!G62)</f>
        <v>41441338</v>
      </c>
    </row>
    <row r="63" spans="2:7" x14ac:dyDescent="0.25">
      <c r="B63" s="52"/>
      <c r="C63" s="53" t="s">
        <v>8</v>
      </c>
      <c r="D63" s="53">
        <f>SUM(ASOC.ESPAÑOLA:UNIVERSAL!D63)</f>
        <v>0</v>
      </c>
      <c r="E63" s="21" t="s">
        <v>210</v>
      </c>
      <c r="F63" s="19" t="s">
        <v>211</v>
      </c>
      <c r="G63" s="20">
        <f>SUM(ASOC.ESPAÑOLA:UNIVERSAL!G63)</f>
        <v>465030287.23000002</v>
      </c>
    </row>
    <row r="64" spans="2:7" x14ac:dyDescent="0.25">
      <c r="B64" s="54" t="s">
        <v>212</v>
      </c>
      <c r="C64" s="55" t="s">
        <v>213</v>
      </c>
      <c r="D64" s="55">
        <f>SUM(ASOC.ESPAÑOLA:UNIVERSAL!D64)</f>
        <v>561843692</v>
      </c>
      <c r="E64" s="21" t="s">
        <v>214</v>
      </c>
      <c r="F64" s="19" t="s">
        <v>215</v>
      </c>
      <c r="G64" s="20">
        <f>SUM(ASOC.ESPAÑOLA:UNIVERSAL!G64)</f>
        <v>223206633.88</v>
      </c>
    </row>
    <row r="65" spans="2:7" x14ac:dyDescent="0.25">
      <c r="B65" s="54" t="s">
        <v>216</v>
      </c>
      <c r="C65" s="55" t="s">
        <v>217</v>
      </c>
      <c r="D65" s="55">
        <f>SUM(ASOC.ESPAÑOLA:UNIVERSAL!D65)</f>
        <v>6279763</v>
      </c>
      <c r="E65" s="21" t="s">
        <v>218</v>
      </c>
      <c r="F65" s="19" t="s">
        <v>219</v>
      </c>
      <c r="G65" s="20">
        <f>SUM(ASOC.ESPAÑOLA:UNIVERSAL!G65)</f>
        <v>128388727.36</v>
      </c>
    </row>
    <row r="66" spans="2:7" x14ac:dyDescent="0.25">
      <c r="B66" s="54" t="s">
        <v>220</v>
      </c>
      <c r="C66" s="55" t="s">
        <v>221</v>
      </c>
      <c r="D66" s="55">
        <f>SUM(ASOC.ESPAÑOLA:UNIVERSAL!D66)</f>
        <v>136975369</v>
      </c>
      <c r="E66" s="21" t="s">
        <v>222</v>
      </c>
      <c r="F66" s="19" t="s">
        <v>223</v>
      </c>
      <c r="G66" s="20">
        <f>SUM(ASOC.ESPAÑOLA:UNIVERSAL!G66)</f>
        <v>300295772.82999998</v>
      </c>
    </row>
    <row r="67" spans="2:7" x14ac:dyDescent="0.25">
      <c r="B67" s="54" t="s">
        <v>224</v>
      </c>
      <c r="C67" s="55" t="s">
        <v>225</v>
      </c>
      <c r="D67" s="55">
        <f>SUM(ASOC.ESPAÑOLA:UNIVERSAL!D67)</f>
        <v>1026744</v>
      </c>
      <c r="E67" s="21" t="s">
        <v>226</v>
      </c>
      <c r="F67" s="19" t="s">
        <v>227</v>
      </c>
      <c r="G67" s="20">
        <f>SUM(ASOC.ESPAÑOLA:UNIVERSAL!G67)</f>
        <v>195827412</v>
      </c>
    </row>
    <row r="68" spans="2:7" x14ac:dyDescent="0.25">
      <c r="B68" s="54" t="s">
        <v>228</v>
      </c>
      <c r="C68" s="55" t="s">
        <v>229</v>
      </c>
      <c r="D68" s="55">
        <f>SUM(ASOC.ESPAÑOLA:UNIVERSAL!D68)</f>
        <v>73592265</v>
      </c>
      <c r="E68" s="21" t="s">
        <v>230</v>
      </c>
      <c r="F68" s="19" t="s">
        <v>231</v>
      </c>
      <c r="G68" s="20">
        <f>SUM(ASOC.ESPAÑOLA:UNIVERSAL!G68)</f>
        <v>24974176</v>
      </c>
    </row>
    <row r="69" spans="2:7" x14ac:dyDescent="0.25">
      <c r="B69" s="54" t="s">
        <v>232</v>
      </c>
      <c r="C69" s="55" t="s">
        <v>233</v>
      </c>
      <c r="D69" s="55">
        <f>SUM(ASOC.ESPAÑOLA:UNIVERSAL!D69)</f>
        <v>18425526</v>
      </c>
      <c r="E69" s="21" t="s">
        <v>234</v>
      </c>
      <c r="F69" s="19" t="s">
        <v>235</v>
      </c>
      <c r="G69" s="20">
        <f>SUM(ASOC.ESPAÑOLA:UNIVERSAL!G69)</f>
        <v>85651925.840000004</v>
      </c>
    </row>
    <row r="70" spans="2:7" x14ac:dyDescent="0.25">
      <c r="B70" s="54" t="s">
        <v>236</v>
      </c>
      <c r="C70" s="55" t="s">
        <v>237</v>
      </c>
      <c r="D70" s="55">
        <f>SUM(ASOC.ESPAÑOLA:UNIVERSAL!D70)</f>
        <v>22997151</v>
      </c>
      <c r="E70" s="21" t="s">
        <v>238</v>
      </c>
      <c r="F70" s="19" t="s">
        <v>239</v>
      </c>
      <c r="G70" s="20">
        <f>SUM(ASOC.ESPAÑOLA:UNIVERSAL!G70)</f>
        <v>107627197.18000001</v>
      </c>
    </row>
    <row r="71" spans="2:7" x14ac:dyDescent="0.25">
      <c r="B71" s="54" t="s">
        <v>240</v>
      </c>
      <c r="C71" s="55" t="s">
        <v>241</v>
      </c>
      <c r="D71" s="55">
        <f>SUM(ASOC.ESPAÑOLA:UNIVERSAL!D71)</f>
        <v>14429680</v>
      </c>
      <c r="E71" s="21" t="s">
        <v>242</v>
      </c>
      <c r="F71" s="19" t="s">
        <v>243</v>
      </c>
      <c r="G71" s="20">
        <f>SUM(ASOC.ESPAÑOLA:UNIVERSAL!G71)</f>
        <v>13865013.17</v>
      </c>
    </row>
    <row r="72" spans="2:7" x14ac:dyDescent="0.25">
      <c r="B72" s="54" t="s">
        <v>244</v>
      </c>
      <c r="C72" s="55" t="s">
        <v>245</v>
      </c>
      <c r="D72" s="55">
        <f>SUM(ASOC.ESPAÑOLA:UNIVERSAL!D72)</f>
        <v>89001212</v>
      </c>
      <c r="E72" s="21" t="s">
        <v>246</v>
      </c>
      <c r="F72" s="19" t="s">
        <v>247</v>
      </c>
      <c r="G72" s="20">
        <f>SUM(ASOC.ESPAÑOLA:UNIVERSAL!G72)</f>
        <v>35794259</v>
      </c>
    </row>
    <row r="73" spans="2:7" x14ac:dyDescent="0.25">
      <c r="B73" s="54" t="s">
        <v>248</v>
      </c>
      <c r="C73" s="55" t="s">
        <v>249</v>
      </c>
      <c r="D73" s="55">
        <f>SUM(ASOC.ESPAÑOLA:UNIVERSAL!D73)</f>
        <v>9723643</v>
      </c>
      <c r="E73" s="21" t="s">
        <v>250</v>
      </c>
      <c r="F73" s="19" t="s">
        <v>251</v>
      </c>
      <c r="G73" s="20">
        <f>SUM(ASOC.ESPAÑOLA:UNIVERSAL!G73)</f>
        <v>69712047</v>
      </c>
    </row>
    <row r="74" spans="2:7" x14ac:dyDescent="0.25">
      <c r="B74" s="54" t="s">
        <v>252</v>
      </c>
      <c r="C74" s="55" t="s">
        <v>253</v>
      </c>
      <c r="D74" s="55">
        <f>SUM(ASOC.ESPAÑOLA:UNIVERSAL!D74)</f>
        <v>44140848</v>
      </c>
      <c r="E74" s="21" t="s">
        <v>254</v>
      </c>
      <c r="F74" s="19" t="s">
        <v>255</v>
      </c>
      <c r="G74" s="20">
        <f>SUM(ASOC.ESPAÑOLA:UNIVERSAL!G74)</f>
        <v>71406196</v>
      </c>
    </row>
    <row r="75" spans="2:7" x14ac:dyDescent="0.25">
      <c r="B75" s="54" t="s">
        <v>256</v>
      </c>
      <c r="C75" s="55" t="s">
        <v>257</v>
      </c>
      <c r="D75" s="55">
        <f>SUM(ASOC.ESPAÑOLA:UNIVERSAL!D75)</f>
        <v>3597171</v>
      </c>
      <c r="E75" s="21" t="s">
        <v>258</v>
      </c>
      <c r="F75" s="19" t="s">
        <v>259</v>
      </c>
      <c r="G75" s="20">
        <f>SUM(ASOC.ESPAÑOLA:UNIVERSAL!G75)</f>
        <v>173226580.03999999</v>
      </c>
    </row>
    <row r="76" spans="2:7" x14ac:dyDescent="0.25">
      <c r="B76" s="54" t="s">
        <v>260</v>
      </c>
      <c r="C76" s="55" t="s">
        <v>261</v>
      </c>
      <c r="D76" s="55">
        <f>SUM(ASOC.ESPAÑOLA:UNIVERSAL!D76)</f>
        <v>0</v>
      </c>
      <c r="E76" s="21" t="s">
        <v>262</v>
      </c>
      <c r="F76" s="19" t="s">
        <v>263</v>
      </c>
      <c r="G76" s="20">
        <f>SUM(ASOC.ESPAÑOLA:UNIVERSAL!G76)</f>
        <v>538619522.41000009</v>
      </c>
    </row>
    <row r="77" spans="2:7" x14ac:dyDescent="0.25">
      <c r="B77" s="54" t="s">
        <v>264</v>
      </c>
      <c r="C77" s="55" t="s">
        <v>265</v>
      </c>
      <c r="D77" s="55">
        <f>SUM(ASOC.ESPAÑOLA:UNIVERSAL!D77)</f>
        <v>982033064</v>
      </c>
      <c r="E77" s="21" t="s">
        <v>266</v>
      </c>
      <c r="F77" s="19" t="s">
        <v>267</v>
      </c>
      <c r="G77" s="20">
        <f>SUM(ASOC.ESPAÑOLA:UNIVERSAL!G77)</f>
        <v>1569059651.8499999</v>
      </c>
    </row>
    <row r="78" spans="2:7" x14ac:dyDescent="0.25">
      <c r="B78" s="54"/>
      <c r="C78" s="55"/>
      <c r="D78" s="55">
        <f>SUM(ASOC.ESPAÑOLA:UNIVERSAL!D78)</f>
        <v>0</v>
      </c>
      <c r="E78" s="21" t="s">
        <v>268</v>
      </c>
      <c r="F78" s="19" t="s">
        <v>269</v>
      </c>
      <c r="G78" s="27">
        <f>SUM(ASOC.ESPAÑOLA:UNIVERSAL!G78)</f>
        <v>341053990.23278946</v>
      </c>
    </row>
    <row r="79" spans="2:7" ht="15.75" thickBot="1" x14ac:dyDescent="0.3">
      <c r="B79" s="54"/>
      <c r="C79" s="53" t="s">
        <v>270</v>
      </c>
      <c r="D79" s="56">
        <f>SUM(ASOC.ESPAÑOLA:UNIVERSAL!D79)</f>
        <v>0</v>
      </c>
      <c r="E79" s="21"/>
      <c r="F79" s="28" t="s">
        <v>271</v>
      </c>
      <c r="G79" s="29">
        <f>SUM(ASOC.ESPAÑOLA:UNIVERSAL!G79)</f>
        <v>8174542754.23279</v>
      </c>
    </row>
    <row r="80" spans="2:7" x14ac:dyDescent="0.25">
      <c r="B80" s="54" t="s">
        <v>272</v>
      </c>
      <c r="C80" s="55" t="s">
        <v>237</v>
      </c>
      <c r="D80" s="55">
        <f>SUM(ASOC.ESPAÑOLA:UNIVERSAL!D80)</f>
        <v>48958976</v>
      </c>
      <c r="E80" s="21" t="s">
        <v>273</v>
      </c>
      <c r="F80" s="22" t="s">
        <v>274</v>
      </c>
      <c r="G80" s="23">
        <f>SUM(ASOC.ESPAÑOLA:UNIVERSAL!G80)</f>
        <v>15207541</v>
      </c>
    </row>
    <row r="81" spans="2:7" x14ac:dyDescent="0.25">
      <c r="B81" s="54" t="s">
        <v>275</v>
      </c>
      <c r="C81" s="55" t="s">
        <v>241</v>
      </c>
      <c r="D81" s="55">
        <f>SUM(ASOC.ESPAÑOLA:UNIVERSAL!D81)</f>
        <v>725551</v>
      </c>
      <c r="E81" s="21" t="s">
        <v>276</v>
      </c>
      <c r="F81" s="19" t="s">
        <v>277</v>
      </c>
      <c r="G81" s="20">
        <f>SUM(ASOC.ESPAÑOLA:UNIVERSAL!G81)</f>
        <v>455829285</v>
      </c>
    </row>
    <row r="82" spans="2:7" x14ac:dyDescent="0.25">
      <c r="B82" s="54" t="s">
        <v>278</v>
      </c>
      <c r="C82" s="55" t="s">
        <v>245</v>
      </c>
      <c r="D82" s="55">
        <f>SUM(ASOC.ESPAÑOLA:UNIVERSAL!D82)</f>
        <v>13049810</v>
      </c>
      <c r="E82" s="21" t="s">
        <v>279</v>
      </c>
      <c r="F82" s="19" t="s">
        <v>280</v>
      </c>
      <c r="G82" s="20">
        <f>SUM(ASOC.ESPAÑOLA:UNIVERSAL!G82)</f>
        <v>89853163.379999995</v>
      </c>
    </row>
    <row r="83" spans="2:7" x14ac:dyDescent="0.25">
      <c r="B83" s="54" t="s">
        <v>281</v>
      </c>
      <c r="C83" s="55" t="s">
        <v>249</v>
      </c>
      <c r="D83" s="55">
        <f>SUM(ASOC.ESPAÑOLA:UNIVERSAL!D83)</f>
        <v>69400</v>
      </c>
      <c r="E83" s="21" t="s">
        <v>282</v>
      </c>
      <c r="F83" s="19" t="s">
        <v>283</v>
      </c>
      <c r="G83" s="20">
        <f>SUM(ASOC.ESPAÑOLA:UNIVERSAL!G83)</f>
        <v>71552939.830000013</v>
      </c>
    </row>
    <row r="84" spans="2:7" x14ac:dyDescent="0.25">
      <c r="B84" s="54" t="s">
        <v>284</v>
      </c>
      <c r="C84" s="55" t="s">
        <v>285</v>
      </c>
      <c r="D84" s="55">
        <f>SUM(ASOC.ESPAÑOLA:UNIVERSAL!D84)</f>
        <v>0</v>
      </c>
      <c r="E84" s="21" t="s">
        <v>286</v>
      </c>
      <c r="F84" s="19" t="s">
        <v>287</v>
      </c>
      <c r="G84" s="20">
        <f>SUM(ASOC.ESPAÑOLA:UNIVERSAL!G84)</f>
        <v>222776703.21999997</v>
      </c>
    </row>
    <row r="85" spans="2:7" x14ac:dyDescent="0.25">
      <c r="B85" s="54" t="s">
        <v>288</v>
      </c>
      <c r="C85" s="55" t="s">
        <v>289</v>
      </c>
      <c r="D85" s="55">
        <f>SUM(ASOC.ESPAÑOLA:UNIVERSAL!D85)</f>
        <v>0</v>
      </c>
      <c r="E85" s="21" t="s">
        <v>290</v>
      </c>
      <c r="F85" s="19" t="s">
        <v>291</v>
      </c>
      <c r="G85" s="20">
        <f>SUM(ASOC.ESPAÑOLA:UNIVERSAL!G85)</f>
        <v>99504875.030000001</v>
      </c>
    </row>
    <row r="86" spans="2:7" x14ac:dyDescent="0.25">
      <c r="B86" s="54" t="s">
        <v>292</v>
      </c>
      <c r="C86" s="55" t="s">
        <v>293</v>
      </c>
      <c r="D86" s="55">
        <f>SUM(ASOC.ESPAÑOLA:UNIVERSAL!D86)</f>
        <v>0</v>
      </c>
      <c r="E86" s="21" t="s">
        <v>294</v>
      </c>
      <c r="F86" s="19" t="s">
        <v>295</v>
      </c>
      <c r="G86" s="20">
        <f>SUM(ASOC.ESPAÑOLA:UNIVERSAL!G86)</f>
        <v>18645141.059999999</v>
      </c>
    </row>
    <row r="87" spans="2:7" x14ac:dyDescent="0.25">
      <c r="B87" s="54" t="s">
        <v>296</v>
      </c>
      <c r="C87" s="55" t="s">
        <v>297</v>
      </c>
      <c r="D87" s="55">
        <f>SUM(ASOC.ESPAÑOLA:UNIVERSAL!D87)</f>
        <v>11903601</v>
      </c>
      <c r="E87" s="21" t="s">
        <v>298</v>
      </c>
      <c r="F87" s="19" t="s">
        <v>299</v>
      </c>
      <c r="G87" s="20">
        <f>SUM(ASOC.ESPAÑOLA:UNIVERSAL!G87)</f>
        <v>172897055.42000002</v>
      </c>
    </row>
    <row r="88" spans="2:7" x14ac:dyDescent="0.25">
      <c r="B88" s="54" t="s">
        <v>300</v>
      </c>
      <c r="C88" s="55" t="s">
        <v>301</v>
      </c>
      <c r="D88" s="55">
        <f>SUM(ASOC.ESPAÑOLA:UNIVERSAL!D88)</f>
        <v>48790510</v>
      </c>
      <c r="E88" s="21" t="s">
        <v>302</v>
      </c>
      <c r="F88" s="19" t="s">
        <v>303</v>
      </c>
      <c r="G88" s="20">
        <f>SUM(ASOC.ESPAÑOLA:UNIVERSAL!G88)</f>
        <v>5495419.0600000005</v>
      </c>
    </row>
    <row r="89" spans="2:7" x14ac:dyDescent="0.25">
      <c r="B89" s="54" t="s">
        <v>304</v>
      </c>
      <c r="C89" s="55" t="s">
        <v>213</v>
      </c>
      <c r="D89" s="55">
        <f>SUM(ASOC.ESPAÑOLA:UNIVERSAL!D89)</f>
        <v>16041981</v>
      </c>
      <c r="E89" s="21" t="s">
        <v>305</v>
      </c>
      <c r="F89" s="19" t="s">
        <v>306</v>
      </c>
      <c r="G89" s="20">
        <f>SUM(ASOC.ESPAÑOLA:UNIVERSAL!G89)</f>
        <v>409083177.26999998</v>
      </c>
    </row>
    <row r="90" spans="2:7" x14ac:dyDescent="0.25">
      <c r="B90" s="54" t="s">
        <v>307</v>
      </c>
      <c r="C90" s="55" t="s">
        <v>229</v>
      </c>
      <c r="D90" s="55">
        <f>SUM(ASOC.ESPAÑOLA:UNIVERSAL!D90)</f>
        <v>2553382</v>
      </c>
      <c r="E90" s="21" t="s">
        <v>308</v>
      </c>
      <c r="F90" s="19" t="s">
        <v>309</v>
      </c>
      <c r="G90" s="20">
        <f>SUM(ASOC.ESPAÑOLA:UNIVERSAL!G90)</f>
        <v>64545208.5</v>
      </c>
    </row>
    <row r="91" spans="2:7" x14ac:dyDescent="0.25">
      <c r="B91" s="54" t="s">
        <v>310</v>
      </c>
      <c r="C91" s="55" t="s">
        <v>311</v>
      </c>
      <c r="D91" s="55">
        <f>SUM(ASOC.ESPAÑOLA:UNIVERSAL!D91)</f>
        <v>142093211</v>
      </c>
      <c r="E91" s="52" t="s">
        <v>312</v>
      </c>
      <c r="F91" s="19" t="s">
        <v>313</v>
      </c>
      <c r="G91" s="20">
        <f>SUM(ASOC.ESPAÑOLA:UNIVERSAL!G91)</f>
        <v>14336682</v>
      </c>
    </row>
    <row r="92" spans="2:7" x14ac:dyDescent="0.25">
      <c r="B92" s="54"/>
      <c r="C92" s="57" t="s">
        <v>314</v>
      </c>
      <c r="D92" s="55">
        <f>SUM(ASOC.ESPAÑOLA:UNIVERSAL!D92)</f>
        <v>1124126275</v>
      </c>
      <c r="E92" s="52" t="s">
        <v>315</v>
      </c>
      <c r="F92" s="19" t="s">
        <v>316</v>
      </c>
      <c r="G92" s="20">
        <f>SUM(ASOC.ESPAÑOLA:UNIVERSAL!G92)</f>
        <v>1051486</v>
      </c>
    </row>
    <row r="93" spans="2:7" x14ac:dyDescent="0.25">
      <c r="E93" s="52" t="s">
        <v>317</v>
      </c>
      <c r="F93" s="19" t="s">
        <v>318</v>
      </c>
      <c r="G93" s="20">
        <f>SUM(ASOC.ESPAÑOLA:UNIVERSAL!G93)</f>
        <v>168564513</v>
      </c>
    </row>
    <row r="94" spans="2:7" x14ac:dyDescent="0.25">
      <c r="E94" s="52" t="s">
        <v>319</v>
      </c>
      <c r="F94" s="19" t="s">
        <v>320</v>
      </c>
      <c r="G94" s="27">
        <f>SUM(ASOC.ESPAÑOLA:UNIVERSAL!G94)</f>
        <v>74263061.26507546</v>
      </c>
    </row>
    <row r="95" spans="2:7" ht="13.5" customHeight="1" thickBot="1" x14ac:dyDescent="0.3">
      <c r="E95" s="21"/>
      <c r="F95" s="28" t="s">
        <v>321</v>
      </c>
      <c r="G95" s="29">
        <f>SUM(ASOC.ESPAÑOLA:UNIVERSAL!G95)</f>
        <v>1883606251.0350754</v>
      </c>
    </row>
    <row r="96" spans="2:7" x14ac:dyDescent="0.25">
      <c r="E96" s="52" t="s">
        <v>322</v>
      </c>
      <c r="F96" s="22" t="s">
        <v>323</v>
      </c>
      <c r="G96" s="23">
        <f>SUM(ASOC.ESPAÑOLA:UNIVERSAL!G96)</f>
        <v>128819784.46000001</v>
      </c>
    </row>
    <row r="97" spans="2:7" x14ac:dyDescent="0.25">
      <c r="E97" s="52" t="s">
        <v>324</v>
      </c>
      <c r="F97" s="19" t="s">
        <v>325</v>
      </c>
      <c r="G97" s="20">
        <f>SUM(ASOC.ESPAÑOLA:UNIVERSAL!G97)</f>
        <v>134692082.56999996</v>
      </c>
    </row>
    <row r="98" spans="2:7" x14ac:dyDescent="0.25">
      <c r="E98" s="52" t="s">
        <v>326</v>
      </c>
      <c r="F98" s="19" t="s">
        <v>327</v>
      </c>
      <c r="G98" s="20">
        <f>SUM(ASOC.ESPAÑOLA:UNIVERSAL!G98)</f>
        <v>4012425.8899999997</v>
      </c>
    </row>
    <row r="99" spans="2:7" x14ac:dyDescent="0.25">
      <c r="E99" s="52" t="s">
        <v>328</v>
      </c>
      <c r="F99" s="19" t="s">
        <v>329</v>
      </c>
      <c r="G99" s="20">
        <f>SUM(ASOC.ESPAÑOLA:UNIVERSAL!G99)</f>
        <v>129296210.44999999</v>
      </c>
    </row>
    <row r="100" spans="2:7" x14ac:dyDescent="0.25">
      <c r="E100" s="52" t="s">
        <v>330</v>
      </c>
      <c r="F100" s="19" t="s">
        <v>331</v>
      </c>
      <c r="G100" s="27">
        <f>SUM(ASOC.ESPAÑOLA:UNIVERSAL!G100)</f>
        <v>17860039.908495449</v>
      </c>
    </row>
    <row r="101" spans="2:7" ht="15.75" thickBot="1" x14ac:dyDescent="0.3">
      <c r="E101" s="21"/>
      <c r="F101" s="28" t="s">
        <v>332</v>
      </c>
      <c r="G101" s="29">
        <f>SUM(ASOC.ESPAÑOLA:UNIVERSAL!G101)</f>
        <v>414680543.27849537</v>
      </c>
    </row>
    <row r="102" spans="2:7" ht="15.75" thickBot="1" x14ac:dyDescent="0.3">
      <c r="E102" s="52"/>
      <c r="F102" s="59" t="s">
        <v>333</v>
      </c>
      <c r="G102" s="60">
        <f>SUM(ASOC.ESPAÑOLA:UNIVERSAL!G102)</f>
        <v>982033064</v>
      </c>
    </row>
    <row r="103" spans="2:7" x14ac:dyDescent="0.25">
      <c r="E103" s="52" t="s">
        <v>334</v>
      </c>
      <c r="F103" s="19" t="s">
        <v>335</v>
      </c>
      <c r="G103" s="23">
        <f>SUM(ASOC.ESPAÑOLA:UNIVERSAL!G103)</f>
        <v>0</v>
      </c>
    </row>
    <row r="104" spans="2:7" x14ac:dyDescent="0.25">
      <c r="E104" s="52" t="s">
        <v>336</v>
      </c>
      <c r="F104" s="61" t="s">
        <v>337</v>
      </c>
      <c r="G104" s="20">
        <f>SUM(ASOC.ESPAÑOLA:UNIVERSAL!G104)</f>
        <v>0</v>
      </c>
    </row>
    <row r="105" spans="2:7" ht="15.75" thickBot="1" x14ac:dyDescent="0.3">
      <c r="E105" s="21"/>
      <c r="F105" s="28" t="s">
        <v>338</v>
      </c>
      <c r="G105" s="29">
        <f>SUM(ASOC.ESPAÑOLA:UNIVERSAL!G105)</f>
        <v>0</v>
      </c>
    </row>
    <row r="106" spans="2:7" ht="13.7" customHeight="1" thickBot="1" x14ac:dyDescent="0.3">
      <c r="B106" s="6"/>
      <c r="C106" s="62"/>
      <c r="D106" s="62"/>
      <c r="E106" s="52"/>
      <c r="F106" s="48" t="s">
        <v>339</v>
      </c>
      <c r="G106" s="49">
        <f>SUM(ASOC.ESPAÑOLA:UNIVERSAL!G106)</f>
        <v>50953589069.271896</v>
      </c>
    </row>
    <row r="107" spans="2:7" ht="13.7" customHeight="1" x14ac:dyDescent="0.25">
      <c r="B107" s="6"/>
      <c r="C107" s="62"/>
      <c r="D107" s="62"/>
      <c r="E107" s="21"/>
      <c r="F107" s="63"/>
      <c r="G107" s="64"/>
    </row>
    <row r="108" spans="2:7" ht="13.7" customHeight="1" thickBot="1" x14ac:dyDescent="0.3">
      <c r="B108" s="6"/>
      <c r="C108" s="62"/>
      <c r="D108" s="62"/>
      <c r="E108" s="21"/>
    </row>
    <row r="109" spans="2:7" ht="13.7" customHeight="1" thickBot="1" x14ac:dyDescent="0.3">
      <c r="B109" s="6"/>
      <c r="C109" s="62"/>
      <c r="D109" s="62"/>
      <c r="E109" s="21"/>
      <c r="F109" s="13" t="s">
        <v>340</v>
      </c>
      <c r="G109" s="65">
        <f>SUM(ASOC.ESPAÑOLA:UNIVERSAL!G109)</f>
        <v>4367833362.8637514</v>
      </c>
    </row>
    <row r="110" spans="2:7" ht="13.7" customHeight="1" thickBot="1" x14ac:dyDescent="0.3">
      <c r="B110" s="6"/>
      <c r="C110" s="62"/>
      <c r="D110" s="62"/>
      <c r="E110" s="21"/>
    </row>
    <row r="111" spans="2:7" ht="13.7" customHeight="1" thickBot="1" x14ac:dyDescent="0.3">
      <c r="C111" s="48" t="s">
        <v>270</v>
      </c>
      <c r="D111" s="17">
        <v>2020</v>
      </c>
      <c r="E111" s="52"/>
      <c r="F111" s="48" t="s">
        <v>341</v>
      </c>
      <c r="G111" s="17">
        <v>2020</v>
      </c>
    </row>
    <row r="112" spans="2:7" ht="13.7" customHeight="1" x14ac:dyDescent="0.25">
      <c r="B112" s="6" t="s">
        <v>342</v>
      </c>
      <c r="C112" s="66" t="s">
        <v>343</v>
      </c>
      <c r="D112" s="67">
        <f>SUM(ASOC.ESPAÑOLA:UNIVERSAL!D112)</f>
        <v>248888254.16835287</v>
      </c>
      <c r="E112" s="21" t="s">
        <v>344</v>
      </c>
      <c r="F112" s="66" t="s">
        <v>309</v>
      </c>
      <c r="G112" s="67">
        <f>SUM(ASOC.ESPAÑOLA:UNIVERSAL!G112)</f>
        <v>8182567.6500000004</v>
      </c>
    </row>
    <row r="113" spans="2:7" ht="13.7" customHeight="1" x14ac:dyDescent="0.25">
      <c r="B113" s="6" t="s">
        <v>345</v>
      </c>
      <c r="C113" s="68" t="s">
        <v>346</v>
      </c>
      <c r="D113" s="69">
        <f>SUM(ASOC.ESPAÑOLA:UNIVERSAL!D113)</f>
        <v>1898344263.4680138</v>
      </c>
      <c r="E113" s="21" t="s">
        <v>347</v>
      </c>
      <c r="F113" s="68" t="s">
        <v>348</v>
      </c>
      <c r="G113" s="69">
        <f>SUM(ASOC.ESPAÑOLA:UNIVERSAL!G113)</f>
        <v>12403140</v>
      </c>
    </row>
    <row r="114" spans="2:7" ht="13.7" customHeight="1" x14ac:dyDescent="0.25">
      <c r="B114" s="6" t="s">
        <v>349</v>
      </c>
      <c r="C114" s="68" t="s">
        <v>48</v>
      </c>
      <c r="D114" s="69">
        <f>SUM(ASOC.ESPAÑOLA:UNIVERSAL!D114)</f>
        <v>59321773.573633544</v>
      </c>
      <c r="E114" s="21" t="s">
        <v>350</v>
      </c>
      <c r="F114" s="68" t="s">
        <v>351</v>
      </c>
      <c r="G114" s="69">
        <f>SUM(ASOC.ESPAÑOLA:UNIVERSAL!G114)</f>
        <v>387066692.63999999</v>
      </c>
    </row>
    <row r="115" spans="2:7" ht="13.7" customHeight="1" x14ac:dyDescent="0.25">
      <c r="B115" s="6" t="s">
        <v>352</v>
      </c>
      <c r="C115" s="68" t="s">
        <v>353</v>
      </c>
      <c r="D115" s="69">
        <f>SUM(ASOC.ESPAÑOLA:UNIVERSAL!D115)</f>
        <v>11990068.020423837</v>
      </c>
      <c r="E115" s="21" t="s">
        <v>354</v>
      </c>
      <c r="F115" s="68" t="s">
        <v>355</v>
      </c>
      <c r="G115" s="69">
        <f>SUM(ASOC.ESPAÑOLA:UNIVERSAL!G115)</f>
        <v>40538418.640000001</v>
      </c>
    </row>
    <row r="116" spans="2:7" ht="13.7" customHeight="1" x14ac:dyDescent="0.25">
      <c r="B116" s="6" t="s">
        <v>356</v>
      </c>
      <c r="C116" s="68" t="s">
        <v>357</v>
      </c>
      <c r="D116" s="69">
        <f>SUM(ASOC.ESPAÑOLA:UNIVERSAL!D116)</f>
        <v>98381165.20750311</v>
      </c>
      <c r="E116" s="21" t="s">
        <v>358</v>
      </c>
      <c r="F116" s="68" t="s">
        <v>359</v>
      </c>
      <c r="G116" s="69">
        <f>SUM(ASOC.ESPAÑOLA:UNIVERSAL!G116)</f>
        <v>79879370</v>
      </c>
    </row>
    <row r="117" spans="2:7" ht="13.7" customHeight="1" x14ac:dyDescent="0.25">
      <c r="B117" s="6" t="s">
        <v>360</v>
      </c>
      <c r="C117" s="68" t="s">
        <v>361</v>
      </c>
      <c r="D117" s="69">
        <f>SUM(ASOC.ESPAÑOLA:UNIVERSAL!D117)</f>
        <v>2931601.1120730499</v>
      </c>
      <c r="E117" s="21" t="s">
        <v>362</v>
      </c>
      <c r="F117" s="68" t="s">
        <v>363</v>
      </c>
      <c r="G117" s="69">
        <f>SUM(ASOC.ESPAÑOLA:UNIVERSAL!G117)</f>
        <v>6236653</v>
      </c>
    </row>
    <row r="118" spans="2:7" ht="13.7" customHeight="1" x14ac:dyDescent="0.25">
      <c r="B118" s="6" t="s">
        <v>364</v>
      </c>
      <c r="C118" s="68" t="s">
        <v>365</v>
      </c>
      <c r="D118" s="69">
        <f>SUM(ASOC.ESPAÑOLA:UNIVERSAL!D118)</f>
        <v>862460.47000000009</v>
      </c>
      <c r="E118" s="21" t="s">
        <v>366</v>
      </c>
      <c r="F118" s="68" t="s">
        <v>367</v>
      </c>
      <c r="G118" s="69">
        <f>SUM(ASOC.ESPAÑOLA:UNIVERSAL!G118)</f>
        <v>3371219</v>
      </c>
    </row>
    <row r="119" spans="2:7" ht="13.7" customHeight="1" x14ac:dyDescent="0.25">
      <c r="B119" s="6" t="s">
        <v>368</v>
      </c>
      <c r="C119" s="68" t="s">
        <v>369</v>
      </c>
      <c r="D119" s="69">
        <f>SUM(ASOC.ESPAÑOLA:UNIVERSAL!D119)</f>
        <v>17666965.390000001</v>
      </c>
      <c r="E119" s="21" t="s">
        <v>370</v>
      </c>
      <c r="F119" s="68" t="s">
        <v>371</v>
      </c>
      <c r="G119" s="69">
        <f>SUM(ASOC.ESPAÑOLA:UNIVERSAL!G119)</f>
        <v>13520</v>
      </c>
    </row>
    <row r="120" spans="2:7" ht="13.7" customHeight="1" x14ac:dyDescent="0.25">
      <c r="B120" s="6" t="s">
        <v>372</v>
      </c>
      <c r="C120" s="68" t="s">
        <v>373</v>
      </c>
      <c r="D120" s="69">
        <f>SUM(ASOC.ESPAÑOLA:UNIVERSAL!D120)</f>
        <v>325852</v>
      </c>
      <c r="E120" s="21" t="s">
        <v>374</v>
      </c>
      <c r="F120" s="68" t="s">
        <v>375</v>
      </c>
      <c r="G120" s="69">
        <f>SUM(ASOC.ESPAÑOLA:UNIVERSAL!G120)</f>
        <v>0</v>
      </c>
    </row>
    <row r="121" spans="2:7" ht="13.7" customHeight="1" x14ac:dyDescent="0.25">
      <c r="B121" s="6" t="s">
        <v>376</v>
      </c>
      <c r="C121" s="19" t="s">
        <v>377</v>
      </c>
      <c r="D121" s="69">
        <f>SUM(ASOC.ESPAÑOLA:UNIVERSAL!D121)</f>
        <v>122564845</v>
      </c>
      <c r="E121" s="21" t="s">
        <v>378</v>
      </c>
      <c r="F121" s="68" t="s">
        <v>379</v>
      </c>
      <c r="G121" s="69">
        <f>SUM(ASOC.ESPAÑOLA:UNIVERSAL!G121)</f>
        <v>167922495.88</v>
      </c>
    </row>
    <row r="122" spans="2:7" ht="13.7" customHeight="1" thickBot="1" x14ac:dyDescent="0.3">
      <c r="B122" s="6"/>
      <c r="C122" s="28" t="s">
        <v>380</v>
      </c>
      <c r="D122" s="37">
        <f>SUM(ASOC.ESPAÑOLA:UNIVERSAL!D122)</f>
        <v>2461277248.4099998</v>
      </c>
      <c r="E122" s="21" t="s">
        <v>381</v>
      </c>
      <c r="F122" s="19" t="s">
        <v>382</v>
      </c>
      <c r="G122" s="20">
        <f>SUM(ASOC.ESPAÑOLA:UNIVERSAL!G122)</f>
        <v>22068234.174998183</v>
      </c>
    </row>
    <row r="123" spans="2:7" ht="13.7" customHeight="1" thickBot="1" x14ac:dyDescent="0.3">
      <c r="B123" s="6" t="s">
        <v>383</v>
      </c>
      <c r="C123" s="70" t="s">
        <v>309</v>
      </c>
      <c r="D123" s="67">
        <f>SUM(ASOC.ESPAÑOLA:UNIVERSAL!D123)</f>
        <v>95785757</v>
      </c>
      <c r="E123" s="52"/>
      <c r="F123" s="28" t="s">
        <v>384</v>
      </c>
      <c r="G123" s="37">
        <f>SUM(ASOC.ESPAÑOLA:UNIVERSAL!G123)</f>
        <v>727682310.98499823</v>
      </c>
    </row>
    <row r="124" spans="2:7" ht="13.7" customHeight="1" x14ac:dyDescent="0.25">
      <c r="B124" s="6" t="s">
        <v>385</v>
      </c>
      <c r="C124" s="68" t="s">
        <v>313</v>
      </c>
      <c r="D124" s="69">
        <f>SUM(ASOC.ESPAÑOLA:UNIVERSAL!D124)</f>
        <v>446754027</v>
      </c>
      <c r="E124" s="21" t="s">
        <v>386</v>
      </c>
      <c r="F124" s="68" t="s">
        <v>387</v>
      </c>
      <c r="G124" s="69">
        <f>SUM(ASOC.ESPAÑOLA:UNIVERSAL!G124)</f>
        <v>105557630.87</v>
      </c>
    </row>
    <row r="125" spans="2:7" ht="13.7" customHeight="1" x14ac:dyDescent="0.25">
      <c r="B125" s="6" t="s">
        <v>388</v>
      </c>
      <c r="C125" s="19" t="s">
        <v>389</v>
      </c>
      <c r="D125" s="69">
        <f>SUM(ASOC.ESPAÑOLA:UNIVERSAL!D125)</f>
        <v>22789837</v>
      </c>
      <c r="E125" s="21" t="s">
        <v>390</v>
      </c>
      <c r="F125" s="68" t="s">
        <v>391</v>
      </c>
      <c r="G125" s="69">
        <f>SUM(ASOC.ESPAÑOLA:UNIVERSAL!G125)</f>
        <v>3023430</v>
      </c>
    </row>
    <row r="126" spans="2:7" ht="13.7" customHeight="1" thickBot="1" x14ac:dyDescent="0.3">
      <c r="B126" s="6"/>
      <c r="C126" s="28" t="s">
        <v>392</v>
      </c>
      <c r="D126" s="37">
        <f>SUM(ASOC.ESPAÑOLA:UNIVERSAL!D126)</f>
        <v>565329621</v>
      </c>
      <c r="E126" s="21" t="s">
        <v>393</v>
      </c>
      <c r="F126" s="68" t="s">
        <v>394</v>
      </c>
      <c r="G126" s="69">
        <f>SUM(ASOC.ESPAÑOLA:UNIVERSAL!G126)</f>
        <v>156677176.31999999</v>
      </c>
    </row>
    <row r="127" spans="2:7" ht="13.7" customHeight="1" x14ac:dyDescent="0.25">
      <c r="B127" s="6" t="s">
        <v>395</v>
      </c>
      <c r="C127" s="66" t="s">
        <v>274</v>
      </c>
      <c r="D127" s="67">
        <f>SUM(ASOC.ESPAÑOLA:UNIVERSAL!D127)</f>
        <v>95903700</v>
      </c>
      <c r="E127" s="21" t="s">
        <v>396</v>
      </c>
      <c r="F127" s="68" t="s">
        <v>397</v>
      </c>
      <c r="G127" s="69">
        <f>SUM(ASOC.ESPAÑOLA:UNIVERSAL!G127)</f>
        <v>4942035</v>
      </c>
    </row>
    <row r="128" spans="2:7" ht="13.7" customHeight="1" x14ac:dyDescent="0.25">
      <c r="B128" s="6" t="s">
        <v>398</v>
      </c>
      <c r="C128" s="68" t="s">
        <v>399</v>
      </c>
      <c r="D128" s="69">
        <f>SUM(ASOC.ESPAÑOLA:UNIVERSAL!D128)</f>
        <v>51368527.659999996</v>
      </c>
      <c r="E128" s="21" t="s">
        <v>400</v>
      </c>
      <c r="F128" s="68" t="s">
        <v>401</v>
      </c>
      <c r="G128" s="69">
        <f>SUM(ASOC.ESPAÑOLA:UNIVERSAL!G128)</f>
        <v>5834201</v>
      </c>
    </row>
    <row r="129" spans="2:7" ht="13.7" customHeight="1" x14ac:dyDescent="0.25">
      <c r="B129" s="6" t="s">
        <v>402</v>
      </c>
      <c r="C129" s="68" t="s">
        <v>277</v>
      </c>
      <c r="D129" s="69">
        <f>SUM(ASOC.ESPAÑOLA:UNIVERSAL!D129)</f>
        <v>13188559.529999999</v>
      </c>
      <c r="E129" s="21" t="s">
        <v>403</v>
      </c>
      <c r="F129" s="68" t="s">
        <v>404</v>
      </c>
      <c r="G129" s="69">
        <f>SUM(ASOC.ESPAÑOLA:UNIVERSAL!G129)</f>
        <v>68758824</v>
      </c>
    </row>
    <row r="130" spans="2:7" ht="13.7" customHeight="1" x14ac:dyDescent="0.25">
      <c r="B130" s="6" t="s">
        <v>405</v>
      </c>
      <c r="C130" s="68" t="s">
        <v>283</v>
      </c>
      <c r="D130" s="69">
        <f>SUM(ASOC.ESPAÑOLA:UNIVERSAL!D130)</f>
        <v>5777051.71</v>
      </c>
      <c r="E130" s="21" t="s">
        <v>406</v>
      </c>
      <c r="F130" s="68" t="s">
        <v>407</v>
      </c>
      <c r="G130" s="69">
        <f>SUM(ASOC.ESPAÑOLA:UNIVERSAL!G130)</f>
        <v>0</v>
      </c>
    </row>
    <row r="131" spans="2:7" ht="13.7" customHeight="1" x14ac:dyDescent="0.25">
      <c r="B131" s="6" t="s">
        <v>408</v>
      </c>
      <c r="C131" s="68" t="s">
        <v>287</v>
      </c>
      <c r="D131" s="69">
        <f>SUM(ASOC.ESPAÑOLA:UNIVERSAL!D131)</f>
        <v>11477968.41</v>
      </c>
      <c r="E131" s="21" t="s">
        <v>409</v>
      </c>
      <c r="F131" s="68" t="s">
        <v>410</v>
      </c>
      <c r="G131" s="69">
        <f>SUM(ASOC.ESPAÑOLA:UNIVERSAL!G131)</f>
        <v>569181</v>
      </c>
    </row>
    <row r="132" spans="2:7" ht="13.7" customHeight="1" x14ac:dyDescent="0.25">
      <c r="B132" s="6" t="s">
        <v>411</v>
      </c>
      <c r="C132" s="68" t="s">
        <v>291</v>
      </c>
      <c r="D132" s="69">
        <f>SUM(ASOC.ESPAÑOLA:UNIVERSAL!D132)</f>
        <v>12497740.32</v>
      </c>
      <c r="E132" s="21" t="s">
        <v>412</v>
      </c>
      <c r="F132" s="68" t="s">
        <v>413</v>
      </c>
      <c r="G132" s="69">
        <f>SUM(ASOC.ESPAÑOLA:UNIVERSAL!G132)</f>
        <v>13886385</v>
      </c>
    </row>
    <row r="133" spans="2:7" ht="13.7" customHeight="1" x14ac:dyDescent="0.25">
      <c r="B133" s="6" t="s">
        <v>414</v>
      </c>
      <c r="C133" s="68" t="s">
        <v>295</v>
      </c>
      <c r="D133" s="69">
        <f>SUM(ASOC.ESPAÑOLA:UNIVERSAL!D133)</f>
        <v>1424630.77</v>
      </c>
      <c r="E133" s="21" t="s">
        <v>415</v>
      </c>
      <c r="F133" s="68" t="s">
        <v>416</v>
      </c>
      <c r="G133" s="69">
        <f>SUM(ASOC.ESPAÑOLA:UNIVERSAL!G133)</f>
        <v>50538086.109999999</v>
      </c>
    </row>
    <row r="134" spans="2:7" ht="13.7" customHeight="1" x14ac:dyDescent="0.25">
      <c r="B134" s="6" t="s">
        <v>417</v>
      </c>
      <c r="C134" s="68" t="s">
        <v>418</v>
      </c>
      <c r="D134" s="69">
        <f>SUM(ASOC.ESPAÑOLA:UNIVERSAL!D134)</f>
        <v>240650316.31</v>
      </c>
      <c r="E134" s="21" t="s">
        <v>419</v>
      </c>
      <c r="F134" s="68" t="s">
        <v>420</v>
      </c>
      <c r="G134" s="69">
        <f>SUM(ASOC.ESPAÑOLA:UNIVERSAL!G134)</f>
        <v>46337030</v>
      </c>
    </row>
    <row r="135" spans="2:7" ht="13.7" customHeight="1" x14ac:dyDescent="0.25">
      <c r="B135" s="6" t="s">
        <v>421</v>
      </c>
      <c r="C135" s="68" t="s">
        <v>422</v>
      </c>
      <c r="D135" s="69">
        <f>SUM(ASOC.ESPAÑOLA:UNIVERSAL!D135)</f>
        <v>250056779.22999999</v>
      </c>
      <c r="E135" s="21" t="s">
        <v>423</v>
      </c>
      <c r="F135" s="68" t="s">
        <v>424</v>
      </c>
      <c r="G135" s="69">
        <f>SUM(ASOC.ESPAÑOLA:UNIVERSAL!G135)</f>
        <v>701640</v>
      </c>
    </row>
    <row r="136" spans="2:7" ht="13.7" customHeight="1" x14ac:dyDescent="0.25">
      <c r="B136" s="6" t="s">
        <v>425</v>
      </c>
      <c r="C136" s="68" t="s">
        <v>318</v>
      </c>
      <c r="D136" s="69">
        <f>SUM(ASOC.ESPAÑOLA:UNIVERSAL!D136)</f>
        <v>81410956.599999994</v>
      </c>
      <c r="E136" s="21" t="s">
        <v>426</v>
      </c>
      <c r="F136" s="68" t="s">
        <v>427</v>
      </c>
      <c r="G136" s="69">
        <f>SUM(ASOC.ESPAÑOLA:UNIVERSAL!G136)</f>
        <v>6477516</v>
      </c>
    </row>
    <row r="137" spans="2:7" ht="13.7" customHeight="1" x14ac:dyDescent="0.25">
      <c r="B137" s="6" t="s">
        <v>428</v>
      </c>
      <c r="C137" s="19" t="s">
        <v>320</v>
      </c>
      <c r="D137" s="71">
        <f>SUM(ASOC.ESPAÑOLA:UNIVERSAL!D137)</f>
        <v>37769102.663683183</v>
      </c>
      <c r="E137" s="21" t="s">
        <v>429</v>
      </c>
      <c r="F137" s="68" t="s">
        <v>430</v>
      </c>
      <c r="G137" s="69">
        <f>SUM(ASOC.ESPAÑOLA:UNIVERSAL!G137)</f>
        <v>278928074.56</v>
      </c>
    </row>
    <row r="138" spans="2:7" ht="13.7" customHeight="1" thickBot="1" x14ac:dyDescent="0.3">
      <c r="B138" s="6"/>
      <c r="C138" s="28" t="s">
        <v>321</v>
      </c>
      <c r="D138" s="37">
        <f>SUM(ASOC.ESPAÑOLA:UNIVERSAL!D138)</f>
        <v>801525333.20368314</v>
      </c>
      <c r="E138" s="21" t="s">
        <v>431</v>
      </c>
      <c r="F138" s="19" t="s">
        <v>432</v>
      </c>
      <c r="G138" s="20">
        <f>SUM(ASOC.ESPAÑOLA:UNIVERSAL!G138)</f>
        <v>30437024.7331824</v>
      </c>
    </row>
    <row r="139" spans="2:7" ht="13.7" customHeight="1" thickBot="1" x14ac:dyDescent="0.3">
      <c r="B139" s="6" t="s">
        <v>433</v>
      </c>
      <c r="C139" s="66" t="s">
        <v>327</v>
      </c>
      <c r="D139" s="67">
        <f>SUM(ASOC.ESPAÑOLA:UNIVERSAL!D139)</f>
        <v>5871</v>
      </c>
      <c r="E139" s="7"/>
      <c r="F139" s="28" t="s">
        <v>434</v>
      </c>
      <c r="G139" s="37">
        <f>SUM(ASOC.ESPAÑOLA:UNIVERSAL!G139)</f>
        <v>772668234.59318244</v>
      </c>
    </row>
    <row r="140" spans="2:7" ht="13.7" customHeight="1" thickBot="1" x14ac:dyDescent="0.3">
      <c r="B140" s="6" t="s">
        <v>435</v>
      </c>
      <c r="C140" s="68" t="s">
        <v>329</v>
      </c>
      <c r="D140" s="69">
        <f>SUM(ASOC.ESPAÑOLA:UNIVERSAL!D140)</f>
        <v>24981033</v>
      </c>
      <c r="E140" s="7"/>
      <c r="F140" s="48" t="s">
        <v>436</v>
      </c>
      <c r="G140" s="72">
        <f>SUM(ASOC.ESPAÑOLA:UNIVERSAL!G140)</f>
        <v>-44985923.608184218</v>
      </c>
    </row>
    <row r="141" spans="2:7" ht="13.7" customHeight="1" x14ac:dyDescent="0.25">
      <c r="B141" s="6" t="s">
        <v>437</v>
      </c>
      <c r="C141" s="19" t="s">
        <v>331</v>
      </c>
      <c r="D141" s="71">
        <f>SUM(ASOC.ESPAÑOLA:UNIVERSAL!D141)</f>
        <v>973201.3</v>
      </c>
      <c r="E141" s="73"/>
    </row>
    <row r="142" spans="2:7" ht="13.7" customHeight="1" thickBot="1" x14ac:dyDescent="0.3">
      <c r="B142" s="6"/>
      <c r="C142" s="28" t="s">
        <v>332</v>
      </c>
      <c r="D142" s="37">
        <f>SUM(ASOC.ESPAÑOLA:UNIVERSAL!D142)</f>
        <v>25960105.300000001</v>
      </c>
      <c r="E142" s="73"/>
    </row>
    <row r="143" spans="2:7" ht="13.7" customHeight="1" thickBot="1" x14ac:dyDescent="0.3">
      <c r="B143" s="6"/>
      <c r="C143" s="59" t="s">
        <v>438</v>
      </c>
      <c r="D143" s="74">
        <f>SUM(ASOC.ESPAÑOLA:UNIVERSAL!D143)</f>
        <v>142093211</v>
      </c>
      <c r="E143" s="21"/>
      <c r="F143" s="48" t="s">
        <v>439</v>
      </c>
      <c r="G143" s="17"/>
    </row>
    <row r="144" spans="2:7" ht="13.7" customHeight="1" x14ac:dyDescent="0.25">
      <c r="B144" s="6" t="s">
        <v>440</v>
      </c>
      <c r="C144" s="66" t="s">
        <v>441</v>
      </c>
      <c r="D144" s="67">
        <f>SUM(ASOC.ESPAÑOLA:UNIVERSAL!D144)</f>
        <v>49831888</v>
      </c>
      <c r="E144" s="21" t="s">
        <v>442</v>
      </c>
      <c r="F144" s="66" t="s">
        <v>443</v>
      </c>
      <c r="G144" s="67">
        <f>SUM(ASOC.ESPAÑOLA:UNIVERSAL!G144)</f>
        <v>83751756.109999999</v>
      </c>
    </row>
    <row r="145" spans="2:7" ht="13.7" customHeight="1" x14ac:dyDescent="0.25">
      <c r="B145" s="6" t="s">
        <v>444</v>
      </c>
      <c r="C145" s="68" t="s">
        <v>445</v>
      </c>
      <c r="D145" s="69">
        <f>SUM(ASOC.ESPAÑOLA:UNIVERSAL!D145)</f>
        <v>4823294</v>
      </c>
      <c r="E145" s="21" t="s">
        <v>446</v>
      </c>
      <c r="F145" s="68" t="s">
        <v>447</v>
      </c>
      <c r="G145" s="69">
        <f>SUM(ASOC.ESPAÑOLA:UNIVERSAL!G145)</f>
        <v>122861381</v>
      </c>
    </row>
    <row r="146" spans="2:7" ht="13.7" customHeight="1" x14ac:dyDescent="0.25">
      <c r="B146" s="6" t="s">
        <v>448</v>
      </c>
      <c r="C146" s="75" t="s">
        <v>449</v>
      </c>
      <c r="D146" s="69">
        <f>SUM(ASOC.ESPAÑOLA:UNIVERSAL!D146)</f>
        <v>2718642</v>
      </c>
      <c r="E146" s="21" t="s">
        <v>450</v>
      </c>
      <c r="F146" s="68" t="s">
        <v>451</v>
      </c>
      <c r="G146" s="69">
        <f>SUM(ASOC.ESPAÑOLA:UNIVERSAL!G146)</f>
        <v>62340314</v>
      </c>
    </row>
    <row r="147" spans="2:7" ht="13.7" customHeight="1" x14ac:dyDescent="0.25">
      <c r="B147" s="6" t="s">
        <v>452</v>
      </c>
      <c r="C147" s="19" t="s">
        <v>453</v>
      </c>
      <c r="D147" s="71">
        <f>SUM(ASOC.ESPAÑOLA:UNIVERSAL!D147)</f>
        <v>2435606.4</v>
      </c>
      <c r="E147" s="21" t="s">
        <v>454</v>
      </c>
      <c r="F147" s="68" t="s">
        <v>455</v>
      </c>
      <c r="G147" s="69">
        <f>SUM(ASOC.ESPAÑOLA:UNIVERSAL!G147)</f>
        <v>0</v>
      </c>
    </row>
    <row r="148" spans="2:7" ht="13.7" customHeight="1" thickBot="1" x14ac:dyDescent="0.3">
      <c r="B148" s="6"/>
      <c r="C148" s="28" t="s">
        <v>456</v>
      </c>
      <c r="D148" s="37">
        <f>SUM(ASOC.ESPAÑOLA:UNIVERSAL!D148)</f>
        <v>59809430.399999999</v>
      </c>
      <c r="E148" s="21" t="s">
        <v>457</v>
      </c>
      <c r="F148" s="68" t="s">
        <v>458</v>
      </c>
      <c r="G148" s="69">
        <f>SUM(ASOC.ESPAÑOLA:UNIVERSAL!G148)</f>
        <v>0</v>
      </c>
    </row>
    <row r="149" spans="2:7" ht="13.7" customHeight="1" x14ac:dyDescent="0.25">
      <c r="B149" s="6" t="s">
        <v>459</v>
      </c>
      <c r="C149" s="66" t="s">
        <v>460</v>
      </c>
      <c r="D149" s="67">
        <f>SUM(ASOC.ESPAÑOLA:UNIVERSAL!D149)</f>
        <v>28503905.350000001</v>
      </c>
      <c r="E149" s="21" t="s">
        <v>461</v>
      </c>
      <c r="F149" s="68" t="s">
        <v>462</v>
      </c>
      <c r="G149" s="69">
        <f>SUM(ASOC.ESPAÑOLA:UNIVERSAL!G149)</f>
        <v>0</v>
      </c>
    </row>
    <row r="150" spans="2:7" ht="13.7" customHeight="1" x14ac:dyDescent="0.25">
      <c r="B150" s="6" t="s">
        <v>463</v>
      </c>
      <c r="C150" s="68" t="s">
        <v>464</v>
      </c>
      <c r="D150" s="69">
        <f>SUM(ASOC.ESPAÑOLA:UNIVERSAL!D150)</f>
        <v>142421318</v>
      </c>
      <c r="E150" s="21" t="s">
        <v>465</v>
      </c>
      <c r="F150" s="68" t="s">
        <v>466</v>
      </c>
      <c r="G150" s="69">
        <f>SUM(ASOC.ESPAÑOLA:UNIVERSAL!G150)</f>
        <v>0</v>
      </c>
    </row>
    <row r="151" spans="2:7" ht="13.7" customHeight="1" x14ac:dyDescent="0.25">
      <c r="B151" s="6" t="s">
        <v>467</v>
      </c>
      <c r="C151" s="19" t="s">
        <v>468</v>
      </c>
      <c r="D151" s="71">
        <f>SUM(ASOC.ESPAÑOLA:UNIVERSAL!D151)</f>
        <v>4912768</v>
      </c>
      <c r="E151" s="21" t="s">
        <v>469</v>
      </c>
      <c r="F151" s="68" t="s">
        <v>470</v>
      </c>
      <c r="G151" s="69">
        <f>SUM(ASOC.ESPAÑOLA:UNIVERSAL!G151)</f>
        <v>1314121330.3699999</v>
      </c>
    </row>
    <row r="152" spans="2:7" ht="13.7" customHeight="1" thickBot="1" x14ac:dyDescent="0.3">
      <c r="B152" s="6"/>
      <c r="C152" s="28" t="s">
        <v>471</v>
      </c>
      <c r="D152" s="37">
        <f>SUM(ASOC.ESPAÑOLA:UNIVERSAL!D152)</f>
        <v>175837991.34999999</v>
      </c>
      <c r="E152" s="21" t="s">
        <v>472</v>
      </c>
      <c r="F152" s="68" t="s">
        <v>473</v>
      </c>
      <c r="G152" s="69">
        <f>SUM(ASOC.ESPAÑOLA:UNIVERSAL!G152)</f>
        <v>13420344</v>
      </c>
    </row>
    <row r="153" spans="2:7" ht="13.7" customHeight="1" thickBot="1" x14ac:dyDescent="0.3">
      <c r="B153" s="6"/>
      <c r="C153" s="48" t="s">
        <v>474</v>
      </c>
      <c r="D153" s="76">
        <f>SUM(ASOC.ESPAÑOLA:UNIVERSAL!D153)</f>
        <v>4231832940.6636829</v>
      </c>
      <c r="E153" s="21" t="s">
        <v>475</v>
      </c>
      <c r="F153" s="19" t="s">
        <v>476</v>
      </c>
      <c r="G153" s="20">
        <f>SUM(ASOC.ESPAÑOLA:UNIVERSAL!G153)</f>
        <v>151443324.85835904</v>
      </c>
    </row>
    <row r="154" spans="2:7" ht="13.7" customHeight="1" thickBot="1" x14ac:dyDescent="0.3">
      <c r="B154" s="6"/>
      <c r="E154" s="21"/>
      <c r="F154" s="28" t="s">
        <v>477</v>
      </c>
      <c r="G154" s="37">
        <f>SUM(ASOC.ESPAÑOLA:UNIVERSAL!G154)</f>
        <v>1747938450.3383591</v>
      </c>
    </row>
    <row r="155" spans="2:7" ht="13.7" customHeight="1" thickBot="1" x14ac:dyDescent="0.3">
      <c r="B155" s="6"/>
      <c r="C155" s="77" t="s">
        <v>478</v>
      </c>
      <c r="D155" s="65">
        <f>SUM(ASOC.ESPAÑOLA:UNIVERSAL!D155)</f>
        <v>136000422.20006812</v>
      </c>
      <c r="E155" s="21" t="s">
        <v>479</v>
      </c>
      <c r="F155" s="66" t="s">
        <v>480</v>
      </c>
      <c r="G155" s="67">
        <f>SUM(ASOC.ESPAÑOLA:UNIVERSAL!G155)</f>
        <v>228536517.5</v>
      </c>
    </row>
    <row r="156" spans="2:7" ht="13.7" customHeight="1" x14ac:dyDescent="0.25">
      <c r="E156" s="21" t="s">
        <v>481</v>
      </c>
      <c r="F156" s="68" t="s">
        <v>482</v>
      </c>
      <c r="G156" s="69">
        <f>SUM(ASOC.ESPAÑOLA:UNIVERSAL!G156)</f>
        <v>740476840.46000004</v>
      </c>
    </row>
    <row r="157" spans="2:7" ht="13.7" customHeight="1" x14ac:dyDescent="0.25">
      <c r="E157" s="21" t="s">
        <v>483</v>
      </c>
      <c r="F157" s="68" t="s">
        <v>484</v>
      </c>
      <c r="G157" s="69">
        <f>SUM(ASOC.ESPAÑOLA:UNIVERSAL!G157)</f>
        <v>16797693.289999999</v>
      </c>
    </row>
    <row r="158" spans="2:7" ht="13.7" customHeight="1" x14ac:dyDescent="0.25">
      <c r="E158" s="21" t="s">
        <v>485</v>
      </c>
      <c r="F158" s="68" t="s">
        <v>486</v>
      </c>
      <c r="G158" s="69">
        <f>SUM(ASOC.ESPAÑOLA:UNIVERSAL!G158)</f>
        <v>0</v>
      </c>
    </row>
    <row r="159" spans="2:7" ht="13.7" customHeight="1" x14ac:dyDescent="0.25">
      <c r="E159" s="21" t="s">
        <v>487</v>
      </c>
      <c r="F159" s="68" t="s">
        <v>488</v>
      </c>
      <c r="G159" s="69">
        <f>SUM(ASOC.ESPAÑOLA:UNIVERSAL!G159)</f>
        <v>5455558</v>
      </c>
    </row>
    <row r="160" spans="2:7" ht="13.7" customHeight="1" x14ac:dyDescent="0.25">
      <c r="E160" s="21" t="s">
        <v>489</v>
      </c>
      <c r="F160" s="68" t="s">
        <v>490</v>
      </c>
      <c r="G160" s="69">
        <f>SUM(ASOC.ESPAÑOLA:UNIVERSAL!G160)</f>
        <v>17167558.359999999</v>
      </c>
    </row>
    <row r="161" spans="5:7" ht="13.7" customHeight="1" x14ac:dyDescent="0.25">
      <c r="E161" s="21" t="s">
        <v>491</v>
      </c>
      <c r="F161" s="68" t="s">
        <v>492</v>
      </c>
      <c r="G161" s="69">
        <f>SUM(ASOC.ESPAÑOLA:UNIVERSAL!G161)</f>
        <v>556521632</v>
      </c>
    </row>
    <row r="162" spans="5:7" ht="13.7" customHeight="1" x14ac:dyDescent="0.25">
      <c r="E162" s="21" t="s">
        <v>493</v>
      </c>
      <c r="F162" s="68" t="s">
        <v>494</v>
      </c>
      <c r="G162" s="69">
        <f>SUM(ASOC.ESPAÑOLA:UNIVERSAL!G162)</f>
        <v>0</v>
      </c>
    </row>
    <row r="163" spans="5:7" ht="13.7" customHeight="1" x14ac:dyDescent="0.25">
      <c r="E163" s="21" t="s">
        <v>495</v>
      </c>
      <c r="F163" s="68" t="s">
        <v>496</v>
      </c>
      <c r="G163" s="69">
        <f>SUM(ASOC.ESPAÑOLA:UNIVERSAL!G163)</f>
        <v>33493070</v>
      </c>
    </row>
    <row r="164" spans="5:7" ht="13.7" customHeight="1" x14ac:dyDescent="0.25">
      <c r="E164" s="21" t="s">
        <v>497</v>
      </c>
      <c r="F164" s="68" t="s">
        <v>498</v>
      </c>
      <c r="G164" s="69">
        <f>SUM(ASOC.ESPAÑOLA:UNIVERSAL!G164)</f>
        <v>0</v>
      </c>
    </row>
    <row r="165" spans="5:7" ht="13.7" customHeight="1" x14ac:dyDescent="0.25">
      <c r="E165" s="21" t="s">
        <v>499</v>
      </c>
      <c r="F165" s="68" t="s">
        <v>500</v>
      </c>
      <c r="G165" s="69">
        <f>SUM(ASOC.ESPAÑOLA:UNIVERSAL!G165)</f>
        <v>0</v>
      </c>
    </row>
    <row r="166" spans="5:7" ht="13.7" customHeight="1" x14ac:dyDescent="0.25">
      <c r="E166" s="21" t="s">
        <v>501</v>
      </c>
      <c r="F166" s="68" t="s">
        <v>502</v>
      </c>
      <c r="G166" s="69">
        <f>SUM(ASOC.ESPAÑOLA:UNIVERSAL!G166)</f>
        <v>75945089</v>
      </c>
    </row>
    <row r="167" spans="5:7" ht="13.7" customHeight="1" x14ac:dyDescent="0.25">
      <c r="E167" s="21" t="s">
        <v>503</v>
      </c>
      <c r="F167" s="19" t="s">
        <v>504</v>
      </c>
      <c r="G167" s="20">
        <f>SUM(ASOC.ESPAÑOLA:UNIVERSAL!G167)</f>
        <v>71934981.382113591</v>
      </c>
    </row>
    <row r="168" spans="5:7" ht="13.7" customHeight="1" thickBot="1" x14ac:dyDescent="0.3">
      <c r="E168" s="21"/>
      <c r="F168" s="28" t="s">
        <v>505</v>
      </c>
      <c r="G168" s="37">
        <f>SUM(ASOC.ESPAÑOLA:UNIVERSAL!G168)</f>
        <v>1746328939.9921136</v>
      </c>
    </row>
    <row r="169" spans="5:7" ht="13.7" customHeight="1" thickBot="1" x14ac:dyDescent="0.3">
      <c r="E169" s="21"/>
      <c r="F169" s="48" t="s">
        <v>506</v>
      </c>
      <c r="G169" s="72">
        <f>SUM(ASOC.ESPAÑOLA:UNIVERSAL!G169)</f>
        <v>1609510.3462454379</v>
      </c>
    </row>
    <row r="170" spans="5:7" ht="13.7" customHeight="1" thickBot="1" x14ac:dyDescent="0.3">
      <c r="E170" s="21"/>
      <c r="F170" s="78"/>
      <c r="G170" s="78"/>
    </row>
    <row r="171" spans="5:7" ht="13.7" customHeight="1" thickBot="1" x14ac:dyDescent="0.3">
      <c r="E171" s="21"/>
      <c r="F171" s="77" t="s">
        <v>507</v>
      </c>
      <c r="G171" s="79"/>
    </row>
    <row r="172" spans="5:7" ht="13.7" customHeight="1" thickBot="1" x14ac:dyDescent="0.3">
      <c r="E172" s="21"/>
      <c r="F172" s="80"/>
      <c r="G172" s="81">
        <f>SUM(ASOC.ESPAÑOLA:UNIVERSAL!G172)</f>
        <v>92624008.938129306</v>
      </c>
    </row>
    <row r="173" spans="5:7" ht="13.7" customHeight="1" thickBot="1" x14ac:dyDescent="0.3">
      <c r="E173" s="21"/>
      <c r="F173" s="5"/>
      <c r="G173" s="5"/>
    </row>
    <row r="174" spans="5:7" ht="13.7" customHeight="1" thickBot="1" x14ac:dyDescent="0.3">
      <c r="E174" s="21"/>
      <c r="F174" s="48" t="s">
        <v>508</v>
      </c>
      <c r="G174" s="17"/>
    </row>
    <row r="175" spans="5:7" ht="13.7" customHeight="1" x14ac:dyDescent="0.25">
      <c r="E175" s="21"/>
      <c r="F175" s="66" t="s">
        <v>509</v>
      </c>
      <c r="G175" s="67">
        <f>SUM(ASOC.ESPAÑOLA:UNIVERSAL!G175)</f>
        <v>0</v>
      </c>
    </row>
    <row r="176" spans="5:7" ht="13.7" customHeight="1" x14ac:dyDescent="0.25">
      <c r="E176" s="21"/>
      <c r="F176" s="68" t="s">
        <v>510</v>
      </c>
      <c r="G176" s="69">
        <f>SUM(ASOC.ESPAÑOLA:UNIVERSAL!G176)</f>
        <v>0</v>
      </c>
    </row>
    <row r="177" spans="1:8" ht="13.7" customHeight="1" thickBot="1" x14ac:dyDescent="0.3">
      <c r="F177" s="68" t="s">
        <v>511</v>
      </c>
      <c r="G177" s="69">
        <f>SUM(ASOC.ESPAÑOLA:UNIVERSAL!G177)</f>
        <v>0</v>
      </c>
    </row>
    <row r="178" spans="1:8" ht="13.7" customHeight="1" thickBot="1" x14ac:dyDescent="0.3">
      <c r="F178" s="48" t="s">
        <v>512</v>
      </c>
      <c r="G178" s="72">
        <f>SUM(ASOC.ESPAÑOLA:UNIVERSAL!G178)</f>
        <v>0</v>
      </c>
    </row>
    <row r="179" spans="1:8" ht="13.7" customHeight="1" thickBot="1" x14ac:dyDescent="0.3"/>
    <row r="180" spans="1:8" ht="13.7" customHeight="1" thickBot="1" x14ac:dyDescent="0.3">
      <c r="F180" s="77" t="s">
        <v>513</v>
      </c>
      <c r="G180" s="79"/>
    </row>
    <row r="181" spans="1:8" ht="13.7" customHeight="1" thickBot="1" x14ac:dyDescent="0.3">
      <c r="F181" s="83"/>
      <c r="G181" s="81">
        <f>SUM(ASOC.ESPAÑOLA:UNIVERSAL!G181)</f>
        <v>92624008.938129306</v>
      </c>
    </row>
    <row r="182" spans="1:8" ht="13.7" customHeight="1" x14ac:dyDescent="0.25"/>
    <row r="183" spans="1:8" ht="13.5" customHeight="1" x14ac:dyDescent="0.25"/>
    <row r="184" spans="1:8" ht="13.7" customHeight="1" x14ac:dyDescent="0.25">
      <c r="E184" s="84"/>
      <c r="F184" s="84"/>
      <c r="G184" s="84"/>
      <c r="H184" s="84"/>
    </row>
    <row r="185" spans="1:8" s="84" customFormat="1" ht="13.7" customHeight="1" x14ac:dyDescent="0.25">
      <c r="A185" s="85"/>
      <c r="E185" s="82"/>
      <c r="F185" s="86"/>
      <c r="G185" s="86"/>
    </row>
    <row r="186" spans="1:8" s="84" customFormat="1" ht="12.75" x14ac:dyDescent="0.25">
      <c r="A186" s="85"/>
      <c r="E186" s="82"/>
      <c r="F186" s="86"/>
      <c r="G186" s="86"/>
    </row>
    <row r="187" spans="1:8" s="84" customFormat="1" ht="12.75" hidden="1" x14ac:dyDescent="0.25">
      <c r="A187" s="85"/>
      <c r="E187" s="82"/>
      <c r="F187" s="86"/>
      <c r="G187" s="86"/>
    </row>
    <row r="188" spans="1:8" s="84" customFormat="1" ht="12.75" hidden="1" x14ac:dyDescent="0.25">
      <c r="A188" s="85"/>
      <c r="E188" s="82"/>
      <c r="F188" s="86"/>
      <c r="G188" s="86"/>
    </row>
    <row r="189" spans="1:8" s="84" customFormat="1" ht="12.75" hidden="1" x14ac:dyDescent="0.25">
      <c r="A189" s="85"/>
      <c r="E189" s="82"/>
      <c r="F189" s="86"/>
      <c r="G189" s="86"/>
    </row>
    <row r="190" spans="1:8" s="84" customFormat="1" ht="12.75" hidden="1" x14ac:dyDescent="0.25">
      <c r="A190" s="85"/>
      <c r="E190" s="82"/>
      <c r="F190" s="86"/>
      <c r="G190" s="86"/>
    </row>
    <row r="191" spans="1:8" s="84" customFormat="1" ht="12.75" hidden="1" x14ac:dyDescent="0.25">
      <c r="A191" s="85"/>
      <c r="E191" s="82"/>
      <c r="F191" s="86"/>
      <c r="G191" s="86"/>
    </row>
    <row r="192" spans="1:8" s="84" customFormat="1" ht="12.75" hidden="1" x14ac:dyDescent="0.25">
      <c r="A192" s="85"/>
      <c r="E192" s="82"/>
      <c r="F192" s="86"/>
      <c r="G192" s="86"/>
    </row>
    <row r="193" spans="5:7" s="84" customFormat="1" ht="12.75" hidden="1" x14ac:dyDescent="0.25">
      <c r="E193" s="82"/>
      <c r="F193" s="86"/>
      <c r="G193" s="86"/>
    </row>
    <row r="194" spans="5:7" s="84" customFormat="1" ht="12.75" hidden="1" x14ac:dyDescent="0.25">
      <c r="E194" s="82"/>
      <c r="F194" s="86"/>
      <c r="G194" s="86"/>
    </row>
    <row r="195" spans="5:7" s="84" customFormat="1" ht="12.75" hidden="1" x14ac:dyDescent="0.25">
      <c r="E195" s="82"/>
      <c r="F195" s="86"/>
      <c r="G195" s="86"/>
    </row>
    <row r="196" spans="5:7" s="84" customFormat="1" ht="12.75" hidden="1" x14ac:dyDescent="0.25">
      <c r="E196" s="82"/>
      <c r="F196" s="86"/>
      <c r="G196" s="86"/>
    </row>
    <row r="197" spans="5:7" s="84" customFormat="1" ht="12.75" hidden="1" x14ac:dyDescent="0.25">
      <c r="E197" s="82"/>
      <c r="F197" s="86"/>
      <c r="G197" s="86"/>
    </row>
    <row r="198" spans="5:7" s="84" customFormat="1" ht="12.75" hidden="1" x14ac:dyDescent="0.25">
      <c r="E198" s="82"/>
      <c r="F198" s="86"/>
      <c r="G198" s="86"/>
    </row>
    <row r="199" spans="5:7" s="84" customFormat="1" ht="12.75" hidden="1" x14ac:dyDescent="0.25">
      <c r="E199" s="82"/>
      <c r="F199" s="86"/>
      <c r="G199" s="86"/>
    </row>
    <row r="200" spans="5:7" s="84" customFormat="1" ht="12.75" hidden="1" x14ac:dyDescent="0.25">
      <c r="E200" s="82"/>
      <c r="F200" s="86"/>
      <c r="G200" s="86"/>
    </row>
    <row r="201" spans="5:7" s="84" customFormat="1" ht="12.75" hidden="1" x14ac:dyDescent="0.25">
      <c r="E201" s="82"/>
      <c r="F201" s="86"/>
      <c r="G201" s="86"/>
    </row>
    <row r="202" spans="5:7" s="84" customFormat="1" ht="12.75" hidden="1" x14ac:dyDescent="0.25">
      <c r="E202" s="82"/>
      <c r="F202" s="86"/>
      <c r="G202" s="86"/>
    </row>
    <row r="203" spans="5:7" s="84" customFormat="1" ht="12.75" hidden="1" x14ac:dyDescent="0.25">
      <c r="E203" s="82"/>
      <c r="F203" s="86"/>
      <c r="G203" s="86"/>
    </row>
    <row r="204" spans="5:7" s="84" customFormat="1" ht="12.75" hidden="1" x14ac:dyDescent="0.25">
      <c r="E204" s="82"/>
      <c r="F204" s="86"/>
      <c r="G204" s="86"/>
    </row>
    <row r="205" spans="5:7" s="84" customFormat="1" ht="12.75" hidden="1" x14ac:dyDescent="0.25">
      <c r="E205" s="82"/>
      <c r="F205" s="86"/>
      <c r="G205" s="86"/>
    </row>
    <row r="206" spans="5:7" s="84" customFormat="1" ht="12.75" hidden="1" x14ac:dyDescent="0.25">
      <c r="E206" s="82"/>
      <c r="F206" s="86"/>
      <c r="G206" s="86"/>
    </row>
    <row r="207" spans="5:7" s="84" customFormat="1" ht="12.75" hidden="1" x14ac:dyDescent="0.25">
      <c r="E207" s="82"/>
      <c r="F207" s="86"/>
      <c r="G207" s="86"/>
    </row>
    <row r="208" spans="5:7" s="84" customFormat="1" ht="12.75" hidden="1" x14ac:dyDescent="0.25">
      <c r="E208" s="82"/>
      <c r="F208" s="86"/>
      <c r="G208" s="86"/>
    </row>
    <row r="209" spans="3:8" s="84" customFormat="1" ht="12.75" hidden="1" x14ac:dyDescent="0.25">
      <c r="E209" s="82"/>
      <c r="F209" s="86"/>
      <c r="G209" s="86"/>
    </row>
    <row r="210" spans="3:8" s="84" customFormat="1" ht="12.75" hidden="1" x14ac:dyDescent="0.25">
      <c r="E210" s="82"/>
      <c r="F210" s="86"/>
      <c r="G210" s="86"/>
    </row>
    <row r="211" spans="3:8" s="84" customFormat="1" ht="12.75" hidden="1" x14ac:dyDescent="0.25">
      <c r="E211" s="82"/>
      <c r="F211" s="86"/>
      <c r="G211" s="86"/>
    </row>
    <row r="212" spans="3:8" s="84" customFormat="1" ht="12.75" hidden="1" x14ac:dyDescent="0.25">
      <c r="E212" s="82"/>
      <c r="F212" s="86"/>
      <c r="G212" s="86"/>
    </row>
    <row r="213" spans="3:8" s="84" customFormat="1" ht="12.75" hidden="1" x14ac:dyDescent="0.25">
      <c r="E213" s="82"/>
      <c r="F213" s="86"/>
      <c r="G213" s="86"/>
    </row>
    <row r="214" spans="3:8" s="84" customFormat="1" hidden="1" x14ac:dyDescent="0.25">
      <c r="E214" s="82"/>
      <c r="F214" s="87"/>
      <c r="G214" s="58"/>
      <c r="H214" s="5"/>
    </row>
    <row r="215" spans="3:8" hidden="1" x14ac:dyDescent="0.25">
      <c r="C215" s="86"/>
      <c r="D215" s="86"/>
      <c r="F215" s="87"/>
    </row>
    <row r="216" spans="3:8" hidden="1" x14ac:dyDescent="0.25"/>
    <row r="217" spans="3:8" hidden="1" x14ac:dyDescent="0.25"/>
    <row r="218" spans="3:8" hidden="1" x14ac:dyDescent="0.25"/>
    <row r="219" spans="3:8" hidden="1" x14ac:dyDescent="0.25"/>
    <row r="220" spans="3:8" hidden="1" x14ac:dyDescent="0.25"/>
    <row r="221" spans="3:8" hidden="1" x14ac:dyDescent="0.25"/>
    <row r="222" spans="3:8" hidden="1" x14ac:dyDescent="0.25"/>
    <row r="223" spans="3:8" hidden="1" x14ac:dyDescent="0.25"/>
    <row r="224" spans="3:8"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sheetData>
  <mergeCells count="6">
    <mergeCell ref="C1:D1"/>
    <mergeCell ref="E1:F1"/>
    <mergeCell ref="C2:D2"/>
    <mergeCell ref="E2:F2"/>
    <mergeCell ref="C3:D3"/>
    <mergeCell ref="E3:F3"/>
  </mergeCells>
  <conditionalFormatting sqref="D7:D12">
    <cfRule type="cellIs" dxfId="17" priority="2" stopIfTrue="1" operator="greaterThan">
      <formula>50</formula>
    </cfRule>
    <cfRule type="cellIs" dxfId="16" priority="11" stopIfTrue="1" operator="equal">
      <formula>0</formula>
    </cfRule>
  </conditionalFormatting>
  <conditionalFormatting sqref="D7:D61">
    <cfRule type="cellIs" dxfId="15" priority="9" stopIfTrue="1" operator="between">
      <formula>-0.1</formula>
      <formula>-50</formula>
    </cfRule>
    <cfRule type="cellIs" dxfId="14" priority="10" stopIfTrue="1" operator="between">
      <formula>0.1</formula>
      <formula>50</formula>
    </cfRule>
  </conditionalFormatting>
  <conditionalFormatting sqref="G152:G181 G7:G150">
    <cfRule type="cellIs" dxfId="13" priority="7" stopIfTrue="1" operator="between">
      <formula>-0.1</formula>
      <formula>-50</formula>
    </cfRule>
    <cfRule type="cellIs" dxfId="12" priority="8" stopIfTrue="1" operator="between">
      <formula>0.1</formula>
      <formula>50</formula>
    </cfRule>
  </conditionalFormatting>
  <conditionalFormatting sqref="D111:D155">
    <cfRule type="cellIs" dxfId="11" priority="5" stopIfTrue="1" operator="between">
      <formula>-0.1</formula>
      <formula>-50</formula>
    </cfRule>
    <cfRule type="cellIs" dxfId="10" priority="6" stopIfTrue="1" operator="between">
      <formula>0.1</formula>
      <formula>50</formula>
    </cfRule>
  </conditionalFormatting>
  <conditionalFormatting sqref="G165">
    <cfRule type="expression" dxfId="9" priority="4" stopIfTrue="1">
      <formula>AND($G$165&gt;0,$G$151&gt;0)</formula>
    </cfRule>
  </conditionalFormatting>
  <conditionalFormatting sqref="G151">
    <cfRule type="expression" dxfId="8" priority="1" stopIfTrue="1">
      <formula>AND($G$151&gt;0,$G$165&gt;0)</formula>
    </cfRule>
  </conditionalFormatting>
  <dataValidations count="5">
    <dataValidation operator="greaterThanOrEqual" allowBlank="1" errorTitle="Error de datos" error="Debe ingresar un valor entero positivo" sqref="F6:F107 F203 C13:C47 C106:C153 F171 F174:F178 F180 F111:F119 C7:C10 F121:F140 F143:F169 C49:C62 C155 F109"/>
    <dataValidation allowBlank="1" sqref="G204"/>
    <dataValidation allowBlank="1" errorTitle="Error de datos" error="Debe introducir una fecha válida" sqref="E3"/>
    <dataValidation type="whole" allowBlank="1" showErrorMessage="1" errorTitle="Error de datos" error="Debe ingresar un valor entre 1 y 12" sqref="G1:G3">
      <formula1>1</formula1>
      <formula2>12</formula2>
    </dataValidation>
    <dataValidation type="whole" operator="greaterThan" showInputMessage="1" showErrorMessage="1" errorTitle="eee" error="Valores mayores a $50" sqref="D7:D155 G7:G181">
      <formula1>50</formula1>
    </dataValidation>
  </dataValidations>
  <pageMargins left="0.7" right="0.7" top="0.75" bottom="0.75" header="0.3" footer="0.3"/>
  <ignoredErrors>
    <ignoredError sqref="D7:D19 D22:D28 D30:D34 D36:D46 D49:D51 D56:D59 D112:D121 D123:D125 D127:D137 D139:D141 D144:D147 D149:D151 G175:G177 G155:G167 G144:G153 G124:G138 G112:G122 G103:G104 G96:G100 G80:G94 G58:G78 G49:G56 G41:G47 G34:G39 G28:G31 G20:G26 G7:G18" unlockedFormula="1"/>
    <ignoredError sqref="E7:E181" numberStoredAsText="1"/>
  </ignoredErrors>
  <legacyDrawing r:id="rId1"/>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26"/>
  <sheetViews>
    <sheetView showGridLines="0" zoomScale="90" zoomScaleNormal="90" workbookViewId="0">
      <selection activeCell="F4" sqref="F4"/>
    </sheetView>
  </sheetViews>
  <sheetFormatPr baseColWidth="10" defaultColWidth="0" defaultRowHeight="15" zeroHeight="1" x14ac:dyDescent="0.25"/>
  <cols>
    <col min="1" max="1" width="3.7109375" style="1" customWidth="1"/>
    <col min="2" max="2" width="14.28515625" style="7" hidden="1" customWidth="1"/>
    <col min="3" max="3" width="58.42578125" style="58" customWidth="1"/>
    <col min="4" max="4" width="25.140625" style="58" customWidth="1"/>
    <col min="5" max="5" width="5.85546875" style="82" customWidth="1"/>
    <col min="6" max="6" width="57.28515625" style="58" customWidth="1"/>
    <col min="7" max="7" width="24.7109375" style="58" customWidth="1"/>
    <col min="8" max="8" width="5.42578125" style="5" customWidth="1"/>
    <col min="9" max="16384" width="0" style="5" hidden="1"/>
  </cols>
  <sheetData>
    <row r="1" spans="1:9" ht="15.75" x14ac:dyDescent="0.25">
      <c r="B1" s="2"/>
      <c r="C1" s="313" t="s">
        <v>0</v>
      </c>
      <c r="D1" s="314"/>
      <c r="E1" s="315" t="s">
        <v>518</v>
      </c>
      <c r="F1" s="315"/>
      <c r="G1" s="3"/>
      <c r="H1" s="4"/>
    </row>
    <row r="2" spans="1:9" ht="15.75" x14ac:dyDescent="0.25">
      <c r="B2" s="6"/>
      <c r="C2" s="313" t="s">
        <v>1</v>
      </c>
      <c r="D2" s="314"/>
      <c r="E2" s="315" t="s">
        <v>515</v>
      </c>
      <c r="F2" s="315"/>
      <c r="G2" s="3"/>
      <c r="H2" s="4"/>
    </row>
    <row r="3" spans="1:9" ht="15.75" x14ac:dyDescent="0.25">
      <c r="B3" s="6"/>
      <c r="C3" s="313" t="s">
        <v>2</v>
      </c>
      <c r="D3" s="316"/>
      <c r="E3" s="317" t="s">
        <v>3</v>
      </c>
      <c r="F3" s="317"/>
      <c r="G3" s="3"/>
      <c r="H3" s="4"/>
    </row>
    <row r="4" spans="1:9" ht="15.75" thickBot="1" x14ac:dyDescent="0.3">
      <c r="C4" s="287"/>
      <c r="D4" s="8"/>
      <c r="E4" s="9"/>
      <c r="F4" s="10"/>
      <c r="G4" s="11"/>
    </row>
    <row r="5" spans="1:9" ht="16.5" thickBot="1" x14ac:dyDescent="0.3">
      <c r="B5" s="12"/>
      <c r="C5" s="13" t="s">
        <v>4</v>
      </c>
      <c r="D5" s="284" t="s">
        <v>5</v>
      </c>
      <c r="E5" s="14"/>
      <c r="F5" s="13" t="s">
        <v>6</v>
      </c>
      <c r="G5" s="284" t="s">
        <v>5</v>
      </c>
      <c r="I5" s="15"/>
    </row>
    <row r="6" spans="1:9" ht="16.5" thickBot="1" x14ac:dyDescent="0.3">
      <c r="B6" s="12"/>
      <c r="C6" s="16" t="s">
        <v>7</v>
      </c>
      <c r="D6" s="290">
        <f>+[9]E.S.P.!D6</f>
        <v>2020</v>
      </c>
      <c r="E6" s="18"/>
      <c r="F6" s="16" t="s">
        <v>8</v>
      </c>
      <c r="G6" s="290">
        <f>+D6</f>
        <v>2020</v>
      </c>
      <c r="H6" s="15"/>
    </row>
    <row r="7" spans="1:9" x14ac:dyDescent="0.25">
      <c r="B7" s="6" t="s">
        <v>9</v>
      </c>
      <c r="C7" s="19" t="s">
        <v>10</v>
      </c>
      <c r="D7" s="20">
        <f>SUM(GREMEDA:IAC!D7)</f>
        <v>667364001.51999998</v>
      </c>
      <c r="E7" s="21" t="s">
        <v>11</v>
      </c>
      <c r="F7" s="22" t="s">
        <v>12</v>
      </c>
      <c r="G7" s="23">
        <f>SUM(GREMEDA:IAC!G7)</f>
        <v>198134921.57000002</v>
      </c>
    </row>
    <row r="8" spans="1:9" x14ac:dyDescent="0.25">
      <c r="B8" s="6" t="s">
        <v>13</v>
      </c>
      <c r="C8" s="19" t="s">
        <v>14</v>
      </c>
      <c r="D8" s="20">
        <f>SUM(GREMEDA:IAC!D8)</f>
        <v>1296345188</v>
      </c>
      <c r="E8" s="21" t="s">
        <v>15</v>
      </c>
      <c r="F8" s="19" t="s">
        <v>16</v>
      </c>
      <c r="G8" s="24">
        <f>SUM(GREMEDA:IAC!G8)</f>
        <v>1847461212.28</v>
      </c>
    </row>
    <row r="9" spans="1:9" x14ac:dyDescent="0.25">
      <c r="B9" s="6" t="s">
        <v>17</v>
      </c>
      <c r="C9" s="19" t="s">
        <v>18</v>
      </c>
      <c r="D9" s="20">
        <f>SUM(GREMEDA:IAC!D9)</f>
        <v>24825198211.48</v>
      </c>
      <c r="E9" s="21" t="s">
        <v>19</v>
      </c>
      <c r="F9" s="19" t="s">
        <v>20</v>
      </c>
      <c r="G9" s="20">
        <f>SUM(GREMEDA:IAC!G9)</f>
        <v>682564261.60000002</v>
      </c>
    </row>
    <row r="10" spans="1:9" x14ac:dyDescent="0.25">
      <c r="B10" s="6" t="s">
        <v>21</v>
      </c>
      <c r="C10" s="19" t="s">
        <v>22</v>
      </c>
      <c r="D10" s="20">
        <f>SUM(GREMEDA:IAC!D10)</f>
        <v>2479506490.52</v>
      </c>
      <c r="E10" s="21" t="s">
        <v>23</v>
      </c>
      <c r="F10" s="19" t="s">
        <v>24</v>
      </c>
      <c r="G10" s="20">
        <f>SUM(GREMEDA:IAC!G10)</f>
        <v>4895960198.2700005</v>
      </c>
    </row>
    <row r="11" spans="1:9" x14ac:dyDescent="0.25">
      <c r="B11" s="6" t="s">
        <v>25</v>
      </c>
      <c r="C11" s="19" t="s">
        <v>26</v>
      </c>
      <c r="D11" s="20">
        <f>SUM(GREMEDA:IAC!D11)</f>
        <v>557016039</v>
      </c>
      <c r="E11" s="21" t="s">
        <v>27</v>
      </c>
      <c r="F11" s="19" t="s">
        <v>28</v>
      </c>
      <c r="G11" s="20">
        <f>SUM(GREMEDA:IAC!G11)</f>
        <v>2031620375.49</v>
      </c>
    </row>
    <row r="12" spans="1:9" x14ac:dyDescent="0.25">
      <c r="B12" s="6" t="s">
        <v>29</v>
      </c>
      <c r="C12" s="19" t="s">
        <v>30</v>
      </c>
      <c r="D12" s="20">
        <f>SUM(GREMEDA:IAC!D12)</f>
        <v>620874192.86000001</v>
      </c>
      <c r="E12" s="21" t="s">
        <v>31</v>
      </c>
      <c r="F12" s="19" t="s">
        <v>32</v>
      </c>
      <c r="G12" s="20">
        <f>SUM(GREMEDA:IAC!G12)</f>
        <v>1618981479.5500002</v>
      </c>
    </row>
    <row r="13" spans="1:9" x14ac:dyDescent="0.25">
      <c r="B13" s="6" t="s">
        <v>33</v>
      </c>
      <c r="C13" s="19" t="s">
        <v>34</v>
      </c>
      <c r="D13" s="20">
        <f>SUM(GREMEDA:IAC!D13)</f>
        <v>67612962.25999999</v>
      </c>
      <c r="E13" s="21" t="s">
        <v>35</v>
      </c>
      <c r="F13" s="19" t="s">
        <v>36</v>
      </c>
      <c r="G13" s="20">
        <f>SUM(GREMEDA:IAC!G13)</f>
        <v>408460329.88999999</v>
      </c>
    </row>
    <row r="14" spans="1:9" x14ac:dyDescent="0.25">
      <c r="A14" s="25"/>
      <c r="B14" s="6" t="s">
        <v>37</v>
      </c>
      <c r="C14" s="19" t="s">
        <v>38</v>
      </c>
      <c r="D14" s="20">
        <f>SUM(GREMEDA:IAC!D14)</f>
        <v>224305194</v>
      </c>
      <c r="E14" s="21" t="s">
        <v>39</v>
      </c>
      <c r="F14" s="19" t="s">
        <v>40</v>
      </c>
      <c r="G14" s="20">
        <f>SUM(GREMEDA:IAC!G14)</f>
        <v>4257376684.6899996</v>
      </c>
    </row>
    <row r="15" spans="1:9" x14ac:dyDescent="0.25">
      <c r="B15" s="6" t="s">
        <v>41</v>
      </c>
      <c r="C15" s="26" t="s">
        <v>42</v>
      </c>
      <c r="D15" s="20">
        <f>SUM(GREMEDA:IAC!D15)</f>
        <v>25936898.039999999</v>
      </c>
      <c r="E15" s="21" t="s">
        <v>43</v>
      </c>
      <c r="F15" s="19" t="s">
        <v>44</v>
      </c>
      <c r="G15" s="20">
        <f>SUM(GREMEDA:IAC!G15)</f>
        <v>1654081784.2</v>
      </c>
    </row>
    <row r="16" spans="1:9" x14ac:dyDescent="0.25">
      <c r="B16" s="6" t="s">
        <v>45</v>
      </c>
      <c r="C16" s="19" t="s">
        <v>46</v>
      </c>
      <c r="D16" s="20">
        <f>SUM(GREMEDA:IAC!D16)</f>
        <v>4090</v>
      </c>
      <c r="E16" s="21" t="s">
        <v>47</v>
      </c>
      <c r="F16" s="19" t="s">
        <v>48</v>
      </c>
      <c r="G16" s="20">
        <f>SUM(GREMEDA:IAC!G16)</f>
        <v>1519447615.6499999</v>
      </c>
    </row>
    <row r="17" spans="1:7" x14ac:dyDescent="0.25">
      <c r="B17" s="6" t="s">
        <v>49</v>
      </c>
      <c r="C17" s="19" t="s">
        <v>50</v>
      </c>
      <c r="D17" s="20">
        <f>SUM(GREMEDA:IAC!D17)</f>
        <v>947</v>
      </c>
      <c r="E17" s="21" t="s">
        <v>51</v>
      </c>
      <c r="F17" s="19" t="s">
        <v>52</v>
      </c>
      <c r="G17" s="20">
        <f>SUM(GREMEDA:IAC!G17)</f>
        <v>73547471</v>
      </c>
    </row>
    <row r="18" spans="1:7" x14ac:dyDescent="0.25">
      <c r="A18" s="25"/>
      <c r="B18" s="6" t="s">
        <v>53</v>
      </c>
      <c r="C18" s="19" t="s">
        <v>54</v>
      </c>
      <c r="D18" s="20">
        <f>SUM(GREMEDA:IAC!D18)</f>
        <v>207626703.12</v>
      </c>
      <c r="E18" s="21" t="s">
        <v>55</v>
      </c>
      <c r="F18" s="19" t="s">
        <v>56</v>
      </c>
      <c r="G18" s="27">
        <f>SUM(GREMEDA:IAC!G18)</f>
        <v>852571785.63</v>
      </c>
    </row>
    <row r="19" spans="1:7" ht="15.75" thickBot="1" x14ac:dyDescent="0.3">
      <c r="A19" s="25"/>
      <c r="B19" s="6" t="s">
        <v>57</v>
      </c>
      <c r="C19" s="19" t="s">
        <v>58</v>
      </c>
      <c r="D19" s="20">
        <f>SUM(GREMEDA:IAC!D19)</f>
        <v>1355558340.8299999</v>
      </c>
      <c r="E19" s="21"/>
      <c r="F19" s="28" t="s">
        <v>59</v>
      </c>
      <c r="G19" s="29">
        <f>SUM(GREMEDA:IAC!G19)</f>
        <v>20040208119.82</v>
      </c>
    </row>
    <row r="20" spans="1:7" ht="15.75" thickBot="1" x14ac:dyDescent="0.3">
      <c r="B20" s="6"/>
      <c r="C20" s="28" t="s">
        <v>60</v>
      </c>
      <c r="D20" s="29">
        <f>SUM(GREMEDA:IAC!D20)</f>
        <v>32327349258.630001</v>
      </c>
      <c r="E20" s="21" t="s">
        <v>61</v>
      </c>
      <c r="F20" s="22" t="s">
        <v>62</v>
      </c>
      <c r="G20" s="23">
        <f>SUM(GREMEDA:IAC!G20)</f>
        <v>8974290.0700000022</v>
      </c>
    </row>
    <row r="21" spans="1:7" x14ac:dyDescent="0.25">
      <c r="B21" s="6"/>
      <c r="C21" s="30" t="s">
        <v>63</v>
      </c>
      <c r="D21" s="31">
        <f>SUM(GREMEDA:IAC!D21)</f>
        <v>362956585.33999991</v>
      </c>
      <c r="E21" s="21" t="s">
        <v>64</v>
      </c>
      <c r="F21" s="19" t="s">
        <v>65</v>
      </c>
      <c r="G21" s="20">
        <f>SUM(GREMEDA:IAC!G21)</f>
        <v>579505764.93999994</v>
      </c>
    </row>
    <row r="22" spans="1:7" x14ac:dyDescent="0.25">
      <c r="B22" s="6" t="s">
        <v>66</v>
      </c>
      <c r="C22" s="19" t="s">
        <v>67</v>
      </c>
      <c r="D22" s="20">
        <f>SUM(GREMEDA:IAC!D22)</f>
        <v>191375117.53999999</v>
      </c>
      <c r="E22" s="21" t="s">
        <v>68</v>
      </c>
      <c r="F22" s="19" t="s">
        <v>69</v>
      </c>
      <c r="G22" s="20">
        <f>SUM(GREMEDA:IAC!G22)</f>
        <v>96553521</v>
      </c>
    </row>
    <row r="23" spans="1:7" x14ac:dyDescent="0.25">
      <c r="B23" s="6" t="s">
        <v>70</v>
      </c>
      <c r="C23" s="19" t="s">
        <v>71</v>
      </c>
      <c r="D23" s="20">
        <f>SUM(GREMEDA:IAC!D23)</f>
        <v>23466441.710000001</v>
      </c>
      <c r="E23" s="21" t="s">
        <v>72</v>
      </c>
      <c r="F23" s="19" t="s">
        <v>73</v>
      </c>
      <c r="G23" s="20">
        <f>SUM(GREMEDA:IAC!G23)</f>
        <v>354251108.69999993</v>
      </c>
    </row>
    <row r="24" spans="1:7" x14ac:dyDescent="0.25">
      <c r="B24" s="6" t="s">
        <v>74</v>
      </c>
      <c r="C24" s="19" t="s">
        <v>75</v>
      </c>
      <c r="D24" s="20">
        <f>SUM(GREMEDA:IAC!D24)</f>
        <v>82460089.999999985</v>
      </c>
      <c r="E24" s="21" t="s">
        <v>76</v>
      </c>
      <c r="F24" s="19" t="s">
        <v>77</v>
      </c>
      <c r="G24" s="20">
        <f>SUM(GREMEDA:IAC!G24)</f>
        <v>41501944.609999999</v>
      </c>
    </row>
    <row r="25" spans="1:7" x14ac:dyDescent="0.25">
      <c r="B25" s="6" t="s">
        <v>78</v>
      </c>
      <c r="C25" s="19" t="s">
        <v>79</v>
      </c>
      <c r="D25" s="20">
        <f>SUM(GREMEDA:IAC!D25)</f>
        <v>12500657</v>
      </c>
      <c r="E25" s="21" t="s">
        <v>80</v>
      </c>
      <c r="F25" s="19" t="s">
        <v>81</v>
      </c>
      <c r="G25" s="20">
        <f>SUM(GREMEDA:IAC!G25)</f>
        <v>112298182.41999999</v>
      </c>
    </row>
    <row r="26" spans="1:7" x14ac:dyDescent="0.25">
      <c r="B26" s="6" t="s">
        <v>82</v>
      </c>
      <c r="C26" s="19" t="s">
        <v>83</v>
      </c>
      <c r="D26" s="20">
        <f>SUM(GREMEDA:IAC!D26)</f>
        <v>22586577.28999998</v>
      </c>
      <c r="E26" s="21" t="s">
        <v>84</v>
      </c>
      <c r="F26" s="19" t="s">
        <v>85</v>
      </c>
      <c r="G26" s="27">
        <f>SUM(GREMEDA:IAC!G26)</f>
        <v>53355388.18</v>
      </c>
    </row>
    <row r="27" spans="1:7" ht="15.75" thickBot="1" x14ac:dyDescent="0.3">
      <c r="B27" s="6" t="s">
        <v>86</v>
      </c>
      <c r="C27" s="19" t="s">
        <v>87</v>
      </c>
      <c r="D27" s="20">
        <f>SUM(GREMEDA:IAC!D27)</f>
        <v>12631589.57</v>
      </c>
      <c r="E27" s="21"/>
      <c r="F27" s="28" t="s">
        <v>88</v>
      </c>
      <c r="G27" s="29">
        <f>SUM(GREMEDA:IAC!G27)</f>
        <v>1246440199.9200001</v>
      </c>
    </row>
    <row r="28" spans="1:7" x14ac:dyDescent="0.25">
      <c r="B28" s="6" t="s">
        <v>89</v>
      </c>
      <c r="C28" s="19" t="s">
        <v>90</v>
      </c>
      <c r="D28" s="20">
        <f>SUM(GREMEDA:IAC!D28)</f>
        <v>17936112.23</v>
      </c>
      <c r="E28" s="21" t="s">
        <v>91</v>
      </c>
      <c r="F28" s="22" t="s">
        <v>92</v>
      </c>
      <c r="G28" s="23">
        <f>SUM(GREMEDA:IAC!G28)</f>
        <v>1309947662.1500001</v>
      </c>
    </row>
    <row r="29" spans="1:7" x14ac:dyDescent="0.25">
      <c r="B29" s="6"/>
      <c r="C29" s="32" t="s">
        <v>93</v>
      </c>
      <c r="D29" s="31">
        <f>SUM(GREMEDA:IAC!D29)</f>
        <v>2275930521.4200029</v>
      </c>
      <c r="E29" s="21" t="s">
        <v>94</v>
      </c>
      <c r="F29" s="19" t="s">
        <v>95</v>
      </c>
      <c r="G29" s="20">
        <f>SUM(GREMEDA:IAC!G29)</f>
        <v>448239856.89999998</v>
      </c>
    </row>
    <row r="30" spans="1:7" x14ac:dyDescent="0.25">
      <c r="B30" s="6" t="s">
        <v>96</v>
      </c>
      <c r="C30" s="19" t="s">
        <v>97</v>
      </c>
      <c r="D30" s="20">
        <f>SUM(GREMEDA:IAC!D30)</f>
        <v>1862300309.6100028</v>
      </c>
      <c r="E30" s="21" t="s">
        <v>98</v>
      </c>
      <c r="F30" s="19" t="s">
        <v>99</v>
      </c>
      <c r="G30" s="20">
        <f>SUM(GREMEDA:IAC!G30)</f>
        <v>435324846.51000005</v>
      </c>
    </row>
    <row r="31" spans="1:7" x14ac:dyDescent="0.25">
      <c r="B31" s="6" t="s">
        <v>100</v>
      </c>
      <c r="C31" s="19" t="s">
        <v>101</v>
      </c>
      <c r="D31" s="20">
        <f>SUM(GREMEDA:IAC!D31)</f>
        <v>143251746.31</v>
      </c>
      <c r="E31" s="21" t="s">
        <v>102</v>
      </c>
      <c r="F31" s="19" t="s">
        <v>103</v>
      </c>
      <c r="G31" s="27">
        <f>SUM(GREMEDA:IAC!G31)</f>
        <v>97378445.99000001</v>
      </c>
    </row>
    <row r="32" spans="1:7" ht="15.75" thickBot="1" x14ac:dyDescent="0.3">
      <c r="B32" s="6" t="s">
        <v>104</v>
      </c>
      <c r="C32" s="19" t="s">
        <v>105</v>
      </c>
      <c r="D32" s="20">
        <f>SUM(GREMEDA:IAC!D32)</f>
        <v>150493895.8699998</v>
      </c>
      <c r="E32" s="21"/>
      <c r="F32" s="28" t="s">
        <v>106</v>
      </c>
      <c r="G32" s="29">
        <f>SUM(GREMEDA:IAC!G32)</f>
        <v>2290890811.5500002</v>
      </c>
    </row>
    <row r="33" spans="2:7" x14ac:dyDescent="0.25">
      <c r="B33" s="6" t="s">
        <v>107</v>
      </c>
      <c r="C33" s="19" t="s">
        <v>108</v>
      </c>
      <c r="D33" s="20">
        <f>SUM(GREMEDA:IAC!D33)</f>
        <v>22245773.719999999</v>
      </c>
      <c r="E33" s="21"/>
      <c r="F33" s="32" t="s">
        <v>109</v>
      </c>
      <c r="G33" s="31">
        <f>SUM(GREMEDA:IAC!G33)</f>
        <v>2054888475.5999997</v>
      </c>
    </row>
    <row r="34" spans="2:7" x14ac:dyDescent="0.25">
      <c r="B34" s="6" t="s">
        <v>110</v>
      </c>
      <c r="C34" s="19" t="s">
        <v>111</v>
      </c>
      <c r="D34" s="20">
        <f>SUM(GREMEDA:IAC!D34)</f>
        <v>97638795.909999996</v>
      </c>
      <c r="E34" s="21" t="s">
        <v>112</v>
      </c>
      <c r="F34" s="19" t="s">
        <v>113</v>
      </c>
      <c r="G34" s="20">
        <f>SUM(GREMEDA:IAC!G34)</f>
        <v>125449145.78</v>
      </c>
    </row>
    <row r="35" spans="2:7" ht="15.75" thickBot="1" x14ac:dyDescent="0.3">
      <c r="B35" s="6"/>
      <c r="C35" s="28" t="s">
        <v>114</v>
      </c>
      <c r="D35" s="29">
        <f>SUM(GREMEDA:IAC!D35)</f>
        <v>2638887106.7600026</v>
      </c>
      <c r="E35" s="21" t="s">
        <v>115</v>
      </c>
      <c r="F35" s="19" t="s">
        <v>116</v>
      </c>
      <c r="G35" s="20">
        <f>SUM(GREMEDA:IAC!G35)</f>
        <v>49763811.649999999</v>
      </c>
    </row>
    <row r="36" spans="2:7" x14ac:dyDescent="0.25">
      <c r="B36" s="6" t="s">
        <v>117</v>
      </c>
      <c r="C36" s="19" t="s">
        <v>118</v>
      </c>
      <c r="D36" s="20">
        <f>SUM(GREMEDA:IAC!D36)</f>
        <v>198885827.18000001</v>
      </c>
      <c r="E36" s="21" t="s">
        <v>119</v>
      </c>
      <c r="F36" s="19" t="s">
        <v>120</v>
      </c>
      <c r="G36" s="20">
        <f>SUM(GREMEDA:IAC!G36)</f>
        <v>70992658.260000005</v>
      </c>
    </row>
    <row r="37" spans="2:7" x14ac:dyDescent="0.25">
      <c r="B37" s="6" t="s">
        <v>121</v>
      </c>
      <c r="C37" s="19" t="s">
        <v>122</v>
      </c>
      <c r="D37" s="20">
        <f>SUM(GREMEDA:IAC!D37)</f>
        <v>484517739.69</v>
      </c>
      <c r="E37" s="21" t="s">
        <v>123</v>
      </c>
      <c r="F37" s="19" t="s">
        <v>124</v>
      </c>
      <c r="G37" s="20">
        <f>SUM(GREMEDA:IAC!G37)</f>
        <v>141588651.80000001</v>
      </c>
    </row>
    <row r="38" spans="2:7" x14ac:dyDescent="0.25">
      <c r="B38" s="6" t="s">
        <v>125</v>
      </c>
      <c r="C38" s="19" t="s">
        <v>126</v>
      </c>
      <c r="D38" s="20">
        <f>SUM(GREMEDA:IAC!D38)</f>
        <v>105501075</v>
      </c>
      <c r="E38" s="21" t="s">
        <v>127</v>
      </c>
      <c r="F38" s="19" t="s">
        <v>128</v>
      </c>
      <c r="G38" s="20">
        <f>SUM(GREMEDA:IAC!G38)</f>
        <v>232200030.75</v>
      </c>
    </row>
    <row r="39" spans="2:7" x14ac:dyDescent="0.25">
      <c r="B39" s="6" t="s">
        <v>129</v>
      </c>
      <c r="C39" s="19" t="s">
        <v>130</v>
      </c>
      <c r="D39" s="20">
        <f>SUM(GREMEDA:IAC!D39)</f>
        <v>119853035.16</v>
      </c>
      <c r="E39" s="21" t="s">
        <v>131</v>
      </c>
      <c r="F39" s="19" t="s">
        <v>132</v>
      </c>
      <c r="G39" s="20">
        <f>SUM(GREMEDA:IAC!G39)</f>
        <v>1434894177.3599997</v>
      </c>
    </row>
    <row r="40" spans="2:7" x14ac:dyDescent="0.25">
      <c r="B40" s="6" t="s">
        <v>133</v>
      </c>
      <c r="C40" s="19" t="s">
        <v>134</v>
      </c>
      <c r="D40" s="20">
        <f>SUM(GREMEDA:IAC!D40)</f>
        <v>200725526.53</v>
      </c>
      <c r="E40" s="21"/>
      <c r="F40" s="33" t="s">
        <v>135</v>
      </c>
      <c r="G40" s="34">
        <f>SUM(GREMEDA:IAC!G40)</f>
        <v>502066668.58999997</v>
      </c>
    </row>
    <row r="41" spans="2:7" x14ac:dyDescent="0.25">
      <c r="B41" s="6" t="s">
        <v>136</v>
      </c>
      <c r="C41" s="19" t="s">
        <v>137</v>
      </c>
      <c r="D41" s="20">
        <f>SUM(GREMEDA:IAC!D41)</f>
        <v>700538855.02999997</v>
      </c>
      <c r="E41" s="21" t="s">
        <v>138</v>
      </c>
      <c r="F41" s="19" t="s">
        <v>139</v>
      </c>
      <c r="G41" s="20">
        <f>SUM(GREMEDA:IAC!G41)</f>
        <v>53961673.529999994</v>
      </c>
    </row>
    <row r="42" spans="2:7" x14ac:dyDescent="0.25">
      <c r="B42" s="6" t="s">
        <v>140</v>
      </c>
      <c r="C42" s="19" t="s">
        <v>141</v>
      </c>
      <c r="D42" s="20">
        <f>SUM(GREMEDA:IAC!D42)</f>
        <v>910120469.23000002</v>
      </c>
      <c r="E42" s="21" t="s">
        <v>142</v>
      </c>
      <c r="F42" s="19" t="s">
        <v>143</v>
      </c>
      <c r="G42" s="20">
        <f>SUM(GREMEDA:IAC!G42)</f>
        <v>2560913.7199999997</v>
      </c>
    </row>
    <row r="43" spans="2:7" x14ac:dyDescent="0.25">
      <c r="B43" s="6" t="s">
        <v>144</v>
      </c>
      <c r="C43" s="19" t="s">
        <v>145</v>
      </c>
      <c r="D43" s="20">
        <f>SUM(GREMEDA:IAC!D43)</f>
        <v>4832949</v>
      </c>
      <c r="E43" s="21" t="s">
        <v>146</v>
      </c>
      <c r="F43" s="19" t="s">
        <v>147</v>
      </c>
      <c r="G43" s="20">
        <f>SUM(GREMEDA:IAC!G43)</f>
        <v>72730877.729999989</v>
      </c>
    </row>
    <row r="44" spans="2:7" x14ac:dyDescent="0.25">
      <c r="B44" s="6" t="s">
        <v>148</v>
      </c>
      <c r="C44" s="19" t="s">
        <v>149</v>
      </c>
      <c r="D44" s="20">
        <f>SUM(GREMEDA:IAC!D44)</f>
        <v>470516</v>
      </c>
      <c r="E44" s="21" t="s">
        <v>150</v>
      </c>
      <c r="F44" s="19" t="s">
        <v>151</v>
      </c>
      <c r="G44" s="20">
        <f>SUM(GREMEDA:IAC!G44)</f>
        <v>19625511.450000003</v>
      </c>
    </row>
    <row r="45" spans="2:7" x14ac:dyDescent="0.25">
      <c r="B45" s="6" t="s">
        <v>152</v>
      </c>
      <c r="C45" s="19" t="s">
        <v>153</v>
      </c>
      <c r="D45" s="20">
        <f>SUM(GREMEDA:IAC!D45)</f>
        <v>304850159.63</v>
      </c>
      <c r="E45" s="21" t="s">
        <v>154</v>
      </c>
      <c r="F45" s="19" t="s">
        <v>155</v>
      </c>
      <c r="G45" s="20">
        <f>SUM(GREMEDA:IAC!G45)</f>
        <v>21555026.650000002</v>
      </c>
    </row>
    <row r="46" spans="2:7" x14ac:dyDescent="0.25">
      <c r="B46" s="6" t="s">
        <v>156</v>
      </c>
      <c r="C46" s="19" t="s">
        <v>157</v>
      </c>
      <c r="D46" s="20">
        <f>SUM(GREMEDA:IAC!D46)</f>
        <v>134392671.09</v>
      </c>
      <c r="E46" s="21" t="s">
        <v>158</v>
      </c>
      <c r="F46" s="19" t="s">
        <v>159</v>
      </c>
      <c r="G46" s="20">
        <f>SUM(GREMEDA:IAC!G46)</f>
        <v>331632665.50999999</v>
      </c>
    </row>
    <row r="47" spans="2:7" ht="15.75" thickBot="1" x14ac:dyDescent="0.3">
      <c r="B47" s="6"/>
      <c r="C47" s="28" t="s">
        <v>160</v>
      </c>
      <c r="D47" s="29">
        <f>SUM(GREMEDA:IAC!D47)</f>
        <v>3164688823.54</v>
      </c>
      <c r="E47" s="21" t="s">
        <v>161</v>
      </c>
      <c r="F47" s="19" t="s">
        <v>162</v>
      </c>
      <c r="G47" s="27">
        <f>SUM(GREMEDA:IAC!G47)</f>
        <v>116597260.74000001</v>
      </c>
    </row>
    <row r="48" spans="2:7" ht="15.75" thickBot="1" x14ac:dyDescent="0.3">
      <c r="B48" s="6"/>
      <c r="C48" s="35" t="s">
        <v>163</v>
      </c>
      <c r="D48" s="36"/>
      <c r="E48" s="21"/>
      <c r="F48" s="28" t="s">
        <v>164</v>
      </c>
      <c r="G48" s="37">
        <f>SUM(GREMEDA:IAC!G48)</f>
        <v>2673552404.9299994</v>
      </c>
    </row>
    <row r="49" spans="2:7" x14ac:dyDescent="0.25">
      <c r="B49" s="6" t="s">
        <v>165</v>
      </c>
      <c r="C49" s="38" t="s">
        <v>166</v>
      </c>
      <c r="D49" s="39">
        <f>SUM(GREMEDA:IAC!D49)</f>
        <v>72671</v>
      </c>
      <c r="E49" s="21" t="s">
        <v>167</v>
      </c>
      <c r="F49" s="22" t="s">
        <v>168</v>
      </c>
      <c r="G49" s="23">
        <f>SUM(GREMEDA:IAC!G49)</f>
        <v>338830353.49000001</v>
      </c>
    </row>
    <row r="50" spans="2:7" x14ac:dyDescent="0.25">
      <c r="B50" s="6" t="s">
        <v>169</v>
      </c>
      <c r="C50" s="19" t="s">
        <v>163</v>
      </c>
      <c r="D50" s="20">
        <f>SUM(GREMEDA:IAC!D50)</f>
        <v>47531287.780000001</v>
      </c>
      <c r="E50" s="21" t="s">
        <v>170</v>
      </c>
      <c r="F50" s="19" t="s">
        <v>171</v>
      </c>
      <c r="G50" s="20">
        <f>SUM(GREMEDA:IAC!G50)</f>
        <v>1107524632.8399999</v>
      </c>
    </row>
    <row r="51" spans="2:7" x14ac:dyDescent="0.25">
      <c r="B51" s="6" t="s">
        <v>172</v>
      </c>
      <c r="C51" s="19" t="s">
        <v>173</v>
      </c>
      <c r="D51" s="27">
        <f>SUM(GREMEDA:IAC!D51)</f>
        <v>1848785.87</v>
      </c>
      <c r="E51" s="21" t="s">
        <v>174</v>
      </c>
      <c r="F51" s="19" t="s">
        <v>175</v>
      </c>
      <c r="G51" s="20">
        <f>SUM(GREMEDA:IAC!G51)</f>
        <v>27898585.270000003</v>
      </c>
    </row>
    <row r="52" spans="2:7" ht="15.75" thickBot="1" x14ac:dyDescent="0.3">
      <c r="B52" s="12"/>
      <c r="C52" s="28" t="s">
        <v>176</v>
      </c>
      <c r="D52" s="29">
        <f>SUM(GREMEDA:IAC!D52)</f>
        <v>49452744.649999999</v>
      </c>
      <c r="E52" s="21" t="s">
        <v>177</v>
      </c>
      <c r="F52" s="19" t="s">
        <v>178</v>
      </c>
      <c r="G52" s="20">
        <f>SUM(GREMEDA:IAC!G52)</f>
        <v>38059946.93</v>
      </c>
    </row>
    <row r="53" spans="2:7" ht="15.75" thickBot="1" x14ac:dyDescent="0.3">
      <c r="B53" s="6"/>
      <c r="C53" s="40" t="s">
        <v>179</v>
      </c>
      <c r="D53" s="41">
        <f>SUM(GREMEDA:IAC!D53)</f>
        <v>38180377933.580002</v>
      </c>
      <c r="E53" s="21" t="s">
        <v>180</v>
      </c>
      <c r="F53" s="19" t="s">
        <v>181</v>
      </c>
      <c r="G53" s="20">
        <f>SUM(GREMEDA:IAC!G53)</f>
        <v>181813981.42000002</v>
      </c>
    </row>
    <row r="54" spans="2:7" x14ac:dyDescent="0.25">
      <c r="C54" s="42"/>
      <c r="D54" s="43"/>
      <c r="E54" s="21" t="s">
        <v>182</v>
      </c>
      <c r="F54" s="19" t="s">
        <v>183</v>
      </c>
      <c r="G54" s="20">
        <f>SUM(GREMEDA:IAC!G54)</f>
        <v>61074440.379999995</v>
      </c>
    </row>
    <row r="55" spans="2:7" x14ac:dyDescent="0.25">
      <c r="C55" s="44" t="s">
        <v>184</v>
      </c>
      <c r="D55" s="45"/>
      <c r="E55" s="21" t="s">
        <v>185</v>
      </c>
      <c r="F55" s="19" t="s">
        <v>186</v>
      </c>
      <c r="G55" s="20">
        <f>SUM(GREMEDA:IAC!G55)</f>
        <v>68256320.469999999</v>
      </c>
    </row>
    <row r="56" spans="2:7" x14ac:dyDescent="0.25">
      <c r="B56" s="6" t="s">
        <v>187</v>
      </c>
      <c r="C56" s="46" t="s">
        <v>188</v>
      </c>
      <c r="D56" s="20">
        <f>SUM(GREMEDA:IAC!D56)</f>
        <v>-44782662.149999999</v>
      </c>
      <c r="E56" s="21" t="s">
        <v>189</v>
      </c>
      <c r="F56" s="19" t="s">
        <v>190</v>
      </c>
      <c r="G56" s="27">
        <f>SUM(GREMEDA:IAC!G56)</f>
        <v>83923151.150000006</v>
      </c>
    </row>
    <row r="57" spans="2:7" ht="15.75" thickBot="1" x14ac:dyDescent="0.3">
      <c r="B57" s="6" t="s">
        <v>191</v>
      </c>
      <c r="C57" s="46" t="s">
        <v>192</v>
      </c>
      <c r="D57" s="20">
        <f>SUM(GREMEDA:IAC!D57)</f>
        <v>-2375927</v>
      </c>
      <c r="E57" s="21"/>
      <c r="F57" s="28" t="s">
        <v>193</v>
      </c>
      <c r="G57" s="29">
        <f>SUM(GREMEDA:IAC!G57)</f>
        <v>1907381411.95</v>
      </c>
    </row>
    <row r="58" spans="2:7" x14ac:dyDescent="0.25">
      <c r="B58" s="6" t="s">
        <v>194</v>
      </c>
      <c r="C58" s="46" t="s">
        <v>195</v>
      </c>
      <c r="D58" s="20">
        <f>SUM(GREMEDA:IAC!D58)</f>
        <v>-7689106</v>
      </c>
      <c r="E58" s="21" t="s">
        <v>196</v>
      </c>
      <c r="F58" s="22" t="s">
        <v>197</v>
      </c>
      <c r="G58" s="23">
        <f>SUM(GREMEDA:IAC!G58)</f>
        <v>365000199.44000006</v>
      </c>
    </row>
    <row r="59" spans="2:7" x14ac:dyDescent="0.25">
      <c r="B59" s="6" t="s">
        <v>198</v>
      </c>
      <c r="C59" s="19" t="s">
        <v>199</v>
      </c>
      <c r="D59" s="27">
        <f>SUM(GREMEDA:IAC!D59)</f>
        <v>-2333934.75</v>
      </c>
      <c r="E59" s="21" t="s">
        <v>200</v>
      </c>
      <c r="F59" s="19" t="s">
        <v>201</v>
      </c>
      <c r="G59" s="20">
        <f>SUM(GREMEDA:IAC!G59)</f>
        <v>600694371.26999998</v>
      </c>
    </row>
    <row r="60" spans="2:7" ht="15.75" thickBot="1" x14ac:dyDescent="0.3">
      <c r="B60" s="6"/>
      <c r="C60" s="28" t="s">
        <v>202</v>
      </c>
      <c r="D60" s="29">
        <f>SUM(GREMEDA:IAC!D60)</f>
        <v>-57181629.899999999</v>
      </c>
      <c r="E60" s="21" t="s">
        <v>203</v>
      </c>
      <c r="F60" s="19" t="s">
        <v>204</v>
      </c>
      <c r="G60" s="20">
        <f>SUM(GREMEDA:IAC!G60)</f>
        <v>153813533.00999999</v>
      </c>
    </row>
    <row r="61" spans="2:7" ht="16.5" thickBot="1" x14ac:dyDescent="0.3">
      <c r="B61" s="47"/>
      <c r="C61" s="48" t="s">
        <v>205</v>
      </c>
      <c r="D61" s="49">
        <f>SUM(GREMEDA:IAC!D61)</f>
        <v>38123196303.68</v>
      </c>
      <c r="E61" s="21" t="s">
        <v>206</v>
      </c>
      <c r="F61" s="19" t="s">
        <v>207</v>
      </c>
      <c r="G61" s="20">
        <f>SUM(GREMEDA:IAC!G61)</f>
        <v>121764371.05999999</v>
      </c>
    </row>
    <row r="62" spans="2:7" x14ac:dyDescent="0.25">
      <c r="B62" s="50"/>
      <c r="C62" s="51"/>
      <c r="D62" s="51">
        <f>SUM(GREMEDA:IAC!D62)</f>
        <v>0</v>
      </c>
      <c r="E62" s="21" t="s">
        <v>208</v>
      </c>
      <c r="F62" s="19" t="s">
        <v>209</v>
      </c>
      <c r="G62" s="20">
        <f>SUM(GREMEDA:IAC!G62)</f>
        <v>9176433</v>
      </c>
    </row>
    <row r="63" spans="2:7" x14ac:dyDescent="0.25">
      <c r="B63" s="52"/>
      <c r="C63" s="53" t="s">
        <v>8</v>
      </c>
      <c r="D63" s="53">
        <f>SUM(GREMEDA:IAC!D63)</f>
        <v>0</v>
      </c>
      <c r="E63" s="21" t="s">
        <v>210</v>
      </c>
      <c r="F63" s="19" t="s">
        <v>211</v>
      </c>
      <c r="G63" s="20">
        <f>SUM(GREMEDA:IAC!G63)</f>
        <v>571973926.13</v>
      </c>
    </row>
    <row r="64" spans="2:7" x14ac:dyDescent="0.25">
      <c r="B64" s="54" t="s">
        <v>212</v>
      </c>
      <c r="C64" s="55" t="s">
        <v>213</v>
      </c>
      <c r="D64" s="55">
        <f>SUM(GREMEDA:IAC!D64)</f>
        <v>331267582.23028898</v>
      </c>
      <c r="E64" s="21" t="s">
        <v>214</v>
      </c>
      <c r="F64" s="19" t="s">
        <v>215</v>
      </c>
      <c r="G64" s="20">
        <f>SUM(GREMEDA:IAC!G64)</f>
        <v>70725463.729999989</v>
      </c>
    </row>
    <row r="65" spans="2:7" x14ac:dyDescent="0.25">
      <c r="B65" s="54" t="s">
        <v>216</v>
      </c>
      <c r="C65" s="55" t="s">
        <v>217</v>
      </c>
      <c r="D65" s="55">
        <f>SUM(GREMEDA:IAC!D65)</f>
        <v>0</v>
      </c>
      <c r="E65" s="21" t="s">
        <v>218</v>
      </c>
      <c r="F65" s="19" t="s">
        <v>219</v>
      </c>
      <c r="G65" s="20">
        <f>SUM(GREMEDA:IAC!G65)</f>
        <v>161942226.01999998</v>
      </c>
    </row>
    <row r="66" spans="2:7" x14ac:dyDescent="0.25">
      <c r="B66" s="54" t="s">
        <v>220</v>
      </c>
      <c r="C66" s="55" t="s">
        <v>221</v>
      </c>
      <c r="D66" s="55">
        <f>SUM(GREMEDA:IAC!D66)</f>
        <v>235018881.27126074</v>
      </c>
      <c r="E66" s="21" t="s">
        <v>222</v>
      </c>
      <c r="F66" s="19" t="s">
        <v>223</v>
      </c>
      <c r="G66" s="20">
        <f>SUM(GREMEDA:IAC!G66)</f>
        <v>138520775.37</v>
      </c>
    </row>
    <row r="67" spans="2:7" x14ac:dyDescent="0.25">
      <c r="B67" s="54" t="s">
        <v>224</v>
      </c>
      <c r="C67" s="55" t="s">
        <v>225</v>
      </c>
      <c r="D67" s="55">
        <f>SUM(GREMEDA:IAC!D67)</f>
        <v>5148290.6325229183</v>
      </c>
      <c r="E67" s="21" t="s">
        <v>226</v>
      </c>
      <c r="F67" s="19" t="s">
        <v>227</v>
      </c>
      <c r="G67" s="20">
        <f>SUM(GREMEDA:IAC!G67)</f>
        <v>59078988.560000002</v>
      </c>
    </row>
    <row r="68" spans="2:7" x14ac:dyDescent="0.25">
      <c r="B68" s="54" t="s">
        <v>228</v>
      </c>
      <c r="C68" s="55" t="s">
        <v>229</v>
      </c>
      <c r="D68" s="55">
        <f>SUM(GREMEDA:IAC!D68)</f>
        <v>15724301.174693333</v>
      </c>
      <c r="E68" s="21" t="s">
        <v>230</v>
      </c>
      <c r="F68" s="19" t="s">
        <v>231</v>
      </c>
      <c r="G68" s="20">
        <f>SUM(GREMEDA:IAC!G68)</f>
        <v>2659405.29</v>
      </c>
    </row>
    <row r="69" spans="2:7" x14ac:dyDescent="0.25">
      <c r="B69" s="54" t="s">
        <v>232</v>
      </c>
      <c r="C69" s="55" t="s">
        <v>233</v>
      </c>
      <c r="D69" s="55">
        <f>SUM(GREMEDA:IAC!D69)</f>
        <v>13444548.265833333</v>
      </c>
      <c r="E69" s="21" t="s">
        <v>234</v>
      </c>
      <c r="F69" s="19" t="s">
        <v>235</v>
      </c>
      <c r="G69" s="20">
        <f>SUM(GREMEDA:IAC!G69)</f>
        <v>39130009.719999999</v>
      </c>
    </row>
    <row r="70" spans="2:7" x14ac:dyDescent="0.25">
      <c r="B70" s="54" t="s">
        <v>236</v>
      </c>
      <c r="C70" s="55" t="s">
        <v>237</v>
      </c>
      <c r="D70" s="55">
        <f>SUM(GREMEDA:IAC!D70)</f>
        <v>26192246.968383428</v>
      </c>
      <c r="E70" s="21" t="s">
        <v>238</v>
      </c>
      <c r="F70" s="19" t="s">
        <v>239</v>
      </c>
      <c r="G70" s="20">
        <f>SUM(GREMEDA:IAC!G70)</f>
        <v>16399112.600000001</v>
      </c>
    </row>
    <row r="71" spans="2:7" x14ac:dyDescent="0.25">
      <c r="B71" s="54" t="s">
        <v>240</v>
      </c>
      <c r="C71" s="55" t="s">
        <v>241</v>
      </c>
      <c r="D71" s="55">
        <f>SUM(GREMEDA:IAC!D71)</f>
        <v>25278911.312722199</v>
      </c>
      <c r="E71" s="21" t="s">
        <v>242</v>
      </c>
      <c r="F71" s="19" t="s">
        <v>243</v>
      </c>
      <c r="G71" s="20">
        <f>SUM(GREMEDA:IAC!G71)</f>
        <v>15324875.539999999</v>
      </c>
    </row>
    <row r="72" spans="2:7" x14ac:dyDescent="0.25">
      <c r="B72" s="54" t="s">
        <v>244</v>
      </c>
      <c r="C72" s="55" t="s">
        <v>245</v>
      </c>
      <c r="D72" s="55">
        <f>SUM(GREMEDA:IAC!D72)</f>
        <v>35038650.956435069</v>
      </c>
      <c r="E72" s="21" t="s">
        <v>246</v>
      </c>
      <c r="F72" s="19" t="s">
        <v>247</v>
      </c>
      <c r="G72" s="20">
        <f>SUM(GREMEDA:IAC!G72)</f>
        <v>110906295.42</v>
      </c>
    </row>
    <row r="73" spans="2:7" x14ac:dyDescent="0.25">
      <c r="B73" s="54" t="s">
        <v>248</v>
      </c>
      <c r="C73" s="55" t="s">
        <v>249</v>
      </c>
      <c r="D73" s="55">
        <f>SUM(GREMEDA:IAC!D73)</f>
        <v>3450698</v>
      </c>
      <c r="E73" s="21" t="s">
        <v>250</v>
      </c>
      <c r="F73" s="19" t="s">
        <v>251</v>
      </c>
      <c r="G73" s="20">
        <f>SUM(GREMEDA:IAC!G73)</f>
        <v>14175432.48</v>
      </c>
    </row>
    <row r="74" spans="2:7" x14ac:dyDescent="0.25">
      <c r="B74" s="54" t="s">
        <v>252</v>
      </c>
      <c r="C74" s="55" t="s">
        <v>253</v>
      </c>
      <c r="D74" s="55">
        <f>SUM(GREMEDA:IAC!D74)</f>
        <v>24076189.240305819</v>
      </c>
      <c r="E74" s="21" t="s">
        <v>254</v>
      </c>
      <c r="F74" s="19" t="s">
        <v>255</v>
      </c>
      <c r="G74" s="20">
        <f>SUM(GREMEDA:IAC!G74)</f>
        <v>11476044</v>
      </c>
    </row>
    <row r="75" spans="2:7" x14ac:dyDescent="0.25">
      <c r="B75" s="54" t="s">
        <v>256</v>
      </c>
      <c r="C75" s="55" t="s">
        <v>257</v>
      </c>
      <c r="D75" s="55">
        <f>SUM(GREMEDA:IAC!D75)</f>
        <v>0</v>
      </c>
      <c r="E75" s="21" t="s">
        <v>258</v>
      </c>
      <c r="F75" s="19" t="s">
        <v>259</v>
      </c>
      <c r="G75" s="20">
        <f>SUM(GREMEDA:IAC!G75)</f>
        <v>113409600.03999999</v>
      </c>
    </row>
    <row r="76" spans="2:7" x14ac:dyDescent="0.25">
      <c r="B76" s="54" t="s">
        <v>260</v>
      </c>
      <c r="C76" s="55" t="s">
        <v>261</v>
      </c>
      <c r="D76" s="55">
        <f>SUM(GREMEDA:IAC!D76)</f>
        <v>0</v>
      </c>
      <c r="E76" s="21" t="s">
        <v>262</v>
      </c>
      <c r="F76" s="19" t="s">
        <v>263</v>
      </c>
      <c r="G76" s="20">
        <f>SUM(GREMEDA:IAC!G76)</f>
        <v>311615468.19</v>
      </c>
    </row>
    <row r="77" spans="2:7" x14ac:dyDescent="0.25">
      <c r="B77" s="54" t="s">
        <v>264</v>
      </c>
      <c r="C77" s="55" t="s">
        <v>265</v>
      </c>
      <c r="D77" s="55">
        <f>SUM(GREMEDA:IAC!D77)</f>
        <v>714640300.05244577</v>
      </c>
      <c r="E77" s="21" t="s">
        <v>266</v>
      </c>
      <c r="F77" s="19" t="s">
        <v>267</v>
      </c>
      <c r="G77" s="20">
        <f>SUM(GREMEDA:IAC!G77)</f>
        <v>859952399.06999981</v>
      </c>
    </row>
    <row r="78" spans="2:7" x14ac:dyDescent="0.25">
      <c r="B78" s="54"/>
      <c r="C78" s="55"/>
      <c r="D78" s="55">
        <f>SUM(GREMEDA:IAC!D78)</f>
        <v>0</v>
      </c>
      <c r="E78" s="21" t="s">
        <v>268</v>
      </c>
      <c r="F78" s="19" t="s">
        <v>269</v>
      </c>
      <c r="G78" s="27">
        <f>SUM(GREMEDA:IAC!G78)</f>
        <v>163746956.53</v>
      </c>
    </row>
    <row r="79" spans="2:7" ht="15.75" thickBot="1" x14ac:dyDescent="0.3">
      <c r="B79" s="54"/>
      <c r="C79" s="53" t="s">
        <v>270</v>
      </c>
      <c r="D79" s="56">
        <f>SUM(GREMEDA:IAC!D79)</f>
        <v>0</v>
      </c>
      <c r="E79" s="21"/>
      <c r="F79" s="28" t="s">
        <v>271</v>
      </c>
      <c r="G79" s="29">
        <f>SUM(GREMEDA:IAC!G79)</f>
        <v>3911485886.4699998</v>
      </c>
    </row>
    <row r="80" spans="2:7" x14ac:dyDescent="0.25">
      <c r="B80" s="54" t="s">
        <v>272</v>
      </c>
      <c r="C80" s="55" t="s">
        <v>237</v>
      </c>
      <c r="D80" s="55">
        <f>SUM(GREMEDA:IAC!D80)</f>
        <v>10261089.800000001</v>
      </c>
      <c r="E80" s="21" t="s">
        <v>273</v>
      </c>
      <c r="F80" s="22" t="s">
        <v>274</v>
      </c>
      <c r="G80" s="23">
        <f>SUM(GREMEDA:IAC!G80)</f>
        <v>63066117.899999999</v>
      </c>
    </row>
    <row r="81" spans="2:7" x14ac:dyDescent="0.25">
      <c r="B81" s="54" t="s">
        <v>275</v>
      </c>
      <c r="C81" s="55" t="s">
        <v>241</v>
      </c>
      <c r="D81" s="55">
        <f>SUM(GREMEDA:IAC!D81)</f>
        <v>3193442</v>
      </c>
      <c r="E81" s="21" t="s">
        <v>276</v>
      </c>
      <c r="F81" s="19" t="s">
        <v>277</v>
      </c>
      <c r="G81" s="20">
        <f>SUM(GREMEDA:IAC!G81)</f>
        <v>146498102.94499996</v>
      </c>
    </row>
    <row r="82" spans="2:7" x14ac:dyDescent="0.25">
      <c r="B82" s="54" t="s">
        <v>278</v>
      </c>
      <c r="C82" s="55" t="s">
        <v>245</v>
      </c>
      <c r="D82" s="55">
        <f>SUM(GREMEDA:IAC!D82)</f>
        <v>19167884.899999999</v>
      </c>
      <c r="E82" s="21" t="s">
        <v>279</v>
      </c>
      <c r="F82" s="19" t="s">
        <v>280</v>
      </c>
      <c r="G82" s="20">
        <f>SUM(GREMEDA:IAC!G82)</f>
        <v>71730317.74000001</v>
      </c>
    </row>
    <row r="83" spans="2:7" x14ac:dyDescent="0.25">
      <c r="B83" s="54" t="s">
        <v>281</v>
      </c>
      <c r="C83" s="55" t="s">
        <v>249</v>
      </c>
      <c r="D83" s="55">
        <f>SUM(GREMEDA:IAC!D83)</f>
        <v>1698087</v>
      </c>
      <c r="E83" s="21" t="s">
        <v>282</v>
      </c>
      <c r="F83" s="19" t="s">
        <v>283</v>
      </c>
      <c r="G83" s="20">
        <f>SUM(GREMEDA:IAC!G83)</f>
        <v>76293747.062499985</v>
      </c>
    </row>
    <row r="84" spans="2:7" x14ac:dyDescent="0.25">
      <c r="B84" s="54" t="s">
        <v>284</v>
      </c>
      <c r="C84" s="55" t="s">
        <v>285</v>
      </c>
      <c r="D84" s="55">
        <f>SUM(GREMEDA:IAC!D84)</f>
        <v>0</v>
      </c>
      <c r="E84" s="21" t="s">
        <v>286</v>
      </c>
      <c r="F84" s="19" t="s">
        <v>287</v>
      </c>
      <c r="G84" s="20">
        <f>SUM(GREMEDA:IAC!G84)</f>
        <v>188254611.42750001</v>
      </c>
    </row>
    <row r="85" spans="2:7" x14ac:dyDescent="0.25">
      <c r="B85" s="54" t="s">
        <v>288</v>
      </c>
      <c r="C85" s="55" t="s">
        <v>289</v>
      </c>
      <c r="D85" s="55">
        <f>SUM(GREMEDA:IAC!D85)</f>
        <v>0</v>
      </c>
      <c r="E85" s="21" t="s">
        <v>290</v>
      </c>
      <c r="F85" s="19" t="s">
        <v>291</v>
      </c>
      <c r="G85" s="20">
        <f>SUM(GREMEDA:IAC!G85)</f>
        <v>85718147.952500001</v>
      </c>
    </row>
    <row r="86" spans="2:7" x14ac:dyDescent="0.25">
      <c r="B86" s="54" t="s">
        <v>292</v>
      </c>
      <c r="C86" s="55" t="s">
        <v>293</v>
      </c>
      <c r="D86" s="55">
        <f>SUM(GREMEDA:IAC!D86)</f>
        <v>0</v>
      </c>
      <c r="E86" s="21" t="s">
        <v>294</v>
      </c>
      <c r="F86" s="19" t="s">
        <v>295</v>
      </c>
      <c r="G86" s="20">
        <f>SUM(GREMEDA:IAC!G86)</f>
        <v>34004708.392499998</v>
      </c>
    </row>
    <row r="87" spans="2:7" x14ac:dyDescent="0.25">
      <c r="B87" s="54" t="s">
        <v>296</v>
      </c>
      <c r="C87" s="55" t="s">
        <v>297</v>
      </c>
      <c r="D87" s="55">
        <f>SUM(GREMEDA:IAC!D87)</f>
        <v>766788</v>
      </c>
      <c r="E87" s="21" t="s">
        <v>298</v>
      </c>
      <c r="F87" s="19" t="s">
        <v>299</v>
      </c>
      <c r="G87" s="20">
        <f>SUM(GREMEDA:IAC!G87)</f>
        <v>31846908.850000001</v>
      </c>
    </row>
    <row r="88" spans="2:7" x14ac:dyDescent="0.25">
      <c r="B88" s="54" t="s">
        <v>300</v>
      </c>
      <c r="C88" s="55" t="s">
        <v>301</v>
      </c>
      <c r="D88" s="55">
        <f>SUM(GREMEDA:IAC!D88)</f>
        <v>14637957</v>
      </c>
      <c r="E88" s="21" t="s">
        <v>302</v>
      </c>
      <c r="F88" s="19" t="s">
        <v>303</v>
      </c>
      <c r="G88" s="20">
        <f>SUM(GREMEDA:IAC!G88)</f>
        <v>70695326.032499999</v>
      </c>
    </row>
    <row r="89" spans="2:7" x14ac:dyDescent="0.25">
      <c r="B89" s="54" t="s">
        <v>304</v>
      </c>
      <c r="C89" s="55" t="s">
        <v>213</v>
      </c>
      <c r="D89" s="55">
        <f>SUM(GREMEDA:IAC!D89)</f>
        <v>8838737.75</v>
      </c>
      <c r="E89" s="21" t="s">
        <v>305</v>
      </c>
      <c r="F89" s="19" t="s">
        <v>306</v>
      </c>
      <c r="G89" s="20">
        <f>SUM(GREMEDA:IAC!G89)</f>
        <v>372953689.68999994</v>
      </c>
    </row>
    <row r="90" spans="2:7" x14ac:dyDescent="0.25">
      <c r="B90" s="54" t="s">
        <v>307</v>
      </c>
      <c r="C90" s="55" t="s">
        <v>229</v>
      </c>
      <c r="D90" s="55">
        <f>SUM(GREMEDA:IAC!D90)</f>
        <v>4028600</v>
      </c>
      <c r="E90" s="21" t="s">
        <v>308</v>
      </c>
      <c r="F90" s="19" t="s">
        <v>309</v>
      </c>
      <c r="G90" s="20">
        <f>SUM(GREMEDA:IAC!G90)</f>
        <v>54415632.020000003</v>
      </c>
    </row>
    <row r="91" spans="2:7" x14ac:dyDescent="0.25">
      <c r="B91" s="54" t="s">
        <v>310</v>
      </c>
      <c r="C91" s="55" t="s">
        <v>311</v>
      </c>
      <c r="D91" s="55">
        <f>SUM(GREMEDA:IAC!D91)</f>
        <v>62592586.450000003</v>
      </c>
      <c r="E91" s="52" t="s">
        <v>312</v>
      </c>
      <c r="F91" s="19" t="s">
        <v>313</v>
      </c>
      <c r="G91" s="20">
        <f>SUM(GREMEDA:IAC!G91)</f>
        <v>21218127.93</v>
      </c>
    </row>
    <row r="92" spans="2:7" x14ac:dyDescent="0.25">
      <c r="B92" s="54"/>
      <c r="C92" s="57" t="s">
        <v>314</v>
      </c>
      <c r="D92" s="55">
        <f>SUM(GREMEDA:IAC!D92)</f>
        <v>777232886.5024457</v>
      </c>
      <c r="E92" s="52" t="s">
        <v>315</v>
      </c>
      <c r="F92" s="19" t="s">
        <v>316</v>
      </c>
      <c r="G92" s="20">
        <f>SUM(GREMEDA:IAC!G92)</f>
        <v>1320220</v>
      </c>
    </row>
    <row r="93" spans="2:7" x14ac:dyDescent="0.25">
      <c r="E93" s="52" t="s">
        <v>317</v>
      </c>
      <c r="F93" s="19" t="s">
        <v>318</v>
      </c>
      <c r="G93" s="20">
        <f>SUM(GREMEDA:IAC!G93)</f>
        <v>168016971.91249999</v>
      </c>
    </row>
    <row r="94" spans="2:7" x14ac:dyDescent="0.25">
      <c r="E94" s="52" t="s">
        <v>319</v>
      </c>
      <c r="F94" s="19" t="s">
        <v>320</v>
      </c>
      <c r="G94" s="27">
        <f>SUM(GREMEDA:IAC!G94)</f>
        <v>57799652</v>
      </c>
    </row>
    <row r="95" spans="2:7" ht="13.5" customHeight="1" thickBot="1" x14ac:dyDescent="0.3">
      <c r="E95" s="21"/>
      <c r="F95" s="28" t="s">
        <v>321</v>
      </c>
      <c r="G95" s="29">
        <f>SUM(GREMEDA:IAC!G95)</f>
        <v>1443832281.855</v>
      </c>
    </row>
    <row r="96" spans="2:7" x14ac:dyDescent="0.25">
      <c r="E96" s="52" t="s">
        <v>322</v>
      </c>
      <c r="F96" s="22" t="s">
        <v>323</v>
      </c>
      <c r="G96" s="23">
        <f>SUM(GREMEDA:IAC!G96)</f>
        <v>147187377.22999996</v>
      </c>
    </row>
    <row r="97" spans="2:7" x14ac:dyDescent="0.25">
      <c r="E97" s="52" t="s">
        <v>324</v>
      </c>
      <c r="F97" s="19" t="s">
        <v>325</v>
      </c>
      <c r="G97" s="20">
        <f>SUM(GREMEDA:IAC!G97)</f>
        <v>118253584.17</v>
      </c>
    </row>
    <row r="98" spans="2:7" x14ac:dyDescent="0.25">
      <c r="E98" s="52" t="s">
        <v>326</v>
      </c>
      <c r="F98" s="19" t="s">
        <v>327</v>
      </c>
      <c r="G98" s="20">
        <f>SUM(GREMEDA:IAC!G98)</f>
        <v>32511817.989999998</v>
      </c>
    </row>
    <row r="99" spans="2:7" x14ac:dyDescent="0.25">
      <c r="E99" s="52" t="s">
        <v>328</v>
      </c>
      <c r="F99" s="19" t="s">
        <v>329</v>
      </c>
      <c r="G99" s="20">
        <f>SUM(GREMEDA:IAC!G99)</f>
        <v>94262916.520000011</v>
      </c>
    </row>
    <row r="100" spans="2:7" x14ac:dyDescent="0.25">
      <c r="E100" s="52" t="s">
        <v>330</v>
      </c>
      <c r="F100" s="19" t="s">
        <v>331</v>
      </c>
      <c r="G100" s="27">
        <f>SUM(GREMEDA:IAC!G100)</f>
        <v>16980991.689999998</v>
      </c>
    </row>
    <row r="101" spans="2:7" ht="15.75" thickBot="1" x14ac:dyDescent="0.3">
      <c r="E101" s="21"/>
      <c r="F101" s="28" t="s">
        <v>332</v>
      </c>
      <c r="G101" s="29">
        <f>SUM(GREMEDA:IAC!G101)</f>
        <v>409196687.59999996</v>
      </c>
    </row>
    <row r="102" spans="2:7" ht="15.75" thickBot="1" x14ac:dyDescent="0.3">
      <c r="E102" s="52"/>
      <c r="F102" s="59" t="s">
        <v>333</v>
      </c>
      <c r="G102" s="60">
        <f>SUM(GREMEDA:IAC!G102)</f>
        <v>714640300.05244577</v>
      </c>
    </row>
    <row r="103" spans="2:7" x14ac:dyDescent="0.25">
      <c r="E103" s="52" t="s">
        <v>334</v>
      </c>
      <c r="F103" s="19" t="s">
        <v>335</v>
      </c>
      <c r="G103" s="23">
        <f>SUM(GREMEDA:IAC!G103)</f>
        <v>1226726</v>
      </c>
    </row>
    <row r="104" spans="2:7" x14ac:dyDescent="0.25">
      <c r="E104" s="52" t="s">
        <v>336</v>
      </c>
      <c r="F104" s="61" t="s">
        <v>337</v>
      </c>
      <c r="G104" s="20">
        <f>SUM(GREMEDA:IAC!G104)</f>
        <v>36751</v>
      </c>
    </row>
    <row r="105" spans="2:7" ht="15.75" thickBot="1" x14ac:dyDescent="0.3">
      <c r="E105" s="21"/>
      <c r="F105" s="28" t="s">
        <v>338</v>
      </c>
      <c r="G105" s="29">
        <f>SUM(GREMEDA:IAC!G105)</f>
        <v>1263477</v>
      </c>
    </row>
    <row r="106" spans="2:7" ht="13.7" customHeight="1" thickBot="1" x14ac:dyDescent="0.3">
      <c r="B106" s="6"/>
      <c r="C106" s="62"/>
      <c r="D106" s="62"/>
      <c r="E106" s="52"/>
      <c r="F106" s="48" t="s">
        <v>339</v>
      </c>
      <c r="G106" s="49">
        <f>SUM(GREMEDA:IAC!G106)</f>
        <v>34638891581.147446</v>
      </c>
    </row>
    <row r="107" spans="2:7" ht="13.7" customHeight="1" x14ac:dyDescent="0.25">
      <c r="B107" s="6"/>
      <c r="C107" s="62"/>
      <c r="D107" s="62"/>
      <c r="E107" s="21"/>
      <c r="F107" s="63"/>
      <c r="G107" s="64"/>
    </row>
    <row r="108" spans="2:7" ht="13.7" customHeight="1" thickBot="1" x14ac:dyDescent="0.3">
      <c r="B108" s="6"/>
      <c r="C108" s="62"/>
      <c r="D108" s="62"/>
      <c r="E108" s="21"/>
    </row>
    <row r="109" spans="2:7" ht="13.7" customHeight="1" thickBot="1" x14ac:dyDescent="0.3">
      <c r="B109" s="6"/>
      <c r="C109" s="62"/>
      <c r="D109" s="62"/>
      <c r="E109" s="21"/>
      <c r="F109" s="13" t="s">
        <v>340</v>
      </c>
      <c r="G109" s="65">
        <f>SUM(GREMEDA:IAC!G109)</f>
        <v>3484304722.5325575</v>
      </c>
    </row>
    <row r="110" spans="2:7" ht="13.7" customHeight="1" thickBot="1" x14ac:dyDescent="0.3">
      <c r="B110" s="6"/>
      <c r="C110" s="62"/>
      <c r="D110" s="62"/>
      <c r="E110" s="21"/>
    </row>
    <row r="111" spans="2:7" ht="13.7" customHeight="1" thickBot="1" x14ac:dyDescent="0.3">
      <c r="C111" s="48" t="s">
        <v>270</v>
      </c>
      <c r="D111" s="17">
        <v>2020</v>
      </c>
      <c r="E111" s="52"/>
      <c r="F111" s="48" t="s">
        <v>341</v>
      </c>
      <c r="G111" s="17">
        <v>2020</v>
      </c>
    </row>
    <row r="112" spans="2:7" ht="13.7" customHeight="1" x14ac:dyDescent="0.25">
      <c r="B112" s="6" t="s">
        <v>342</v>
      </c>
      <c r="C112" s="66" t="s">
        <v>343</v>
      </c>
      <c r="D112" s="67">
        <f>SUM(GREMEDA:IAC!D112)</f>
        <v>194829582.78999999</v>
      </c>
      <c r="E112" s="21" t="s">
        <v>344</v>
      </c>
      <c r="F112" s="66" t="s">
        <v>309</v>
      </c>
      <c r="G112" s="67">
        <f>SUM(GREMEDA:IAC!G112)</f>
        <v>2628911</v>
      </c>
    </row>
    <row r="113" spans="2:7" ht="13.7" customHeight="1" x14ac:dyDescent="0.25">
      <c r="B113" s="6" t="s">
        <v>345</v>
      </c>
      <c r="C113" s="68" t="s">
        <v>346</v>
      </c>
      <c r="D113" s="69">
        <f>SUM(GREMEDA:IAC!D113)</f>
        <v>1450843567.5</v>
      </c>
      <c r="E113" s="21" t="s">
        <v>347</v>
      </c>
      <c r="F113" s="68" t="s">
        <v>348</v>
      </c>
      <c r="G113" s="69">
        <f>SUM(GREMEDA:IAC!G113)</f>
        <v>0</v>
      </c>
    </row>
    <row r="114" spans="2:7" ht="13.7" customHeight="1" x14ac:dyDescent="0.25">
      <c r="B114" s="6" t="s">
        <v>349</v>
      </c>
      <c r="C114" s="68" t="s">
        <v>48</v>
      </c>
      <c r="D114" s="69">
        <f>SUM(GREMEDA:IAC!D114)</f>
        <v>92122161.019999996</v>
      </c>
      <c r="E114" s="21" t="s">
        <v>350</v>
      </c>
      <c r="F114" s="68" t="s">
        <v>351</v>
      </c>
      <c r="G114" s="69">
        <f>SUM(GREMEDA:IAC!G114)</f>
        <v>14245171.9</v>
      </c>
    </row>
    <row r="115" spans="2:7" ht="13.7" customHeight="1" x14ac:dyDescent="0.25">
      <c r="B115" s="6" t="s">
        <v>352</v>
      </c>
      <c r="C115" s="68" t="s">
        <v>353</v>
      </c>
      <c r="D115" s="69">
        <f>SUM(GREMEDA:IAC!D115)</f>
        <v>7708579.6300000008</v>
      </c>
      <c r="E115" s="21" t="s">
        <v>354</v>
      </c>
      <c r="F115" s="68" t="s">
        <v>355</v>
      </c>
      <c r="G115" s="69">
        <f>SUM(GREMEDA:IAC!G115)</f>
        <v>4083997.55</v>
      </c>
    </row>
    <row r="116" spans="2:7" ht="13.7" customHeight="1" x14ac:dyDescent="0.25">
      <c r="B116" s="6" t="s">
        <v>356</v>
      </c>
      <c r="C116" s="68" t="s">
        <v>357</v>
      </c>
      <c r="D116" s="69">
        <f>SUM(GREMEDA:IAC!D116)</f>
        <v>65084215.090000004</v>
      </c>
      <c r="E116" s="21" t="s">
        <v>358</v>
      </c>
      <c r="F116" s="68" t="s">
        <v>359</v>
      </c>
      <c r="G116" s="69">
        <f>SUM(GREMEDA:IAC!G116)</f>
        <v>78681306.339999989</v>
      </c>
    </row>
    <row r="117" spans="2:7" ht="13.7" customHeight="1" x14ac:dyDescent="0.25">
      <c r="B117" s="6" t="s">
        <v>360</v>
      </c>
      <c r="C117" s="68" t="s">
        <v>361</v>
      </c>
      <c r="D117" s="69">
        <f>SUM(GREMEDA:IAC!D117)</f>
        <v>8701504.4299999997</v>
      </c>
      <c r="E117" s="21" t="s">
        <v>362</v>
      </c>
      <c r="F117" s="68" t="s">
        <v>363</v>
      </c>
      <c r="G117" s="69">
        <f>SUM(GREMEDA:IAC!G117)</f>
        <v>10365319</v>
      </c>
    </row>
    <row r="118" spans="2:7" ht="13.7" customHeight="1" x14ac:dyDescent="0.25">
      <c r="B118" s="6" t="s">
        <v>364</v>
      </c>
      <c r="C118" s="68" t="s">
        <v>365</v>
      </c>
      <c r="D118" s="69">
        <f>SUM(GREMEDA:IAC!D118)</f>
        <v>97802</v>
      </c>
      <c r="E118" s="21" t="s">
        <v>366</v>
      </c>
      <c r="F118" s="68" t="s">
        <v>367</v>
      </c>
      <c r="G118" s="69">
        <f>SUM(GREMEDA:IAC!G118)</f>
        <v>13079329</v>
      </c>
    </row>
    <row r="119" spans="2:7" ht="13.7" customHeight="1" x14ac:dyDescent="0.25">
      <c r="B119" s="6" t="s">
        <v>368</v>
      </c>
      <c r="C119" s="68" t="s">
        <v>369</v>
      </c>
      <c r="D119" s="69">
        <f>SUM(GREMEDA:IAC!D119)</f>
        <v>15288781.869999999</v>
      </c>
      <c r="E119" s="21" t="s">
        <v>370</v>
      </c>
      <c r="F119" s="68" t="s">
        <v>371</v>
      </c>
      <c r="G119" s="69">
        <f>SUM(GREMEDA:IAC!G119)</f>
        <v>2188457</v>
      </c>
    </row>
    <row r="120" spans="2:7" ht="13.7" customHeight="1" x14ac:dyDescent="0.25">
      <c r="B120" s="6" t="s">
        <v>372</v>
      </c>
      <c r="C120" s="68" t="s">
        <v>373</v>
      </c>
      <c r="D120" s="69">
        <f>SUM(GREMEDA:IAC!D120)</f>
        <v>6402045</v>
      </c>
      <c r="E120" s="21" t="s">
        <v>374</v>
      </c>
      <c r="F120" s="68" t="s">
        <v>375</v>
      </c>
      <c r="G120" s="69">
        <f>SUM(GREMEDA:IAC!G120)</f>
        <v>0</v>
      </c>
    </row>
    <row r="121" spans="2:7" ht="13.7" customHeight="1" x14ac:dyDescent="0.25">
      <c r="B121" s="6" t="s">
        <v>376</v>
      </c>
      <c r="C121" s="19" t="s">
        <v>377</v>
      </c>
      <c r="D121" s="69">
        <f>SUM(GREMEDA:IAC!D121)</f>
        <v>84671236.210000008</v>
      </c>
      <c r="E121" s="21" t="s">
        <v>378</v>
      </c>
      <c r="F121" s="68" t="s">
        <v>379</v>
      </c>
      <c r="G121" s="69">
        <f>SUM(GREMEDA:IAC!G121)</f>
        <v>102069339.78</v>
      </c>
    </row>
    <row r="122" spans="2:7" ht="13.7" customHeight="1" thickBot="1" x14ac:dyDescent="0.3">
      <c r="B122" s="6"/>
      <c r="C122" s="28" t="s">
        <v>380</v>
      </c>
      <c r="D122" s="37">
        <f>SUM(GREMEDA:IAC!D122)</f>
        <v>1925749475.54</v>
      </c>
      <c r="E122" s="21" t="s">
        <v>381</v>
      </c>
      <c r="F122" s="19" t="s">
        <v>382</v>
      </c>
      <c r="G122" s="20">
        <f>SUM(GREMEDA:IAC!G122)</f>
        <v>13283559.16</v>
      </c>
    </row>
    <row r="123" spans="2:7" ht="13.7" customHeight="1" thickBot="1" x14ac:dyDescent="0.3">
      <c r="B123" s="6" t="s">
        <v>383</v>
      </c>
      <c r="C123" s="70" t="s">
        <v>309</v>
      </c>
      <c r="D123" s="67">
        <f>SUM(GREMEDA:IAC!D123)</f>
        <v>42874594.960000001</v>
      </c>
      <c r="E123" s="52"/>
      <c r="F123" s="28" t="s">
        <v>384</v>
      </c>
      <c r="G123" s="37">
        <f>SUM(GREMEDA:IAC!G123)</f>
        <v>240625390.72999999</v>
      </c>
    </row>
    <row r="124" spans="2:7" ht="13.7" customHeight="1" x14ac:dyDescent="0.25">
      <c r="B124" s="6" t="s">
        <v>385</v>
      </c>
      <c r="C124" s="68" t="s">
        <v>313</v>
      </c>
      <c r="D124" s="69">
        <f>SUM(GREMEDA:IAC!D124)</f>
        <v>8864515.2300000004</v>
      </c>
      <c r="E124" s="21" t="s">
        <v>386</v>
      </c>
      <c r="F124" s="68" t="s">
        <v>387</v>
      </c>
      <c r="G124" s="69">
        <f>SUM(GREMEDA:IAC!G124)</f>
        <v>52696576.219999999</v>
      </c>
    </row>
    <row r="125" spans="2:7" ht="13.7" customHeight="1" x14ac:dyDescent="0.25">
      <c r="B125" s="6" t="s">
        <v>388</v>
      </c>
      <c r="C125" s="19" t="s">
        <v>389</v>
      </c>
      <c r="D125" s="69">
        <f>SUM(GREMEDA:IAC!D125)</f>
        <v>2618874.4699999997</v>
      </c>
      <c r="E125" s="21" t="s">
        <v>390</v>
      </c>
      <c r="F125" s="68" t="s">
        <v>391</v>
      </c>
      <c r="G125" s="69">
        <f>SUM(GREMEDA:IAC!G125)</f>
        <v>6055042.3799999999</v>
      </c>
    </row>
    <row r="126" spans="2:7" ht="13.7" customHeight="1" thickBot="1" x14ac:dyDescent="0.3">
      <c r="B126" s="6"/>
      <c r="C126" s="28" t="s">
        <v>392</v>
      </c>
      <c r="D126" s="37">
        <f>SUM(GREMEDA:IAC!D126)</f>
        <v>54357984.660000004</v>
      </c>
      <c r="E126" s="21" t="s">
        <v>393</v>
      </c>
      <c r="F126" s="68" t="s">
        <v>394</v>
      </c>
      <c r="G126" s="69">
        <f>SUM(GREMEDA:IAC!G126)</f>
        <v>10379905.57</v>
      </c>
    </row>
    <row r="127" spans="2:7" ht="13.7" customHeight="1" x14ac:dyDescent="0.25">
      <c r="B127" s="6" t="s">
        <v>395</v>
      </c>
      <c r="C127" s="66" t="s">
        <v>274</v>
      </c>
      <c r="D127" s="67">
        <f>SUM(GREMEDA:IAC!D127)</f>
        <v>58232445.109999999</v>
      </c>
      <c r="E127" s="21" t="s">
        <v>396</v>
      </c>
      <c r="F127" s="68" t="s">
        <v>397</v>
      </c>
      <c r="G127" s="69">
        <f>SUM(GREMEDA:IAC!G127)</f>
        <v>0</v>
      </c>
    </row>
    <row r="128" spans="2:7" ht="13.7" customHeight="1" x14ac:dyDescent="0.25">
      <c r="B128" s="6" t="s">
        <v>398</v>
      </c>
      <c r="C128" s="68" t="s">
        <v>399</v>
      </c>
      <c r="D128" s="69">
        <f>SUM(GREMEDA:IAC!D128)</f>
        <v>43311498.43249999</v>
      </c>
      <c r="E128" s="21" t="s">
        <v>400</v>
      </c>
      <c r="F128" s="68" t="s">
        <v>401</v>
      </c>
      <c r="G128" s="69">
        <f>SUM(GREMEDA:IAC!G128)</f>
        <v>2722904</v>
      </c>
    </row>
    <row r="129" spans="2:7" ht="13.7" customHeight="1" x14ac:dyDescent="0.25">
      <c r="B129" s="6" t="s">
        <v>402</v>
      </c>
      <c r="C129" s="68" t="s">
        <v>277</v>
      </c>
      <c r="D129" s="69">
        <f>SUM(GREMEDA:IAC!D129)</f>
        <v>10602570.914999999</v>
      </c>
      <c r="E129" s="21" t="s">
        <v>403</v>
      </c>
      <c r="F129" s="68" t="s">
        <v>404</v>
      </c>
      <c r="G129" s="69">
        <f>SUM(GREMEDA:IAC!G129)</f>
        <v>21984289.419999998</v>
      </c>
    </row>
    <row r="130" spans="2:7" ht="13.7" customHeight="1" x14ac:dyDescent="0.25">
      <c r="B130" s="6" t="s">
        <v>405</v>
      </c>
      <c r="C130" s="68" t="s">
        <v>283</v>
      </c>
      <c r="D130" s="69">
        <f>SUM(GREMEDA:IAC!D130)</f>
        <v>3830799.4575</v>
      </c>
      <c r="E130" s="21" t="s">
        <v>406</v>
      </c>
      <c r="F130" s="68" t="s">
        <v>407</v>
      </c>
      <c r="G130" s="69">
        <f>SUM(GREMEDA:IAC!G130)</f>
        <v>0</v>
      </c>
    </row>
    <row r="131" spans="2:7" ht="13.7" customHeight="1" x14ac:dyDescent="0.25">
      <c r="B131" s="6" t="s">
        <v>408</v>
      </c>
      <c r="C131" s="68" t="s">
        <v>287</v>
      </c>
      <c r="D131" s="69">
        <f>SUM(GREMEDA:IAC!D131)</f>
        <v>11808911.672499999</v>
      </c>
      <c r="E131" s="21" t="s">
        <v>409</v>
      </c>
      <c r="F131" s="68" t="s">
        <v>410</v>
      </c>
      <c r="G131" s="69">
        <f>SUM(GREMEDA:IAC!G131)</f>
        <v>2341231.12</v>
      </c>
    </row>
    <row r="132" spans="2:7" ht="13.7" customHeight="1" x14ac:dyDescent="0.25">
      <c r="B132" s="6" t="s">
        <v>411</v>
      </c>
      <c r="C132" s="68" t="s">
        <v>291</v>
      </c>
      <c r="D132" s="69">
        <f>SUM(GREMEDA:IAC!D132)</f>
        <v>47114710.417499997</v>
      </c>
      <c r="E132" s="21" t="s">
        <v>412</v>
      </c>
      <c r="F132" s="68" t="s">
        <v>413</v>
      </c>
      <c r="G132" s="69">
        <f>SUM(GREMEDA:IAC!G132)</f>
        <v>17310436.93</v>
      </c>
    </row>
    <row r="133" spans="2:7" ht="13.7" customHeight="1" x14ac:dyDescent="0.25">
      <c r="B133" s="6" t="s">
        <v>414</v>
      </c>
      <c r="C133" s="68" t="s">
        <v>295</v>
      </c>
      <c r="D133" s="69">
        <f>SUM(GREMEDA:IAC!D133)</f>
        <v>9618381.1875</v>
      </c>
      <c r="E133" s="21" t="s">
        <v>415</v>
      </c>
      <c r="F133" s="68" t="s">
        <v>416</v>
      </c>
      <c r="G133" s="69">
        <f>SUM(GREMEDA:IAC!G133)</f>
        <v>36911278</v>
      </c>
    </row>
    <row r="134" spans="2:7" ht="13.7" customHeight="1" x14ac:dyDescent="0.25">
      <c r="B134" s="6" t="s">
        <v>417</v>
      </c>
      <c r="C134" s="68" t="s">
        <v>418</v>
      </c>
      <c r="D134" s="69">
        <f>SUM(GREMEDA:IAC!D134)</f>
        <v>49130596.769999996</v>
      </c>
      <c r="E134" s="21" t="s">
        <v>419</v>
      </c>
      <c r="F134" s="68" t="s">
        <v>420</v>
      </c>
      <c r="G134" s="69">
        <f>SUM(GREMEDA:IAC!G134)</f>
        <v>45016404</v>
      </c>
    </row>
    <row r="135" spans="2:7" ht="13.7" customHeight="1" x14ac:dyDescent="0.25">
      <c r="B135" s="6" t="s">
        <v>421</v>
      </c>
      <c r="C135" s="68" t="s">
        <v>422</v>
      </c>
      <c r="D135" s="69">
        <f>SUM(GREMEDA:IAC!D135)</f>
        <v>128488469.66999999</v>
      </c>
      <c r="E135" s="21" t="s">
        <v>423</v>
      </c>
      <c r="F135" s="68" t="s">
        <v>424</v>
      </c>
      <c r="G135" s="69">
        <f>SUM(GREMEDA:IAC!G135)</f>
        <v>0</v>
      </c>
    </row>
    <row r="136" spans="2:7" ht="13.7" customHeight="1" x14ac:dyDescent="0.25">
      <c r="B136" s="6" t="s">
        <v>425</v>
      </c>
      <c r="C136" s="68" t="s">
        <v>318</v>
      </c>
      <c r="D136" s="69">
        <f>SUM(GREMEDA:IAC!D136)</f>
        <v>305495320.40249997</v>
      </c>
      <c r="E136" s="21" t="s">
        <v>426</v>
      </c>
      <c r="F136" s="68" t="s">
        <v>427</v>
      </c>
      <c r="G136" s="69">
        <f>SUM(GREMEDA:IAC!G136)</f>
        <v>6077063.0899999999</v>
      </c>
    </row>
    <row r="137" spans="2:7" ht="13.7" customHeight="1" x14ac:dyDescent="0.25">
      <c r="B137" s="6" t="s">
        <v>428</v>
      </c>
      <c r="C137" s="19" t="s">
        <v>320</v>
      </c>
      <c r="D137" s="71">
        <f>SUM(GREMEDA:IAC!D137)</f>
        <v>27932441.982301012</v>
      </c>
      <c r="E137" s="21" t="s">
        <v>429</v>
      </c>
      <c r="F137" s="68" t="s">
        <v>430</v>
      </c>
      <c r="G137" s="69">
        <f>SUM(GREMEDA:IAC!G137)</f>
        <v>176888410.21000001</v>
      </c>
    </row>
    <row r="138" spans="2:7" ht="13.7" customHeight="1" thickBot="1" x14ac:dyDescent="0.3">
      <c r="B138" s="6"/>
      <c r="C138" s="28" t="s">
        <v>321</v>
      </c>
      <c r="D138" s="37">
        <f>SUM(GREMEDA:IAC!D138)</f>
        <v>695566146.01730108</v>
      </c>
      <c r="E138" s="21" t="s">
        <v>431</v>
      </c>
      <c r="F138" s="19" t="s">
        <v>432</v>
      </c>
      <c r="G138" s="20">
        <f>SUM(GREMEDA:IAC!G138)</f>
        <v>11735521.4</v>
      </c>
    </row>
    <row r="139" spans="2:7" ht="13.7" customHeight="1" thickBot="1" x14ac:dyDescent="0.3">
      <c r="B139" s="6" t="s">
        <v>433</v>
      </c>
      <c r="C139" s="66" t="s">
        <v>327</v>
      </c>
      <c r="D139" s="67">
        <f>SUM(GREMEDA:IAC!D139)</f>
        <v>243671</v>
      </c>
      <c r="E139" s="7"/>
      <c r="F139" s="28" t="s">
        <v>434</v>
      </c>
      <c r="G139" s="37">
        <f>SUM(GREMEDA:IAC!G139)</f>
        <v>390119062.34000003</v>
      </c>
    </row>
    <row r="140" spans="2:7" ht="13.7" customHeight="1" thickBot="1" x14ac:dyDescent="0.3">
      <c r="B140" s="6" t="s">
        <v>435</v>
      </c>
      <c r="C140" s="68" t="s">
        <v>329</v>
      </c>
      <c r="D140" s="69">
        <f>SUM(GREMEDA:IAC!D140)</f>
        <v>30126838.629999999</v>
      </c>
      <c r="E140" s="7"/>
      <c r="F140" s="48" t="s">
        <v>436</v>
      </c>
      <c r="G140" s="72">
        <f>SUM(GREMEDA:IAC!G140)</f>
        <v>-149493671.61000001</v>
      </c>
    </row>
    <row r="141" spans="2:7" ht="13.7" customHeight="1" x14ac:dyDescent="0.25">
      <c r="B141" s="6" t="s">
        <v>437</v>
      </c>
      <c r="C141" s="19" t="s">
        <v>331</v>
      </c>
      <c r="D141" s="71">
        <f>SUM(GREMEDA:IAC!D141)</f>
        <v>3726216</v>
      </c>
      <c r="E141" s="73"/>
    </row>
    <row r="142" spans="2:7" ht="13.7" customHeight="1" thickBot="1" x14ac:dyDescent="0.3">
      <c r="B142" s="6"/>
      <c r="C142" s="28" t="s">
        <v>332</v>
      </c>
      <c r="D142" s="37">
        <f>SUM(GREMEDA:IAC!D142)</f>
        <v>34096725.629999995</v>
      </c>
      <c r="E142" s="73"/>
    </row>
    <row r="143" spans="2:7" ht="13.7" customHeight="1" thickBot="1" x14ac:dyDescent="0.3">
      <c r="B143" s="6"/>
      <c r="C143" s="59" t="s">
        <v>438</v>
      </c>
      <c r="D143" s="74">
        <f>SUM(GREMEDA:IAC!D143)</f>
        <v>62592586.450000003</v>
      </c>
      <c r="E143" s="21"/>
      <c r="F143" s="48" t="s">
        <v>439</v>
      </c>
      <c r="G143" s="17"/>
    </row>
    <row r="144" spans="2:7" ht="13.7" customHeight="1" x14ac:dyDescent="0.25">
      <c r="B144" s="6" t="s">
        <v>440</v>
      </c>
      <c r="C144" s="66" t="s">
        <v>441</v>
      </c>
      <c r="D144" s="67">
        <f>SUM(GREMEDA:IAC!D144)</f>
        <v>23083571</v>
      </c>
      <c r="E144" s="21" t="s">
        <v>442</v>
      </c>
      <c r="F144" s="66" t="s">
        <v>443</v>
      </c>
      <c r="G144" s="67">
        <f>SUM(GREMEDA:IAC!G144)</f>
        <v>170774862.44</v>
      </c>
    </row>
    <row r="145" spans="2:7" ht="13.7" customHeight="1" x14ac:dyDescent="0.25">
      <c r="B145" s="6" t="s">
        <v>444</v>
      </c>
      <c r="C145" s="68" t="s">
        <v>445</v>
      </c>
      <c r="D145" s="69">
        <f>SUM(GREMEDA:IAC!D145)</f>
        <v>9898859</v>
      </c>
      <c r="E145" s="21" t="s">
        <v>446</v>
      </c>
      <c r="F145" s="68" t="s">
        <v>447</v>
      </c>
      <c r="G145" s="69">
        <f>SUM(GREMEDA:IAC!G145)</f>
        <v>165385372.47</v>
      </c>
    </row>
    <row r="146" spans="2:7" ht="13.7" customHeight="1" x14ac:dyDescent="0.25">
      <c r="B146" s="6" t="s">
        <v>448</v>
      </c>
      <c r="C146" s="75" t="s">
        <v>449</v>
      </c>
      <c r="D146" s="69">
        <f>SUM(GREMEDA:IAC!D146)</f>
        <v>62259</v>
      </c>
      <c r="E146" s="21" t="s">
        <v>450</v>
      </c>
      <c r="F146" s="68" t="s">
        <v>451</v>
      </c>
      <c r="G146" s="69">
        <f>SUM(GREMEDA:IAC!G146)</f>
        <v>71742414</v>
      </c>
    </row>
    <row r="147" spans="2:7" ht="13.7" customHeight="1" x14ac:dyDescent="0.25">
      <c r="B147" s="6" t="s">
        <v>452</v>
      </c>
      <c r="C147" s="19" t="s">
        <v>453</v>
      </c>
      <c r="D147" s="71">
        <f>SUM(GREMEDA:IAC!D147)</f>
        <v>1385860</v>
      </c>
      <c r="E147" s="21" t="s">
        <v>454</v>
      </c>
      <c r="F147" s="68" t="s">
        <v>455</v>
      </c>
      <c r="G147" s="69">
        <f>SUM(GREMEDA:IAC!G147)</f>
        <v>41448666</v>
      </c>
    </row>
    <row r="148" spans="2:7" ht="13.7" customHeight="1" thickBot="1" x14ac:dyDescent="0.3">
      <c r="B148" s="6"/>
      <c r="C148" s="28" t="s">
        <v>456</v>
      </c>
      <c r="D148" s="37">
        <f>SUM(GREMEDA:IAC!D148)</f>
        <v>34430549</v>
      </c>
      <c r="E148" s="21" t="s">
        <v>457</v>
      </c>
      <c r="F148" s="68" t="s">
        <v>458</v>
      </c>
      <c r="G148" s="69">
        <f>SUM(GREMEDA:IAC!G148)</f>
        <v>0</v>
      </c>
    </row>
    <row r="149" spans="2:7" ht="13.7" customHeight="1" x14ac:dyDescent="0.25">
      <c r="B149" s="6" t="s">
        <v>459</v>
      </c>
      <c r="C149" s="66" t="s">
        <v>460</v>
      </c>
      <c r="D149" s="67">
        <f>SUM(GREMEDA:IAC!D149)</f>
        <v>12016276.630000001</v>
      </c>
      <c r="E149" s="21" t="s">
        <v>461</v>
      </c>
      <c r="F149" s="68" t="s">
        <v>462</v>
      </c>
      <c r="G149" s="69">
        <f>SUM(GREMEDA:IAC!G149)</f>
        <v>0</v>
      </c>
    </row>
    <row r="150" spans="2:7" ht="13.7" customHeight="1" x14ac:dyDescent="0.25">
      <c r="B150" s="6" t="s">
        <v>463</v>
      </c>
      <c r="C150" s="68" t="s">
        <v>464</v>
      </c>
      <c r="D150" s="69">
        <f>SUM(GREMEDA:IAC!D150)</f>
        <v>7452233</v>
      </c>
      <c r="E150" s="21" t="s">
        <v>465</v>
      </c>
      <c r="F150" s="68" t="s">
        <v>466</v>
      </c>
      <c r="G150" s="69">
        <f>SUM(GREMEDA:IAC!G150)</f>
        <v>68173</v>
      </c>
    </row>
    <row r="151" spans="2:7" ht="13.7" customHeight="1" x14ac:dyDescent="0.25">
      <c r="B151" s="6" t="s">
        <v>467</v>
      </c>
      <c r="C151" s="19" t="s">
        <v>468</v>
      </c>
      <c r="D151" s="71">
        <f>SUM(GREMEDA:IAC!D151)</f>
        <v>908231</v>
      </c>
      <c r="E151" s="21" t="s">
        <v>469</v>
      </c>
      <c r="F151" s="68" t="s">
        <v>470</v>
      </c>
      <c r="G151" s="69">
        <f>SUM(GREMEDA:IAC!G151)</f>
        <v>262645508.52454445</v>
      </c>
    </row>
    <row r="152" spans="2:7" ht="13.7" customHeight="1" thickBot="1" x14ac:dyDescent="0.3">
      <c r="B152" s="6"/>
      <c r="C152" s="28" t="s">
        <v>471</v>
      </c>
      <c r="D152" s="37">
        <f>SUM(GREMEDA:IAC!D152)</f>
        <v>20376740.629999999</v>
      </c>
      <c r="E152" s="21" t="s">
        <v>472</v>
      </c>
      <c r="F152" s="68" t="s">
        <v>473</v>
      </c>
      <c r="G152" s="69">
        <f>SUM(GREMEDA:IAC!G152)</f>
        <v>36260639</v>
      </c>
    </row>
    <row r="153" spans="2:7" ht="13.7" customHeight="1" thickBot="1" x14ac:dyDescent="0.3">
      <c r="B153" s="6"/>
      <c r="C153" s="48" t="s">
        <v>474</v>
      </c>
      <c r="D153" s="76">
        <f>SUM(GREMEDA:IAC!D153)</f>
        <v>2827170207.9273009</v>
      </c>
      <c r="E153" s="21" t="s">
        <v>475</v>
      </c>
      <c r="F153" s="19" t="s">
        <v>476</v>
      </c>
      <c r="G153" s="20">
        <f>SUM(GREMEDA:IAC!G153)</f>
        <v>13130180</v>
      </c>
    </row>
    <row r="154" spans="2:7" ht="13.7" customHeight="1" thickBot="1" x14ac:dyDescent="0.3">
      <c r="B154" s="6"/>
      <c r="E154" s="21"/>
      <c r="F154" s="28" t="s">
        <v>477</v>
      </c>
      <c r="G154" s="37">
        <f>SUM(GREMEDA:IAC!G154)</f>
        <v>761455815.43454444</v>
      </c>
    </row>
    <row r="155" spans="2:7" ht="13.7" customHeight="1" thickBot="1" x14ac:dyDescent="0.3">
      <c r="B155" s="6"/>
      <c r="C155" s="77" t="s">
        <v>478</v>
      </c>
      <c r="D155" s="65">
        <f>SUM(GREMEDA:IAC!D155)</f>
        <v>657134514.60525632</v>
      </c>
      <c r="E155" s="21" t="s">
        <v>479</v>
      </c>
      <c r="F155" s="66" t="s">
        <v>480</v>
      </c>
      <c r="G155" s="67">
        <f>SUM(GREMEDA:IAC!G155)</f>
        <v>115871774.75</v>
      </c>
    </row>
    <row r="156" spans="2:7" ht="13.7" customHeight="1" x14ac:dyDescent="0.25">
      <c r="E156" s="21" t="s">
        <v>481</v>
      </c>
      <c r="F156" s="68" t="s">
        <v>482</v>
      </c>
      <c r="G156" s="69">
        <f>SUM(GREMEDA:IAC!G156)</f>
        <v>166318231.59</v>
      </c>
    </row>
    <row r="157" spans="2:7" ht="13.7" customHeight="1" x14ac:dyDescent="0.25">
      <c r="E157" s="21" t="s">
        <v>483</v>
      </c>
      <c r="F157" s="68" t="s">
        <v>484</v>
      </c>
      <c r="G157" s="69">
        <f>SUM(GREMEDA:IAC!G157)</f>
        <v>15199632</v>
      </c>
    </row>
    <row r="158" spans="2:7" ht="13.7" customHeight="1" x14ac:dyDescent="0.25">
      <c r="E158" s="21" t="s">
        <v>485</v>
      </c>
      <c r="F158" s="68" t="s">
        <v>486</v>
      </c>
      <c r="G158" s="69">
        <f>SUM(GREMEDA:IAC!G158)</f>
        <v>15234739</v>
      </c>
    </row>
    <row r="159" spans="2:7" ht="13.7" customHeight="1" x14ac:dyDescent="0.25">
      <c r="E159" s="21" t="s">
        <v>487</v>
      </c>
      <c r="F159" s="68" t="s">
        <v>488</v>
      </c>
      <c r="G159" s="69">
        <f>SUM(GREMEDA:IAC!G159)</f>
        <v>2209577.04</v>
      </c>
    </row>
    <row r="160" spans="2:7" ht="13.7" customHeight="1" x14ac:dyDescent="0.25">
      <c r="E160" s="21" t="s">
        <v>489</v>
      </c>
      <c r="F160" s="68" t="s">
        <v>490</v>
      </c>
      <c r="G160" s="69">
        <f>SUM(GREMEDA:IAC!G160)</f>
        <v>1357975</v>
      </c>
    </row>
    <row r="161" spans="5:7" ht="13.7" customHeight="1" x14ac:dyDescent="0.25">
      <c r="E161" s="21" t="s">
        <v>491</v>
      </c>
      <c r="F161" s="68" t="s">
        <v>492</v>
      </c>
      <c r="G161" s="69">
        <f>SUM(GREMEDA:IAC!G161)</f>
        <v>22799866.23</v>
      </c>
    </row>
    <row r="162" spans="5:7" ht="13.7" customHeight="1" x14ac:dyDescent="0.25">
      <c r="E162" s="21" t="s">
        <v>493</v>
      </c>
      <c r="F162" s="68" t="s">
        <v>494</v>
      </c>
      <c r="G162" s="69">
        <f>SUM(GREMEDA:IAC!G162)</f>
        <v>0</v>
      </c>
    </row>
    <row r="163" spans="5:7" ht="13.7" customHeight="1" x14ac:dyDescent="0.25">
      <c r="E163" s="21" t="s">
        <v>495</v>
      </c>
      <c r="F163" s="68" t="s">
        <v>496</v>
      </c>
      <c r="G163" s="69">
        <f>SUM(GREMEDA:IAC!G163)</f>
        <v>0</v>
      </c>
    </row>
    <row r="164" spans="5:7" ht="13.7" customHeight="1" x14ac:dyDescent="0.25">
      <c r="E164" s="21" t="s">
        <v>497</v>
      </c>
      <c r="F164" s="68" t="s">
        <v>498</v>
      </c>
      <c r="G164" s="69">
        <f>SUM(GREMEDA:IAC!G164)</f>
        <v>9592829.4900000002</v>
      </c>
    </row>
    <row r="165" spans="5:7" ht="13.7" customHeight="1" x14ac:dyDescent="0.25">
      <c r="E165" s="21" t="s">
        <v>499</v>
      </c>
      <c r="F165" s="68" t="s">
        <v>500</v>
      </c>
      <c r="G165" s="69">
        <f>SUM(GREMEDA:IAC!G165)</f>
        <v>154209612</v>
      </c>
    </row>
    <row r="166" spans="5:7" ht="13.7" customHeight="1" x14ac:dyDescent="0.25">
      <c r="E166" s="21" t="s">
        <v>501</v>
      </c>
      <c r="F166" s="68" t="s">
        <v>502</v>
      </c>
      <c r="G166" s="69">
        <f>SUM(GREMEDA:IAC!G166)</f>
        <v>38960653.219999999</v>
      </c>
    </row>
    <row r="167" spans="5:7" ht="13.7" customHeight="1" x14ac:dyDescent="0.25">
      <c r="E167" s="21" t="s">
        <v>503</v>
      </c>
      <c r="F167" s="19" t="s">
        <v>504</v>
      </c>
      <c r="G167" s="20">
        <f>SUM(GREMEDA:IAC!G167)</f>
        <v>11439046.060000001</v>
      </c>
    </row>
    <row r="168" spans="5:7" ht="13.7" customHeight="1" thickBot="1" x14ac:dyDescent="0.3">
      <c r="E168" s="21"/>
      <c r="F168" s="28" t="s">
        <v>505</v>
      </c>
      <c r="G168" s="37">
        <f>SUM(GREMEDA:IAC!G168)</f>
        <v>553193936.38</v>
      </c>
    </row>
    <row r="169" spans="5:7" ht="13.7" customHeight="1" thickBot="1" x14ac:dyDescent="0.3">
      <c r="E169" s="21"/>
      <c r="F169" s="48" t="s">
        <v>506</v>
      </c>
      <c r="G169" s="72">
        <f>SUM(GREMEDA:IAC!G169)</f>
        <v>208261879.05454448</v>
      </c>
    </row>
    <row r="170" spans="5:7" ht="13.7" customHeight="1" thickBot="1" x14ac:dyDescent="0.3">
      <c r="E170" s="21"/>
      <c r="F170" s="78"/>
      <c r="G170" s="78"/>
    </row>
    <row r="171" spans="5:7" ht="13.7" customHeight="1" thickBot="1" x14ac:dyDescent="0.3">
      <c r="E171" s="21"/>
      <c r="F171" s="77" t="s">
        <v>507</v>
      </c>
      <c r="G171" s="79"/>
    </row>
    <row r="172" spans="5:7" ht="13.7" customHeight="1" thickBot="1" x14ac:dyDescent="0.3">
      <c r="E172" s="21"/>
      <c r="F172" s="80"/>
      <c r="G172" s="81">
        <f>SUM(GREMEDA:IAC!G172)</f>
        <v>715902722.04980075</v>
      </c>
    </row>
    <row r="173" spans="5:7" ht="13.7" customHeight="1" thickBot="1" x14ac:dyDescent="0.3">
      <c r="E173" s="21"/>
      <c r="F173" s="5"/>
      <c r="G173" s="5"/>
    </row>
    <row r="174" spans="5:7" ht="13.7" customHeight="1" thickBot="1" x14ac:dyDescent="0.3">
      <c r="E174" s="21"/>
      <c r="F174" s="48" t="s">
        <v>508</v>
      </c>
      <c r="G174" s="17"/>
    </row>
    <row r="175" spans="5:7" ht="13.7" customHeight="1" x14ac:dyDescent="0.25">
      <c r="E175" s="21"/>
      <c r="F175" s="66" t="s">
        <v>509</v>
      </c>
      <c r="G175" s="67">
        <f>SUM(GREMEDA:IAC!G175)</f>
        <v>71772161</v>
      </c>
    </row>
    <row r="176" spans="5:7" ht="13.7" customHeight="1" x14ac:dyDescent="0.25">
      <c r="E176" s="21"/>
      <c r="F176" s="68" t="s">
        <v>510</v>
      </c>
      <c r="G176" s="69">
        <f>SUM(GREMEDA:IAC!G176)</f>
        <v>8253605</v>
      </c>
    </row>
    <row r="177" spans="1:8" ht="13.7" customHeight="1" thickBot="1" x14ac:dyDescent="0.3">
      <c r="F177" s="68" t="s">
        <v>511</v>
      </c>
      <c r="G177" s="69">
        <f>SUM(GREMEDA:IAC!G177)</f>
        <v>135578060.32677099</v>
      </c>
    </row>
    <row r="178" spans="1:8" ht="13.7" customHeight="1" thickBot="1" x14ac:dyDescent="0.3">
      <c r="F178" s="48" t="s">
        <v>512</v>
      </c>
      <c r="G178" s="72">
        <f>SUM(GREMEDA:IAC!G178)</f>
        <v>215603826.32677099</v>
      </c>
    </row>
    <row r="179" spans="1:8" ht="13.7" customHeight="1" thickBot="1" x14ac:dyDescent="0.3"/>
    <row r="180" spans="1:8" ht="13.7" customHeight="1" thickBot="1" x14ac:dyDescent="0.3">
      <c r="F180" s="77" t="s">
        <v>513</v>
      </c>
      <c r="G180" s="79"/>
    </row>
    <row r="181" spans="1:8" ht="13.7" customHeight="1" thickBot="1" x14ac:dyDescent="0.3">
      <c r="F181" s="83"/>
      <c r="G181" s="81">
        <f>SUM(GREMEDA:IAC!G181)</f>
        <v>931506548.37657166</v>
      </c>
    </row>
    <row r="182" spans="1:8" ht="13.7" customHeight="1" x14ac:dyDescent="0.25"/>
    <row r="183" spans="1:8" ht="13.5" customHeight="1" x14ac:dyDescent="0.25"/>
    <row r="184" spans="1:8" ht="13.7" customHeight="1" x14ac:dyDescent="0.25">
      <c r="E184" s="84"/>
      <c r="F184" s="84"/>
      <c r="G184" s="84"/>
      <c r="H184" s="84"/>
    </row>
    <row r="185" spans="1:8" s="84" customFormat="1" ht="13.7" customHeight="1" x14ac:dyDescent="0.25">
      <c r="A185" s="85"/>
      <c r="E185" s="82"/>
      <c r="F185" s="86"/>
      <c r="G185" s="86"/>
    </row>
    <row r="186" spans="1:8" s="84" customFormat="1" ht="12.75" x14ac:dyDescent="0.25">
      <c r="A186" s="85"/>
      <c r="E186" s="82"/>
      <c r="F186" s="86"/>
      <c r="G186" s="86"/>
    </row>
    <row r="187" spans="1:8" s="84" customFormat="1" ht="12.75" hidden="1" x14ac:dyDescent="0.25">
      <c r="A187" s="85"/>
      <c r="E187" s="82"/>
      <c r="F187" s="86"/>
      <c r="G187" s="86"/>
    </row>
    <row r="188" spans="1:8" s="84" customFormat="1" ht="12.75" hidden="1" x14ac:dyDescent="0.25">
      <c r="A188" s="85"/>
      <c r="E188" s="82"/>
      <c r="F188" s="86"/>
      <c r="G188" s="86"/>
    </row>
    <row r="189" spans="1:8" s="84" customFormat="1" ht="12.75" hidden="1" x14ac:dyDescent="0.25">
      <c r="A189" s="85"/>
      <c r="E189" s="82"/>
      <c r="F189" s="86"/>
      <c r="G189" s="86"/>
    </row>
    <row r="190" spans="1:8" s="84" customFormat="1" ht="12.75" hidden="1" x14ac:dyDescent="0.25">
      <c r="A190" s="85"/>
      <c r="E190" s="82"/>
      <c r="F190" s="86"/>
      <c r="G190" s="86"/>
    </row>
    <row r="191" spans="1:8" s="84" customFormat="1" ht="12.75" hidden="1" x14ac:dyDescent="0.25">
      <c r="A191" s="85"/>
      <c r="E191" s="82"/>
      <c r="F191" s="86"/>
      <c r="G191" s="86"/>
    </row>
    <row r="192" spans="1:8" s="84" customFormat="1" ht="12.75" hidden="1" x14ac:dyDescent="0.25">
      <c r="A192" s="85"/>
      <c r="E192" s="82"/>
      <c r="F192" s="86"/>
      <c r="G192" s="86"/>
    </row>
    <row r="193" spans="5:7" s="84" customFormat="1" ht="12.75" hidden="1" x14ac:dyDescent="0.25">
      <c r="E193" s="82"/>
      <c r="F193" s="86"/>
      <c r="G193" s="86"/>
    </row>
    <row r="194" spans="5:7" s="84" customFormat="1" ht="12.75" hidden="1" x14ac:dyDescent="0.25">
      <c r="E194" s="82"/>
      <c r="F194" s="86"/>
      <c r="G194" s="86"/>
    </row>
    <row r="195" spans="5:7" s="84" customFormat="1" ht="12.75" hidden="1" x14ac:dyDescent="0.25">
      <c r="E195" s="82"/>
      <c r="F195" s="86"/>
      <c r="G195" s="86"/>
    </row>
    <row r="196" spans="5:7" s="84" customFormat="1" ht="12.75" hidden="1" x14ac:dyDescent="0.25">
      <c r="E196" s="82"/>
      <c r="F196" s="86"/>
      <c r="G196" s="86"/>
    </row>
    <row r="197" spans="5:7" s="84" customFormat="1" ht="12.75" hidden="1" x14ac:dyDescent="0.25">
      <c r="E197" s="82"/>
      <c r="F197" s="86"/>
      <c r="G197" s="86"/>
    </row>
    <row r="198" spans="5:7" s="84" customFormat="1" ht="12.75" hidden="1" x14ac:dyDescent="0.25">
      <c r="E198" s="82"/>
      <c r="F198" s="86"/>
      <c r="G198" s="86"/>
    </row>
    <row r="199" spans="5:7" s="84" customFormat="1" ht="12.75" hidden="1" x14ac:dyDescent="0.25">
      <c r="E199" s="82"/>
      <c r="F199" s="86"/>
      <c r="G199" s="86"/>
    </row>
    <row r="200" spans="5:7" s="84" customFormat="1" ht="12.75" hidden="1" x14ac:dyDescent="0.25">
      <c r="E200" s="82"/>
      <c r="F200" s="86"/>
      <c r="G200" s="86"/>
    </row>
    <row r="201" spans="5:7" s="84" customFormat="1" ht="12.75" hidden="1" x14ac:dyDescent="0.25">
      <c r="E201" s="82"/>
      <c r="F201" s="86"/>
      <c r="G201" s="86"/>
    </row>
    <row r="202" spans="5:7" s="84" customFormat="1" ht="12.75" hidden="1" x14ac:dyDescent="0.25">
      <c r="E202" s="82"/>
      <c r="F202" s="86"/>
      <c r="G202" s="86"/>
    </row>
    <row r="203" spans="5:7" s="84" customFormat="1" ht="12.75" hidden="1" x14ac:dyDescent="0.25">
      <c r="E203" s="82"/>
      <c r="F203" s="86"/>
      <c r="G203" s="86"/>
    </row>
    <row r="204" spans="5:7" s="84" customFormat="1" ht="12.75" hidden="1" x14ac:dyDescent="0.25">
      <c r="E204" s="82"/>
      <c r="F204" s="86"/>
      <c r="G204" s="86"/>
    </row>
    <row r="205" spans="5:7" s="84" customFormat="1" ht="12.75" hidden="1" x14ac:dyDescent="0.25">
      <c r="E205" s="82"/>
      <c r="F205" s="86"/>
      <c r="G205" s="86"/>
    </row>
    <row r="206" spans="5:7" s="84" customFormat="1" ht="12.75" hidden="1" x14ac:dyDescent="0.25">
      <c r="E206" s="82"/>
      <c r="F206" s="86"/>
      <c r="G206" s="86"/>
    </row>
    <row r="207" spans="5:7" s="84" customFormat="1" ht="12.75" hidden="1" x14ac:dyDescent="0.25">
      <c r="E207" s="82"/>
      <c r="F207" s="86"/>
      <c r="G207" s="86"/>
    </row>
    <row r="208" spans="5:7" s="84" customFormat="1" ht="12.75" hidden="1" x14ac:dyDescent="0.25">
      <c r="E208" s="82"/>
      <c r="F208" s="86"/>
      <c r="G208" s="86"/>
    </row>
    <row r="209" spans="3:8" s="84" customFormat="1" ht="12.75" hidden="1" x14ac:dyDescent="0.25">
      <c r="E209" s="82"/>
      <c r="F209" s="86"/>
      <c r="G209" s="86"/>
    </row>
    <row r="210" spans="3:8" s="84" customFormat="1" ht="12.75" hidden="1" x14ac:dyDescent="0.25">
      <c r="E210" s="82"/>
      <c r="F210" s="86"/>
      <c r="G210" s="86"/>
    </row>
    <row r="211" spans="3:8" s="84" customFormat="1" ht="12.75" hidden="1" x14ac:dyDescent="0.25">
      <c r="E211" s="82"/>
      <c r="F211" s="86"/>
      <c r="G211" s="86"/>
    </row>
    <row r="212" spans="3:8" s="84" customFormat="1" ht="12.75" hidden="1" x14ac:dyDescent="0.25">
      <c r="E212" s="82"/>
      <c r="F212" s="86"/>
      <c r="G212" s="86"/>
    </row>
    <row r="213" spans="3:8" s="84" customFormat="1" ht="12.75" hidden="1" x14ac:dyDescent="0.25">
      <c r="E213" s="82"/>
      <c r="F213" s="86"/>
      <c r="G213" s="86"/>
    </row>
    <row r="214" spans="3:8" s="84" customFormat="1" hidden="1" x14ac:dyDescent="0.25">
      <c r="E214" s="82"/>
      <c r="F214" s="87"/>
      <c r="G214" s="58"/>
      <c r="H214" s="5"/>
    </row>
    <row r="215" spans="3:8" hidden="1" x14ac:dyDescent="0.25">
      <c r="C215" s="86"/>
      <c r="D215" s="86"/>
      <c r="F215" s="87"/>
    </row>
    <row r="216" spans="3:8" hidden="1" x14ac:dyDescent="0.25"/>
    <row r="217" spans="3:8" hidden="1" x14ac:dyDescent="0.25"/>
    <row r="218" spans="3:8" hidden="1" x14ac:dyDescent="0.25"/>
    <row r="219" spans="3:8" hidden="1" x14ac:dyDescent="0.25"/>
    <row r="220" spans="3:8" hidden="1" x14ac:dyDescent="0.25"/>
    <row r="221" spans="3:8" hidden="1" x14ac:dyDescent="0.25"/>
    <row r="222" spans="3:8" hidden="1" x14ac:dyDescent="0.25"/>
    <row r="223" spans="3:8" hidden="1" x14ac:dyDescent="0.25"/>
    <row r="224" spans="3:8"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sheetData>
  <mergeCells count="6">
    <mergeCell ref="C1:D1"/>
    <mergeCell ref="E1:F1"/>
    <mergeCell ref="C2:D2"/>
    <mergeCell ref="E2:F2"/>
    <mergeCell ref="C3:D3"/>
    <mergeCell ref="E3:F3"/>
  </mergeCells>
  <conditionalFormatting sqref="D7:D12">
    <cfRule type="cellIs" dxfId="7" priority="2" stopIfTrue="1" operator="greaterThan">
      <formula>50</formula>
    </cfRule>
    <cfRule type="cellIs" dxfId="6" priority="11" stopIfTrue="1" operator="equal">
      <formula>0</formula>
    </cfRule>
  </conditionalFormatting>
  <conditionalFormatting sqref="D7:D61">
    <cfRule type="cellIs" dxfId="5" priority="9" stopIfTrue="1" operator="between">
      <formula>-0.1</formula>
      <formula>-50</formula>
    </cfRule>
    <cfRule type="cellIs" dxfId="4" priority="10" stopIfTrue="1" operator="between">
      <formula>0.1</formula>
      <formula>50</formula>
    </cfRule>
  </conditionalFormatting>
  <conditionalFormatting sqref="G152:G164 G7:G150 G166:G181">
    <cfRule type="cellIs" dxfId="3" priority="7" stopIfTrue="1" operator="between">
      <formula>-0.1</formula>
      <formula>-50</formula>
    </cfRule>
    <cfRule type="cellIs" dxfId="2" priority="8" stopIfTrue="1" operator="between">
      <formula>0.1</formula>
      <formula>50</formula>
    </cfRule>
  </conditionalFormatting>
  <conditionalFormatting sqref="D111:D155">
    <cfRule type="cellIs" dxfId="1" priority="5" stopIfTrue="1" operator="between">
      <formula>-0.1</formula>
      <formula>-50</formula>
    </cfRule>
    <cfRule type="cellIs" dxfId="0" priority="6" stopIfTrue="1" operator="between">
      <formula>0.1</formula>
      <formula>50</formula>
    </cfRule>
  </conditionalFormatting>
  <dataValidations count="5">
    <dataValidation type="whole" operator="greaterThan" showInputMessage="1" showErrorMessage="1" errorTitle="eee" error="Valores mayores a $50" sqref="D7:D155 G7:G181">
      <formula1>50</formula1>
    </dataValidation>
    <dataValidation type="whole" allowBlank="1" showErrorMessage="1" errorTitle="Error de datos" error="Debe ingresar un valor entre 1 y 12" sqref="G1:G3">
      <formula1>1</formula1>
      <formula2>12</formula2>
    </dataValidation>
    <dataValidation allowBlank="1" errorTitle="Error de datos" error="Debe introducir una fecha válida" sqref="E3"/>
    <dataValidation allowBlank="1" sqref="G204"/>
    <dataValidation operator="greaterThanOrEqual" allowBlank="1" errorTitle="Error de datos" error="Debe ingresar un valor entero positivo" sqref="F6:F107 F203 C13:C47 C106:C153 F171 F174:F178 F180 F111:F119 C7:C10 F121:F140 F143:F169 C49:C62 C155 F109"/>
  </dataValidations>
  <pageMargins left="0.7" right="0.7" top="0.75" bottom="0.75" header="0.3" footer="0.3"/>
  <ignoredErrors>
    <ignoredError sqref="D7:D19 D22:D28 D30:D34 D36:D46 D49:D51 D56:D59 D112:D121 D123:D125 D127:D137 D139:D141 D144:D147 D149:D151 G175:G177 G155:G167 G144:G153 G124:G138 G112:G122 G103:G104 G96:G100 G80:G94 G58:G78 G49:G56 G41:G47 G34:G39 G28:G31 G20:G26 G7:G18" unlockedFormula="1"/>
    <ignoredError sqref="E7:E181" numberStoredAsText="1"/>
  </ignoredErrors>
  <legacyDrawing r:id="rId1"/>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26"/>
  <sheetViews>
    <sheetView showGridLines="0" workbookViewId="0">
      <selection activeCell="F4" sqref="F4"/>
    </sheetView>
  </sheetViews>
  <sheetFormatPr baseColWidth="10" defaultColWidth="0" defaultRowHeight="15" zeroHeight="1" x14ac:dyDescent="0.25"/>
  <cols>
    <col min="1" max="1" width="3.7109375" style="1" customWidth="1"/>
    <col min="2" max="2" width="14.28515625" style="7" hidden="1" customWidth="1"/>
    <col min="3" max="3" width="58.85546875" style="58" customWidth="1"/>
    <col min="4" max="4" width="25.140625" style="58" customWidth="1"/>
    <col min="5" max="5" width="5.85546875" style="82" customWidth="1"/>
    <col min="6" max="6" width="57.28515625" style="58" customWidth="1"/>
    <col min="7" max="7" width="24.7109375" style="58" customWidth="1"/>
    <col min="8" max="8" width="5.42578125" style="5" customWidth="1"/>
    <col min="9" max="16384" width="0" style="5" hidden="1"/>
  </cols>
  <sheetData>
    <row r="1" spans="1:9" ht="15.75" x14ac:dyDescent="0.25">
      <c r="B1" s="2"/>
      <c r="C1" s="313" t="s">
        <v>0</v>
      </c>
      <c r="D1" s="314"/>
      <c r="E1" s="315" t="s">
        <v>519</v>
      </c>
      <c r="F1" s="315"/>
      <c r="G1" s="3"/>
      <c r="H1" s="4"/>
    </row>
    <row r="2" spans="1:9" ht="15.75" x14ac:dyDescent="0.25">
      <c r="B2" s="6"/>
      <c r="C2" s="313" t="s">
        <v>1</v>
      </c>
      <c r="D2" s="314"/>
      <c r="E2" s="315" t="s">
        <v>519</v>
      </c>
      <c r="F2" s="315"/>
      <c r="G2" s="3"/>
      <c r="H2" s="4"/>
    </row>
    <row r="3" spans="1:9" ht="15.75" x14ac:dyDescent="0.25">
      <c r="B3" s="6"/>
      <c r="C3" s="313" t="s">
        <v>2</v>
      </c>
      <c r="D3" s="316"/>
      <c r="E3" s="317" t="s">
        <v>3</v>
      </c>
      <c r="F3" s="317"/>
      <c r="G3" s="3"/>
      <c r="H3" s="4"/>
    </row>
    <row r="4" spans="1:9" ht="15.75" thickBot="1" x14ac:dyDescent="0.3">
      <c r="C4" s="287"/>
      <c r="D4" s="8"/>
      <c r="E4" s="9"/>
      <c r="F4" s="10"/>
      <c r="G4" s="11"/>
    </row>
    <row r="5" spans="1:9" ht="16.5" thickBot="1" x14ac:dyDescent="0.3">
      <c r="B5" s="12"/>
      <c r="C5" s="13" t="s">
        <v>4</v>
      </c>
      <c r="D5" s="284" t="s">
        <v>5</v>
      </c>
      <c r="E5" s="14"/>
      <c r="F5" s="13" t="s">
        <v>6</v>
      </c>
      <c r="G5" s="284" t="s">
        <v>5</v>
      </c>
      <c r="I5" s="15"/>
    </row>
    <row r="6" spans="1:9" ht="16.5" thickBot="1" x14ac:dyDescent="0.3">
      <c r="B6" s="12"/>
      <c r="C6" s="16" t="s">
        <v>7</v>
      </c>
      <c r="D6" s="290">
        <f>+[9]E.S.P.!D6</f>
        <v>2020</v>
      </c>
      <c r="E6" s="18"/>
      <c r="F6" s="16" t="s">
        <v>8</v>
      </c>
      <c r="G6" s="290">
        <f>+D6</f>
        <v>2020</v>
      </c>
      <c r="H6" s="15"/>
    </row>
    <row r="7" spans="1:9" x14ac:dyDescent="0.25">
      <c r="B7" s="6" t="s">
        <v>9</v>
      </c>
      <c r="C7" s="19" t="s">
        <v>10</v>
      </c>
      <c r="D7" s="20">
        <f>SUM(ASOC.ESPAÑOLA:IAC!D7)</f>
        <v>1825763314.6599998</v>
      </c>
      <c r="E7" s="21" t="s">
        <v>11</v>
      </c>
      <c r="F7" s="22" t="s">
        <v>12</v>
      </c>
      <c r="G7" s="23">
        <f>SUM(ASOC.ESPAÑOLA:IAC!G7)</f>
        <v>471393792.20351738</v>
      </c>
    </row>
    <row r="8" spans="1:9" x14ac:dyDescent="0.25">
      <c r="B8" s="6" t="s">
        <v>13</v>
      </c>
      <c r="C8" s="19" t="s">
        <v>14</v>
      </c>
      <c r="D8" s="20">
        <f>SUM(ASOC.ESPAÑOLA:IAC!D8)</f>
        <v>1933120957.72</v>
      </c>
      <c r="E8" s="21" t="s">
        <v>15</v>
      </c>
      <c r="F8" s="19" t="s">
        <v>16</v>
      </c>
      <c r="G8" s="24">
        <f>SUM(ASOC.ESPAÑOLA:IAC!G8)</f>
        <v>3478405251.7436662</v>
      </c>
    </row>
    <row r="9" spans="1:9" x14ac:dyDescent="0.25">
      <c r="B9" s="6" t="s">
        <v>17</v>
      </c>
      <c r="C9" s="19" t="s">
        <v>18</v>
      </c>
      <c r="D9" s="20">
        <f>SUM(ASOC.ESPAÑOLA:IAC!D9)</f>
        <v>61161428330.730003</v>
      </c>
      <c r="E9" s="21" t="s">
        <v>19</v>
      </c>
      <c r="F9" s="19" t="s">
        <v>20</v>
      </c>
      <c r="G9" s="20">
        <f>SUM(ASOC.ESPAÑOLA:IAC!G9)</f>
        <v>2367413856.1562977</v>
      </c>
    </row>
    <row r="10" spans="1:9" x14ac:dyDescent="0.25">
      <c r="B10" s="6" t="s">
        <v>21</v>
      </c>
      <c r="C10" s="19" t="s">
        <v>22</v>
      </c>
      <c r="D10" s="20">
        <f>SUM(ASOC.ESPAÑOLA:IAC!D10)</f>
        <v>6086090926.25</v>
      </c>
      <c r="E10" s="21" t="s">
        <v>23</v>
      </c>
      <c r="F10" s="19" t="s">
        <v>24</v>
      </c>
      <c r="G10" s="20">
        <f>SUM(ASOC.ESPAÑOLA:IAC!G10)</f>
        <v>10583072147.592152</v>
      </c>
    </row>
    <row r="11" spans="1:9" x14ac:dyDescent="0.25">
      <c r="B11" s="6" t="s">
        <v>25</v>
      </c>
      <c r="C11" s="19" t="s">
        <v>26</v>
      </c>
      <c r="D11" s="20">
        <f>SUM(ASOC.ESPAÑOLA:IAC!D11)</f>
        <v>1249621653</v>
      </c>
      <c r="E11" s="21" t="s">
        <v>27</v>
      </c>
      <c r="F11" s="19" t="s">
        <v>28</v>
      </c>
      <c r="G11" s="20">
        <f>SUM(ASOC.ESPAÑOLA:IAC!G11)</f>
        <v>5480289203.1391888</v>
      </c>
    </row>
    <row r="12" spans="1:9" x14ac:dyDescent="0.25">
      <c r="B12" s="6" t="s">
        <v>29</v>
      </c>
      <c r="C12" s="19" t="s">
        <v>30</v>
      </c>
      <c r="D12" s="20">
        <f>SUM(ASOC.ESPAÑOLA:IAC!D12)</f>
        <v>1529090655.48</v>
      </c>
      <c r="E12" s="21" t="s">
        <v>31</v>
      </c>
      <c r="F12" s="19" t="s">
        <v>32</v>
      </c>
      <c r="G12" s="20">
        <f>SUM(ASOC.ESPAÑOLA:IAC!G12)</f>
        <v>4274735758.1880345</v>
      </c>
    </row>
    <row r="13" spans="1:9" x14ac:dyDescent="0.25">
      <c r="B13" s="6" t="s">
        <v>33</v>
      </c>
      <c r="C13" s="19" t="s">
        <v>34</v>
      </c>
      <c r="D13" s="20">
        <f>SUM(ASOC.ESPAÑOLA:IAC!D13)</f>
        <v>67612962.25999999</v>
      </c>
      <c r="E13" s="21" t="s">
        <v>35</v>
      </c>
      <c r="F13" s="19" t="s">
        <v>36</v>
      </c>
      <c r="G13" s="20">
        <f>SUM(ASOC.ESPAÑOLA:IAC!G13)</f>
        <v>1028449205.1547302</v>
      </c>
    </row>
    <row r="14" spans="1:9" x14ac:dyDescent="0.25">
      <c r="A14" s="25"/>
      <c r="B14" s="6" t="s">
        <v>37</v>
      </c>
      <c r="C14" s="19" t="s">
        <v>38</v>
      </c>
      <c r="D14" s="20">
        <f>SUM(ASOC.ESPAÑOLA:IAC!D14)</f>
        <v>465717044.75</v>
      </c>
      <c r="E14" s="21" t="s">
        <v>39</v>
      </c>
      <c r="F14" s="19" t="s">
        <v>40</v>
      </c>
      <c r="G14" s="20">
        <f>SUM(ASOC.ESPAÑOLA:IAC!G14)</f>
        <v>10811454084.28134</v>
      </c>
    </row>
    <row r="15" spans="1:9" x14ac:dyDescent="0.25">
      <c r="B15" s="6" t="s">
        <v>41</v>
      </c>
      <c r="C15" s="26" t="s">
        <v>42</v>
      </c>
      <c r="D15" s="20">
        <f>SUM(ASOC.ESPAÑOLA:IAC!D15)</f>
        <v>54191975.039999999</v>
      </c>
      <c r="E15" s="21" t="s">
        <v>43</v>
      </c>
      <c r="F15" s="19" t="s">
        <v>44</v>
      </c>
      <c r="G15" s="20">
        <f>SUM(ASOC.ESPAÑOLA:IAC!G15)</f>
        <v>4803083208.9013186</v>
      </c>
    </row>
    <row r="16" spans="1:9" x14ac:dyDescent="0.25">
      <c r="B16" s="6" t="s">
        <v>45</v>
      </c>
      <c r="C16" s="19" t="s">
        <v>46</v>
      </c>
      <c r="D16" s="20">
        <f>SUM(ASOC.ESPAÑOLA:IAC!D16)</f>
        <v>4090</v>
      </c>
      <c r="E16" s="21" t="s">
        <v>47</v>
      </c>
      <c r="F16" s="19" t="s">
        <v>48</v>
      </c>
      <c r="G16" s="20">
        <f>SUM(ASOC.ESPAÑOLA:IAC!G16)</f>
        <v>3907066885.5297399</v>
      </c>
    </row>
    <row r="17" spans="1:7" x14ac:dyDescent="0.25">
      <c r="B17" s="6" t="s">
        <v>49</v>
      </c>
      <c r="C17" s="19" t="s">
        <v>50</v>
      </c>
      <c r="D17" s="20">
        <f>SUM(ASOC.ESPAÑOLA:IAC!D17)</f>
        <v>3329</v>
      </c>
      <c r="E17" s="21" t="s">
        <v>51</v>
      </c>
      <c r="F17" s="19" t="s">
        <v>52</v>
      </c>
      <c r="G17" s="20">
        <f>SUM(ASOC.ESPAÑOLA:IAC!G17)</f>
        <v>96063447.719999999</v>
      </c>
    </row>
    <row r="18" spans="1:7" x14ac:dyDescent="0.25">
      <c r="A18" s="25"/>
      <c r="B18" s="6" t="s">
        <v>53</v>
      </c>
      <c r="C18" s="19" t="s">
        <v>54</v>
      </c>
      <c r="D18" s="20">
        <f>SUM(ASOC.ESPAÑOLA:IAC!D18)</f>
        <v>986441158.12</v>
      </c>
      <c r="E18" s="21" t="s">
        <v>55</v>
      </c>
      <c r="F18" s="19" t="s">
        <v>56</v>
      </c>
      <c r="G18" s="27">
        <f>SUM(ASOC.ESPAÑOLA:IAC!G18)</f>
        <v>2089616105.531323</v>
      </c>
    </row>
    <row r="19" spans="1:7" ht="15.75" thickBot="1" x14ac:dyDescent="0.3">
      <c r="A19" s="25"/>
      <c r="B19" s="6" t="s">
        <v>57</v>
      </c>
      <c r="C19" s="19" t="s">
        <v>58</v>
      </c>
      <c r="D19" s="20">
        <f>SUM(ASOC.ESPAÑOLA:IAC!D19)</f>
        <v>3244739560.5566683</v>
      </c>
      <c r="E19" s="21"/>
      <c r="F19" s="28" t="s">
        <v>59</v>
      </c>
      <c r="G19" s="29">
        <f>SUM(ASOC.ESPAÑOLA:IAC!G19)</f>
        <v>49391042946.141312</v>
      </c>
    </row>
    <row r="20" spans="1:7" ht="15.75" thickBot="1" x14ac:dyDescent="0.3">
      <c r="B20" s="6"/>
      <c r="C20" s="28" t="s">
        <v>60</v>
      </c>
      <c r="D20" s="29">
        <f>SUM(ASOC.ESPAÑOLA:IAC!D20)</f>
        <v>78603825957.566666</v>
      </c>
      <c r="E20" s="21" t="s">
        <v>61</v>
      </c>
      <c r="F20" s="22" t="s">
        <v>62</v>
      </c>
      <c r="G20" s="23">
        <f>SUM(ASOC.ESPAÑOLA:IAC!G20)</f>
        <v>29802557.579948653</v>
      </c>
    </row>
    <row r="21" spans="1:7" x14ac:dyDescent="0.25">
      <c r="B21" s="6"/>
      <c r="C21" s="30" t="s">
        <v>63</v>
      </c>
      <c r="D21" s="31">
        <f>SUM(ASOC.ESPAÑOLA:IAC!D21)</f>
        <v>886740116.46254158</v>
      </c>
      <c r="E21" s="21" t="s">
        <v>64</v>
      </c>
      <c r="F21" s="19" t="s">
        <v>65</v>
      </c>
      <c r="G21" s="20">
        <f>SUM(ASOC.ESPAÑOLA:IAC!G21)</f>
        <v>1180439377.9656937</v>
      </c>
    </row>
    <row r="22" spans="1:7" x14ac:dyDescent="0.25">
      <c r="B22" s="6" t="s">
        <v>66</v>
      </c>
      <c r="C22" s="19" t="s">
        <v>67</v>
      </c>
      <c r="D22" s="20">
        <f>SUM(ASOC.ESPAÑOLA:IAC!D22)</f>
        <v>419116562.94999999</v>
      </c>
      <c r="E22" s="21" t="s">
        <v>68</v>
      </c>
      <c r="F22" s="19" t="s">
        <v>69</v>
      </c>
      <c r="G22" s="20">
        <f>SUM(ASOC.ESPAÑOLA:IAC!G22)</f>
        <v>388575373.43512666</v>
      </c>
    </row>
    <row r="23" spans="1:7" x14ac:dyDescent="0.25">
      <c r="B23" s="6" t="s">
        <v>70</v>
      </c>
      <c r="C23" s="19" t="s">
        <v>71</v>
      </c>
      <c r="D23" s="20">
        <f>SUM(ASOC.ESPAÑOLA:IAC!D23)</f>
        <v>78142291.139999986</v>
      </c>
      <c r="E23" s="21" t="s">
        <v>72</v>
      </c>
      <c r="F23" s="19" t="s">
        <v>73</v>
      </c>
      <c r="G23" s="20">
        <f>SUM(ASOC.ESPAÑOLA:IAC!G23)</f>
        <v>847034960.04923081</v>
      </c>
    </row>
    <row r="24" spans="1:7" x14ac:dyDescent="0.25">
      <c r="B24" s="6" t="s">
        <v>74</v>
      </c>
      <c r="C24" s="19" t="s">
        <v>75</v>
      </c>
      <c r="D24" s="20">
        <f>SUM(ASOC.ESPAÑOLA:IAC!D24)</f>
        <v>157639938.17999998</v>
      </c>
      <c r="E24" s="21" t="s">
        <v>76</v>
      </c>
      <c r="F24" s="19" t="s">
        <v>77</v>
      </c>
      <c r="G24" s="20">
        <f>SUM(ASOC.ESPAÑOLA:IAC!G24)</f>
        <v>70441254.670000002</v>
      </c>
    </row>
    <row r="25" spans="1:7" x14ac:dyDescent="0.25">
      <c r="B25" s="6" t="s">
        <v>78</v>
      </c>
      <c r="C25" s="19" t="s">
        <v>79</v>
      </c>
      <c r="D25" s="20">
        <f>SUM(ASOC.ESPAÑOLA:IAC!D25)</f>
        <v>49256383.480000004</v>
      </c>
      <c r="E25" s="21" t="s">
        <v>80</v>
      </c>
      <c r="F25" s="19" t="s">
        <v>81</v>
      </c>
      <c r="G25" s="20">
        <f>SUM(ASOC.ESPAÑOLA:IAC!G25)</f>
        <v>330812510.38000005</v>
      </c>
    </row>
    <row r="26" spans="1:7" x14ac:dyDescent="0.25">
      <c r="B26" s="6" t="s">
        <v>82</v>
      </c>
      <c r="C26" s="19" t="s">
        <v>83</v>
      </c>
      <c r="D26" s="20">
        <f>SUM(ASOC.ESPAÑOLA:IAC!D26)</f>
        <v>43382795.009999983</v>
      </c>
      <c r="E26" s="21" t="s">
        <v>84</v>
      </c>
      <c r="F26" s="19" t="s">
        <v>85</v>
      </c>
      <c r="G26" s="27">
        <f>SUM(ASOC.ESPAÑOLA:IAC!G26)</f>
        <v>125378822.85805425</v>
      </c>
    </row>
    <row r="27" spans="1:7" ht="15.75" thickBot="1" x14ac:dyDescent="0.3">
      <c r="B27" s="6" t="s">
        <v>86</v>
      </c>
      <c r="C27" s="19" t="s">
        <v>87</v>
      </c>
      <c r="D27" s="20">
        <f>SUM(ASOC.ESPAÑOLA:IAC!D27)</f>
        <v>98282835.409999996</v>
      </c>
      <c r="E27" s="21"/>
      <c r="F27" s="28" t="s">
        <v>88</v>
      </c>
      <c r="G27" s="29">
        <f>SUM(ASOC.ESPAÑOLA:IAC!G27)</f>
        <v>2972484856.9380541</v>
      </c>
    </row>
    <row r="28" spans="1:7" x14ac:dyDescent="0.25">
      <c r="B28" s="6" t="s">
        <v>89</v>
      </c>
      <c r="C28" s="19" t="s">
        <v>90</v>
      </c>
      <c r="D28" s="20">
        <f>SUM(ASOC.ESPAÑOLA:IAC!D28)</f>
        <v>40919310.29254166</v>
      </c>
      <c r="E28" s="21" t="s">
        <v>91</v>
      </c>
      <c r="F28" s="22" t="s">
        <v>92</v>
      </c>
      <c r="G28" s="23">
        <f>SUM(ASOC.ESPAÑOLA:IAC!G28)</f>
        <v>2275161610.1500001</v>
      </c>
    </row>
    <row r="29" spans="1:7" x14ac:dyDescent="0.25">
      <c r="B29" s="6"/>
      <c r="C29" s="32" t="s">
        <v>93</v>
      </c>
      <c r="D29" s="31">
        <f>SUM(ASOC.ESPAÑOLA:IAC!D29)</f>
        <v>5965197544.4280262</v>
      </c>
      <c r="E29" s="21" t="s">
        <v>94</v>
      </c>
      <c r="F29" s="19" t="s">
        <v>95</v>
      </c>
      <c r="G29" s="20">
        <f>SUM(ASOC.ESPAÑOLA:IAC!G29)</f>
        <v>1149306310.9000001</v>
      </c>
    </row>
    <row r="30" spans="1:7" x14ac:dyDescent="0.25">
      <c r="B30" s="6" t="s">
        <v>96</v>
      </c>
      <c r="C30" s="19" t="s">
        <v>97</v>
      </c>
      <c r="D30" s="20">
        <f>SUM(ASOC.ESPAÑOLA:IAC!D30)</f>
        <v>4598502328.5600023</v>
      </c>
      <c r="E30" s="21" t="s">
        <v>98</v>
      </c>
      <c r="F30" s="19" t="s">
        <v>99</v>
      </c>
      <c r="G30" s="20">
        <f>SUM(ASOC.ESPAÑOLA:IAC!G30)</f>
        <v>567454047.50999999</v>
      </c>
    </row>
    <row r="31" spans="1:7" x14ac:dyDescent="0.25">
      <c r="B31" s="6" t="s">
        <v>100</v>
      </c>
      <c r="C31" s="19" t="s">
        <v>101</v>
      </c>
      <c r="D31" s="20">
        <f>SUM(ASOC.ESPAÑOLA:IAC!D31)</f>
        <v>470670140.30000001</v>
      </c>
      <c r="E31" s="21" t="s">
        <v>102</v>
      </c>
      <c r="F31" s="19" t="s">
        <v>103</v>
      </c>
      <c r="G31" s="27">
        <f>SUM(ASOC.ESPAÑOLA:IAC!G31)</f>
        <v>173625595.99000001</v>
      </c>
    </row>
    <row r="32" spans="1:7" ht="15.75" thickBot="1" x14ac:dyDescent="0.3">
      <c r="B32" s="6" t="s">
        <v>104</v>
      </c>
      <c r="C32" s="19" t="s">
        <v>105</v>
      </c>
      <c r="D32" s="20">
        <f>SUM(ASOC.ESPAÑOLA:IAC!D32)</f>
        <v>505917375.44999975</v>
      </c>
      <c r="E32" s="21"/>
      <c r="F32" s="28" t="s">
        <v>106</v>
      </c>
      <c r="G32" s="29">
        <f>SUM(ASOC.ESPAÑOLA:IAC!G32)</f>
        <v>4165547564.5500002</v>
      </c>
    </row>
    <row r="33" spans="2:7" x14ac:dyDescent="0.25">
      <c r="B33" s="6" t="s">
        <v>107</v>
      </c>
      <c r="C33" s="19" t="s">
        <v>108</v>
      </c>
      <c r="D33" s="20">
        <f>SUM(ASOC.ESPAÑOLA:IAC!D33)</f>
        <v>138177218.72</v>
      </c>
      <c r="E33" s="21"/>
      <c r="F33" s="32" t="s">
        <v>109</v>
      </c>
      <c r="G33" s="31">
        <f>SUM(ASOC.ESPAÑOLA:IAC!G33)</f>
        <v>5270048071.0077581</v>
      </c>
    </row>
    <row r="34" spans="2:7" x14ac:dyDescent="0.25">
      <c r="B34" s="6" t="s">
        <v>110</v>
      </c>
      <c r="C34" s="19" t="s">
        <v>111</v>
      </c>
      <c r="D34" s="20">
        <f>SUM(ASOC.ESPAÑOLA:IAC!D34)</f>
        <v>251930481.39802274</v>
      </c>
      <c r="E34" s="21" t="s">
        <v>112</v>
      </c>
      <c r="F34" s="19" t="s">
        <v>113</v>
      </c>
      <c r="G34" s="20">
        <f>SUM(ASOC.ESPAÑOLA:IAC!G34)</f>
        <v>284791469.62974656</v>
      </c>
    </row>
    <row r="35" spans="2:7" ht="15.75" thickBot="1" x14ac:dyDescent="0.3">
      <c r="B35" s="6"/>
      <c r="C35" s="28" t="s">
        <v>114</v>
      </c>
      <c r="D35" s="29">
        <f>SUM(ASOC.ESPAÑOLA:IAC!D35)</f>
        <v>6851937660.8905668</v>
      </c>
      <c r="E35" s="21" t="s">
        <v>115</v>
      </c>
      <c r="F35" s="19" t="s">
        <v>116</v>
      </c>
      <c r="G35" s="20">
        <f>SUM(ASOC.ESPAÑOLA:IAC!G35)</f>
        <v>241624240.65380666</v>
      </c>
    </row>
    <row r="36" spans="2:7" x14ac:dyDescent="0.25">
      <c r="B36" s="6" t="s">
        <v>117</v>
      </c>
      <c r="C36" s="19" t="s">
        <v>118</v>
      </c>
      <c r="D36" s="20">
        <f>SUM(ASOC.ESPAÑOLA:IAC!D36)</f>
        <v>765711213.7299999</v>
      </c>
      <c r="E36" s="21" t="s">
        <v>119</v>
      </c>
      <c r="F36" s="19" t="s">
        <v>120</v>
      </c>
      <c r="G36" s="20">
        <f>SUM(ASOC.ESPAÑOLA:IAC!G36)</f>
        <v>158452519.14864203</v>
      </c>
    </row>
    <row r="37" spans="2:7" x14ac:dyDescent="0.25">
      <c r="B37" s="6" t="s">
        <v>121</v>
      </c>
      <c r="C37" s="19" t="s">
        <v>122</v>
      </c>
      <c r="D37" s="20">
        <f>SUM(ASOC.ESPAÑOLA:IAC!D37)</f>
        <v>780536163.04999995</v>
      </c>
      <c r="E37" s="21" t="s">
        <v>123</v>
      </c>
      <c r="F37" s="19" t="s">
        <v>124</v>
      </c>
      <c r="G37" s="20">
        <f>SUM(ASOC.ESPAÑOLA:IAC!G37)</f>
        <v>322272971.49580622</v>
      </c>
    </row>
    <row r="38" spans="2:7" x14ac:dyDescent="0.25">
      <c r="B38" s="6" t="s">
        <v>125</v>
      </c>
      <c r="C38" s="19" t="s">
        <v>126</v>
      </c>
      <c r="D38" s="20">
        <f>SUM(ASOC.ESPAÑOLA:IAC!D38)</f>
        <v>194395395</v>
      </c>
      <c r="E38" s="21" t="s">
        <v>127</v>
      </c>
      <c r="F38" s="19" t="s">
        <v>128</v>
      </c>
      <c r="G38" s="20">
        <f>SUM(ASOC.ESPAÑOLA:IAC!G38)</f>
        <v>552339483.90904796</v>
      </c>
    </row>
    <row r="39" spans="2:7" x14ac:dyDescent="0.25">
      <c r="B39" s="6" t="s">
        <v>129</v>
      </c>
      <c r="C39" s="19" t="s">
        <v>130</v>
      </c>
      <c r="D39" s="20">
        <f>SUM(ASOC.ESPAÑOLA:IAC!D39)</f>
        <v>185198062.16</v>
      </c>
      <c r="E39" s="21" t="s">
        <v>131</v>
      </c>
      <c r="F39" s="19" t="s">
        <v>132</v>
      </c>
      <c r="G39" s="20">
        <f>SUM(ASOC.ESPAÑOLA:IAC!G39)</f>
        <v>3710567386.1707096</v>
      </c>
    </row>
    <row r="40" spans="2:7" x14ac:dyDescent="0.25">
      <c r="B40" s="6" t="s">
        <v>133</v>
      </c>
      <c r="C40" s="19" t="s">
        <v>134</v>
      </c>
      <c r="D40" s="20">
        <f>SUM(ASOC.ESPAÑOLA:IAC!D40)</f>
        <v>308569920.52999997</v>
      </c>
      <c r="E40" s="21"/>
      <c r="F40" s="33" t="s">
        <v>135</v>
      </c>
      <c r="G40" s="34">
        <f>SUM(ASOC.ESPAÑOLA:IAC!G40)</f>
        <v>1119417623.132241</v>
      </c>
    </row>
    <row r="41" spans="2:7" x14ac:dyDescent="0.25">
      <c r="B41" s="6" t="s">
        <v>136</v>
      </c>
      <c r="C41" s="19" t="s">
        <v>137</v>
      </c>
      <c r="D41" s="20">
        <f>SUM(ASOC.ESPAÑOLA:IAC!D41)</f>
        <v>2258057462.3800001</v>
      </c>
      <c r="E41" s="21" t="s">
        <v>138</v>
      </c>
      <c r="F41" s="19" t="s">
        <v>139</v>
      </c>
      <c r="G41" s="20">
        <f>SUM(ASOC.ESPAÑOLA:IAC!G41)</f>
        <v>106619312.34702526</v>
      </c>
    </row>
    <row r="42" spans="2:7" x14ac:dyDescent="0.25">
      <c r="B42" s="6" t="s">
        <v>140</v>
      </c>
      <c r="C42" s="19" t="s">
        <v>141</v>
      </c>
      <c r="D42" s="20">
        <f>SUM(ASOC.ESPAÑOLA:IAC!D42)</f>
        <v>1409025806.3099999</v>
      </c>
      <c r="E42" s="21" t="s">
        <v>142</v>
      </c>
      <c r="F42" s="19" t="s">
        <v>143</v>
      </c>
      <c r="G42" s="20">
        <f>SUM(ASOC.ESPAÑOLA:IAC!G42)</f>
        <v>11521182.651654886</v>
      </c>
    </row>
    <row r="43" spans="2:7" x14ac:dyDescent="0.25">
      <c r="B43" s="6" t="s">
        <v>144</v>
      </c>
      <c r="C43" s="19" t="s">
        <v>145</v>
      </c>
      <c r="D43" s="20">
        <f>SUM(ASOC.ESPAÑOLA:IAC!D43)</f>
        <v>24960620</v>
      </c>
      <c r="E43" s="21" t="s">
        <v>146</v>
      </c>
      <c r="F43" s="19" t="s">
        <v>147</v>
      </c>
      <c r="G43" s="20">
        <f>SUM(ASOC.ESPAÑOLA:IAC!G43)</f>
        <v>143868407.63771304</v>
      </c>
    </row>
    <row r="44" spans="2:7" x14ac:dyDescent="0.25">
      <c r="B44" s="6" t="s">
        <v>148</v>
      </c>
      <c r="C44" s="19" t="s">
        <v>149</v>
      </c>
      <c r="D44" s="20">
        <f>SUM(ASOC.ESPAÑOLA:IAC!D44)</f>
        <v>564005</v>
      </c>
      <c r="E44" s="21" t="s">
        <v>150</v>
      </c>
      <c r="F44" s="19" t="s">
        <v>151</v>
      </c>
      <c r="G44" s="20">
        <f>SUM(ASOC.ESPAÑOLA:IAC!G44)</f>
        <v>40948544.767690077</v>
      </c>
    </row>
    <row r="45" spans="2:7" x14ac:dyDescent="0.25">
      <c r="B45" s="6" t="s">
        <v>152</v>
      </c>
      <c r="C45" s="19" t="s">
        <v>153</v>
      </c>
      <c r="D45" s="20">
        <f>SUM(ASOC.ESPAÑOLA:IAC!D45)</f>
        <v>1317751552.6300001</v>
      </c>
      <c r="E45" s="21" t="s">
        <v>154</v>
      </c>
      <c r="F45" s="19" t="s">
        <v>155</v>
      </c>
      <c r="G45" s="20">
        <f>SUM(ASOC.ESPAÑOLA:IAC!G45)</f>
        <v>65173065.950742602</v>
      </c>
    </row>
    <row r="46" spans="2:7" x14ac:dyDescent="0.25">
      <c r="B46" s="6" t="s">
        <v>156</v>
      </c>
      <c r="C46" s="19" t="s">
        <v>157</v>
      </c>
      <c r="D46" s="20">
        <f>SUM(ASOC.ESPAÑOLA:IAC!D46)</f>
        <v>318158658.88842082</v>
      </c>
      <c r="E46" s="21" t="s">
        <v>158</v>
      </c>
      <c r="F46" s="19" t="s">
        <v>159</v>
      </c>
      <c r="G46" s="20">
        <f>SUM(ASOC.ESPAÑOLA:IAC!G46)</f>
        <v>751287109.77741516</v>
      </c>
    </row>
    <row r="47" spans="2:7" ht="15.75" thickBot="1" x14ac:dyDescent="0.3">
      <c r="B47" s="6"/>
      <c r="C47" s="28" t="s">
        <v>160</v>
      </c>
      <c r="D47" s="29">
        <f>SUM(ASOC.ESPAÑOLA:IAC!D47)</f>
        <v>7562928859.678421</v>
      </c>
      <c r="E47" s="21" t="s">
        <v>161</v>
      </c>
      <c r="F47" s="19" t="s">
        <v>162</v>
      </c>
      <c r="G47" s="27">
        <f>SUM(ASOC.ESPAÑOLA:IAC!G47)</f>
        <v>298356379.48597348</v>
      </c>
    </row>
    <row r="48" spans="2:7" ht="15.75" thickBot="1" x14ac:dyDescent="0.3">
      <c r="B48" s="6"/>
      <c r="C48" s="35" t="s">
        <v>163</v>
      </c>
      <c r="D48" s="36"/>
      <c r="E48" s="21"/>
      <c r="F48" s="28" t="s">
        <v>164</v>
      </c>
      <c r="G48" s="37">
        <f>SUM(ASOC.ESPAÑOLA:IAC!G48)</f>
        <v>6687822073.6259747</v>
      </c>
    </row>
    <row r="49" spans="2:7" x14ac:dyDescent="0.25">
      <c r="B49" s="6" t="s">
        <v>165</v>
      </c>
      <c r="C49" s="38" t="s">
        <v>166</v>
      </c>
      <c r="D49" s="39">
        <f>SUM(ASOC.ESPAÑOLA:IAC!D49)</f>
        <v>669016</v>
      </c>
      <c r="E49" s="21" t="s">
        <v>167</v>
      </c>
      <c r="F49" s="22" t="s">
        <v>168</v>
      </c>
      <c r="G49" s="23">
        <f>SUM(ASOC.ESPAÑOLA:IAC!G49)</f>
        <v>1012201066.25</v>
      </c>
    </row>
    <row r="50" spans="2:7" x14ac:dyDescent="0.25">
      <c r="B50" s="6" t="s">
        <v>169</v>
      </c>
      <c r="C50" s="19" t="s">
        <v>163</v>
      </c>
      <c r="D50" s="20">
        <f>SUM(ASOC.ESPAÑOLA:IAC!D50)</f>
        <v>486746410.71000004</v>
      </c>
      <c r="E50" s="21" t="s">
        <v>170</v>
      </c>
      <c r="F50" s="19" t="s">
        <v>171</v>
      </c>
      <c r="G50" s="20">
        <f>SUM(ASOC.ESPAÑOLA:IAC!G50)</f>
        <v>2358579961.8399997</v>
      </c>
    </row>
    <row r="51" spans="2:7" x14ac:dyDescent="0.25">
      <c r="B51" s="6" t="s">
        <v>172</v>
      </c>
      <c r="C51" s="19" t="s">
        <v>173</v>
      </c>
      <c r="D51" s="27">
        <f>SUM(ASOC.ESPAÑOLA:IAC!D51)</f>
        <v>26366911.870000001</v>
      </c>
      <c r="E51" s="21" t="s">
        <v>174</v>
      </c>
      <c r="F51" s="19" t="s">
        <v>175</v>
      </c>
      <c r="G51" s="20">
        <f>SUM(ASOC.ESPAÑOLA:IAC!G51)</f>
        <v>82060796.179999992</v>
      </c>
    </row>
    <row r="52" spans="2:7" ht="15.75" thickBot="1" x14ac:dyDescent="0.3">
      <c r="B52" s="12"/>
      <c r="C52" s="28" t="s">
        <v>176</v>
      </c>
      <c r="D52" s="29">
        <f>SUM(ASOC.ESPAÑOLA:IAC!D52)</f>
        <v>513782338.58000004</v>
      </c>
      <c r="E52" s="21" t="s">
        <v>177</v>
      </c>
      <c r="F52" s="19" t="s">
        <v>178</v>
      </c>
      <c r="G52" s="20">
        <f>SUM(ASOC.ESPAÑOLA:IAC!G52)</f>
        <v>58437073.93</v>
      </c>
    </row>
    <row r="53" spans="2:7" ht="15.75" thickBot="1" x14ac:dyDescent="0.3">
      <c r="B53" s="6"/>
      <c r="C53" s="40" t="s">
        <v>179</v>
      </c>
      <c r="D53" s="41">
        <f>SUM(ASOC.ESPAÑOLA:IAC!D53)</f>
        <v>93532474816.715652</v>
      </c>
      <c r="E53" s="21" t="s">
        <v>180</v>
      </c>
      <c r="F53" s="19" t="s">
        <v>181</v>
      </c>
      <c r="G53" s="20">
        <f>SUM(ASOC.ESPAÑOLA:IAC!G53)</f>
        <v>404614554.81</v>
      </c>
    </row>
    <row r="54" spans="2:7" x14ac:dyDescent="0.25">
      <c r="C54" s="42"/>
      <c r="D54" s="43"/>
      <c r="E54" s="21" t="s">
        <v>182</v>
      </c>
      <c r="F54" s="19" t="s">
        <v>183</v>
      </c>
      <c r="G54" s="20">
        <f>SUM(ASOC.ESPAÑOLA:IAC!G54)</f>
        <v>135507777.50000003</v>
      </c>
    </row>
    <row r="55" spans="2:7" x14ac:dyDescent="0.25">
      <c r="C55" s="44" t="s">
        <v>184</v>
      </c>
      <c r="D55" s="45"/>
      <c r="E55" s="21" t="s">
        <v>185</v>
      </c>
      <c r="F55" s="19" t="s">
        <v>186</v>
      </c>
      <c r="G55" s="20">
        <f>SUM(ASOC.ESPAÑOLA:IAC!G55)</f>
        <v>151156043.31</v>
      </c>
    </row>
    <row r="56" spans="2:7" x14ac:dyDescent="0.25">
      <c r="B56" s="6" t="s">
        <v>187</v>
      </c>
      <c r="C56" s="46" t="s">
        <v>188</v>
      </c>
      <c r="D56" s="20">
        <f>SUM(ASOC.ESPAÑOLA:IAC!D56)</f>
        <v>-45704008.149999999</v>
      </c>
      <c r="E56" s="21" t="s">
        <v>189</v>
      </c>
      <c r="F56" s="19" t="s">
        <v>190</v>
      </c>
      <c r="G56" s="27">
        <f>SUM(ASOC.ESPAÑOLA:IAC!G56)</f>
        <v>237744689.82020551</v>
      </c>
    </row>
    <row r="57" spans="2:7" ht="15.75" thickBot="1" x14ac:dyDescent="0.3">
      <c r="B57" s="6" t="s">
        <v>191</v>
      </c>
      <c r="C57" s="46" t="s">
        <v>192</v>
      </c>
      <c r="D57" s="20">
        <f>SUM(ASOC.ESPAÑOLA:IAC!D57)</f>
        <v>-30829560</v>
      </c>
      <c r="E57" s="21"/>
      <c r="F57" s="28" t="s">
        <v>193</v>
      </c>
      <c r="G57" s="29">
        <f>SUM(ASOC.ESPAÑOLA:IAC!G57)</f>
        <v>4440301963.6402054</v>
      </c>
    </row>
    <row r="58" spans="2:7" x14ac:dyDescent="0.25">
      <c r="B58" s="6" t="s">
        <v>194</v>
      </c>
      <c r="C58" s="46" t="s">
        <v>195</v>
      </c>
      <c r="D58" s="20">
        <f>SUM(ASOC.ESPAÑOLA:IAC!D58)</f>
        <v>-7732431</v>
      </c>
      <c r="E58" s="21" t="s">
        <v>196</v>
      </c>
      <c r="F58" s="22" t="s">
        <v>197</v>
      </c>
      <c r="G58" s="23">
        <f>SUM(ASOC.ESPAÑOLA:IAC!G58)</f>
        <v>2945724595.0599999</v>
      </c>
    </row>
    <row r="59" spans="2:7" x14ac:dyDescent="0.25">
      <c r="B59" s="6" t="s">
        <v>198</v>
      </c>
      <c r="C59" s="19" t="s">
        <v>199</v>
      </c>
      <c r="D59" s="27">
        <f>SUM(ASOC.ESPAÑOLA:IAC!D59)</f>
        <v>-3590081.75</v>
      </c>
      <c r="E59" s="21" t="s">
        <v>200</v>
      </c>
      <c r="F59" s="19" t="s">
        <v>201</v>
      </c>
      <c r="G59" s="20">
        <f>SUM(ASOC.ESPAÑOLA:IAC!G59)</f>
        <v>1559240988.9700003</v>
      </c>
    </row>
    <row r="60" spans="2:7" ht="15.75" thickBot="1" x14ac:dyDescent="0.3">
      <c r="B60" s="6"/>
      <c r="C60" s="28" t="s">
        <v>202</v>
      </c>
      <c r="D60" s="29">
        <f>SUM(ASOC.ESPAÑOLA:IAC!D60)</f>
        <v>-87856080.900000006</v>
      </c>
      <c r="E60" s="21" t="s">
        <v>203</v>
      </c>
      <c r="F60" s="19" t="s">
        <v>204</v>
      </c>
      <c r="G60" s="20">
        <f>SUM(ASOC.ESPAÑOLA:IAC!G60)</f>
        <v>349908655.01000005</v>
      </c>
    </row>
    <row r="61" spans="2:7" ht="16.5" thickBot="1" x14ac:dyDescent="0.3">
      <c r="B61" s="47"/>
      <c r="C61" s="48" t="s">
        <v>205</v>
      </c>
      <c r="D61" s="49">
        <f>SUM(ASOC.ESPAÑOLA:IAC!D61)</f>
        <v>93444618735.815659</v>
      </c>
      <c r="E61" s="21" t="s">
        <v>206</v>
      </c>
      <c r="F61" s="19" t="s">
        <v>207</v>
      </c>
      <c r="G61" s="20">
        <f>SUM(ASOC.ESPAÑOLA:IAC!G61)</f>
        <v>175760259.94999999</v>
      </c>
    </row>
    <row r="62" spans="2:7" x14ac:dyDescent="0.25">
      <c r="B62" s="50"/>
      <c r="C62" s="51"/>
      <c r="D62" s="51">
        <f>SUM(ASOC.ESPAÑOLA:IAC!D62)</f>
        <v>0</v>
      </c>
      <c r="E62" s="21" t="s">
        <v>208</v>
      </c>
      <c r="F62" s="19" t="s">
        <v>209</v>
      </c>
      <c r="G62" s="20">
        <f>SUM(ASOC.ESPAÑOLA:IAC!G62)</f>
        <v>50617771</v>
      </c>
    </row>
    <row r="63" spans="2:7" x14ac:dyDescent="0.25">
      <c r="B63" s="52"/>
      <c r="C63" s="53" t="s">
        <v>8</v>
      </c>
      <c r="D63" s="53">
        <f>SUM(ASOC.ESPAÑOLA:IAC!D63)</f>
        <v>0</v>
      </c>
      <c r="E63" s="21" t="s">
        <v>210</v>
      </c>
      <c r="F63" s="19" t="s">
        <v>211</v>
      </c>
      <c r="G63" s="20">
        <f>SUM(ASOC.ESPAÑOLA:IAC!G63)</f>
        <v>1037004213.3600001</v>
      </c>
    </row>
    <row r="64" spans="2:7" x14ac:dyDescent="0.25">
      <c r="B64" s="54" t="s">
        <v>212</v>
      </c>
      <c r="C64" s="55" t="s">
        <v>213</v>
      </c>
      <c r="D64" s="55">
        <f>SUM(ASOC.ESPAÑOLA:IAC!D64)</f>
        <v>893111274.23028898</v>
      </c>
      <c r="E64" s="21" t="s">
        <v>214</v>
      </c>
      <c r="F64" s="19" t="s">
        <v>215</v>
      </c>
      <c r="G64" s="20">
        <f>SUM(ASOC.ESPAÑOLA:IAC!G64)</f>
        <v>293932097.61000001</v>
      </c>
    </row>
    <row r="65" spans="2:7" x14ac:dyDescent="0.25">
      <c r="B65" s="54" t="s">
        <v>216</v>
      </c>
      <c r="C65" s="55" t="s">
        <v>217</v>
      </c>
      <c r="D65" s="55">
        <f>SUM(ASOC.ESPAÑOLA:IAC!D65)</f>
        <v>6279763</v>
      </c>
      <c r="E65" s="21" t="s">
        <v>218</v>
      </c>
      <c r="F65" s="19" t="s">
        <v>219</v>
      </c>
      <c r="G65" s="20">
        <f>SUM(ASOC.ESPAÑOLA:IAC!G65)</f>
        <v>290330953.38000005</v>
      </c>
    </row>
    <row r="66" spans="2:7" x14ac:dyDescent="0.25">
      <c r="B66" s="54" t="s">
        <v>220</v>
      </c>
      <c r="C66" s="55" t="s">
        <v>221</v>
      </c>
      <c r="D66" s="55">
        <f>SUM(ASOC.ESPAÑOLA:IAC!D66)</f>
        <v>371994250.27126074</v>
      </c>
      <c r="E66" s="21" t="s">
        <v>222</v>
      </c>
      <c r="F66" s="19" t="s">
        <v>223</v>
      </c>
      <c r="G66" s="20">
        <f>SUM(ASOC.ESPAÑOLA:IAC!G66)</f>
        <v>438816548.19999993</v>
      </c>
    </row>
    <row r="67" spans="2:7" x14ac:dyDescent="0.25">
      <c r="B67" s="54" t="s">
        <v>224</v>
      </c>
      <c r="C67" s="55" t="s">
        <v>225</v>
      </c>
      <c r="D67" s="55">
        <f>SUM(ASOC.ESPAÑOLA:IAC!D67)</f>
        <v>6175034.6325229183</v>
      </c>
      <c r="E67" s="21" t="s">
        <v>226</v>
      </c>
      <c r="F67" s="19" t="s">
        <v>227</v>
      </c>
      <c r="G67" s="20">
        <f>SUM(ASOC.ESPAÑOLA:IAC!G67)</f>
        <v>254906400.55999994</v>
      </c>
    </row>
    <row r="68" spans="2:7" x14ac:dyDescent="0.25">
      <c r="B68" s="54" t="s">
        <v>228</v>
      </c>
      <c r="C68" s="55" t="s">
        <v>229</v>
      </c>
      <c r="D68" s="55">
        <f>SUM(ASOC.ESPAÑOLA:IAC!D68)</f>
        <v>89316566.174693331</v>
      </c>
      <c r="E68" s="21" t="s">
        <v>230</v>
      </c>
      <c r="F68" s="19" t="s">
        <v>231</v>
      </c>
      <c r="G68" s="20">
        <f>SUM(ASOC.ESPAÑOLA:IAC!G68)</f>
        <v>27633581.290000003</v>
      </c>
    </row>
    <row r="69" spans="2:7" x14ac:dyDescent="0.25">
      <c r="B69" s="54" t="s">
        <v>232</v>
      </c>
      <c r="C69" s="55" t="s">
        <v>233</v>
      </c>
      <c r="D69" s="55">
        <f>SUM(ASOC.ESPAÑOLA:IAC!D69)</f>
        <v>31870074.265833333</v>
      </c>
      <c r="E69" s="21" t="s">
        <v>234</v>
      </c>
      <c r="F69" s="19" t="s">
        <v>235</v>
      </c>
      <c r="G69" s="20">
        <f>SUM(ASOC.ESPAÑOLA:IAC!G69)</f>
        <v>124781935.56000002</v>
      </c>
    </row>
    <row r="70" spans="2:7" x14ac:dyDescent="0.25">
      <c r="B70" s="54" t="s">
        <v>236</v>
      </c>
      <c r="C70" s="55" t="s">
        <v>237</v>
      </c>
      <c r="D70" s="55">
        <f>SUM(ASOC.ESPAÑOLA:IAC!D70)</f>
        <v>49189397.968383431</v>
      </c>
      <c r="E70" s="21" t="s">
        <v>238</v>
      </c>
      <c r="F70" s="19" t="s">
        <v>239</v>
      </c>
      <c r="G70" s="20">
        <f>SUM(ASOC.ESPAÑOLA:IAC!G70)</f>
        <v>124026309.78</v>
      </c>
    </row>
    <row r="71" spans="2:7" x14ac:dyDescent="0.25">
      <c r="B71" s="54" t="s">
        <v>240</v>
      </c>
      <c r="C71" s="55" t="s">
        <v>241</v>
      </c>
      <c r="D71" s="55">
        <f>SUM(ASOC.ESPAÑOLA:IAC!D71)</f>
        <v>39708591.312722206</v>
      </c>
      <c r="E71" s="21" t="s">
        <v>242</v>
      </c>
      <c r="F71" s="19" t="s">
        <v>243</v>
      </c>
      <c r="G71" s="20">
        <f>SUM(ASOC.ESPAÑOLA:IAC!G71)</f>
        <v>29189888.710000001</v>
      </c>
    </row>
    <row r="72" spans="2:7" x14ac:dyDescent="0.25">
      <c r="B72" s="54" t="s">
        <v>244</v>
      </c>
      <c r="C72" s="55" t="s">
        <v>245</v>
      </c>
      <c r="D72" s="55">
        <f>SUM(ASOC.ESPAÑOLA:IAC!D72)</f>
        <v>124039862.95643507</v>
      </c>
      <c r="E72" s="21" t="s">
        <v>246</v>
      </c>
      <c r="F72" s="19" t="s">
        <v>247</v>
      </c>
      <c r="G72" s="20">
        <f>SUM(ASOC.ESPAÑOLA:IAC!G72)</f>
        <v>146700554.41999999</v>
      </c>
    </row>
    <row r="73" spans="2:7" x14ac:dyDescent="0.25">
      <c r="B73" s="54" t="s">
        <v>248</v>
      </c>
      <c r="C73" s="55" t="s">
        <v>249</v>
      </c>
      <c r="D73" s="55">
        <f>SUM(ASOC.ESPAÑOLA:IAC!D73)</f>
        <v>13174341</v>
      </c>
      <c r="E73" s="21" t="s">
        <v>250</v>
      </c>
      <c r="F73" s="19" t="s">
        <v>251</v>
      </c>
      <c r="G73" s="20">
        <f>SUM(ASOC.ESPAÑOLA:IAC!G73)</f>
        <v>83887479.479999989</v>
      </c>
    </row>
    <row r="74" spans="2:7" x14ac:dyDescent="0.25">
      <c r="B74" s="54" t="s">
        <v>252</v>
      </c>
      <c r="C74" s="55" t="s">
        <v>253</v>
      </c>
      <c r="D74" s="55">
        <f>SUM(ASOC.ESPAÑOLA:IAC!D74)</f>
        <v>68217037.240305811</v>
      </c>
      <c r="E74" s="21" t="s">
        <v>254</v>
      </c>
      <c r="F74" s="19" t="s">
        <v>255</v>
      </c>
      <c r="G74" s="20">
        <f>SUM(ASOC.ESPAÑOLA:IAC!G74)</f>
        <v>82882240</v>
      </c>
    </row>
    <row r="75" spans="2:7" x14ac:dyDescent="0.25">
      <c r="B75" s="54" t="s">
        <v>256</v>
      </c>
      <c r="C75" s="55" t="s">
        <v>257</v>
      </c>
      <c r="D75" s="55">
        <f>SUM(ASOC.ESPAÑOLA:IAC!D75)</f>
        <v>3597171</v>
      </c>
      <c r="E75" s="21" t="s">
        <v>258</v>
      </c>
      <c r="F75" s="19" t="s">
        <v>259</v>
      </c>
      <c r="G75" s="20">
        <f>SUM(ASOC.ESPAÑOLA:IAC!G75)</f>
        <v>286636180.07999998</v>
      </c>
    </row>
    <row r="76" spans="2:7" x14ac:dyDescent="0.25">
      <c r="B76" s="54" t="s">
        <v>260</v>
      </c>
      <c r="C76" s="55" t="s">
        <v>261</v>
      </c>
      <c r="D76" s="55">
        <f>SUM(ASOC.ESPAÑOLA:IAC!D76)</f>
        <v>0</v>
      </c>
      <c r="E76" s="21" t="s">
        <v>262</v>
      </c>
      <c r="F76" s="19" t="s">
        <v>263</v>
      </c>
      <c r="G76" s="20">
        <f>SUM(ASOC.ESPAÑOLA:IAC!G76)</f>
        <v>850234990.60000002</v>
      </c>
    </row>
    <row r="77" spans="2:7" x14ac:dyDescent="0.25">
      <c r="B77" s="54" t="s">
        <v>264</v>
      </c>
      <c r="C77" s="55" t="s">
        <v>265</v>
      </c>
      <c r="D77" s="55">
        <f>SUM(ASOC.ESPAÑOLA:IAC!D77)</f>
        <v>1696673364.0524459</v>
      </c>
      <c r="E77" s="21" t="s">
        <v>266</v>
      </c>
      <c r="F77" s="19" t="s">
        <v>267</v>
      </c>
      <c r="G77" s="20">
        <f>SUM(ASOC.ESPAÑOLA:IAC!G77)</f>
        <v>2429012050.9200001</v>
      </c>
    </row>
    <row r="78" spans="2:7" x14ac:dyDescent="0.25">
      <c r="B78" s="54"/>
      <c r="C78" s="55"/>
      <c r="D78" s="55">
        <f>SUM(ASOC.ESPAÑOLA:IAC!D78)</f>
        <v>0</v>
      </c>
      <c r="E78" s="21" t="s">
        <v>268</v>
      </c>
      <c r="F78" s="19" t="s">
        <v>269</v>
      </c>
      <c r="G78" s="27">
        <f>SUM(ASOC.ESPAÑOLA:IAC!G78)</f>
        <v>504800946.76278943</v>
      </c>
    </row>
    <row r="79" spans="2:7" ht="15.75" thickBot="1" x14ac:dyDescent="0.3">
      <c r="B79" s="54"/>
      <c r="C79" s="53" t="s">
        <v>270</v>
      </c>
      <c r="D79" s="56">
        <f>SUM(ASOC.ESPAÑOLA:IAC!D79)</f>
        <v>0</v>
      </c>
      <c r="E79" s="21"/>
      <c r="F79" s="28" t="s">
        <v>271</v>
      </c>
      <c r="G79" s="29">
        <f>SUM(ASOC.ESPAÑOLA:IAC!G79)</f>
        <v>12086028640.702789</v>
      </c>
    </row>
    <row r="80" spans="2:7" x14ac:dyDescent="0.25">
      <c r="B80" s="54" t="s">
        <v>272</v>
      </c>
      <c r="C80" s="55" t="s">
        <v>237</v>
      </c>
      <c r="D80" s="55">
        <f>SUM(ASOC.ESPAÑOLA:IAC!D80)</f>
        <v>59220065.799999997</v>
      </c>
      <c r="E80" s="21" t="s">
        <v>273</v>
      </c>
      <c r="F80" s="22" t="s">
        <v>274</v>
      </c>
      <c r="G80" s="23">
        <f>SUM(ASOC.ESPAÑOLA:IAC!G80)</f>
        <v>78273658.900000006</v>
      </c>
    </row>
    <row r="81" spans="2:7" x14ac:dyDescent="0.25">
      <c r="B81" s="54" t="s">
        <v>275</v>
      </c>
      <c r="C81" s="55" t="s">
        <v>241</v>
      </c>
      <c r="D81" s="55">
        <f>SUM(ASOC.ESPAÑOLA:IAC!D81)</f>
        <v>3918993</v>
      </c>
      <c r="E81" s="21" t="s">
        <v>276</v>
      </c>
      <c r="F81" s="19" t="s">
        <v>277</v>
      </c>
      <c r="G81" s="20">
        <f>SUM(ASOC.ESPAÑOLA:IAC!G81)</f>
        <v>602327387.94500005</v>
      </c>
    </row>
    <row r="82" spans="2:7" x14ac:dyDescent="0.25">
      <c r="B82" s="54" t="s">
        <v>278</v>
      </c>
      <c r="C82" s="55" t="s">
        <v>245</v>
      </c>
      <c r="D82" s="55">
        <f>SUM(ASOC.ESPAÑOLA:IAC!D82)</f>
        <v>32217694.899999999</v>
      </c>
      <c r="E82" s="21" t="s">
        <v>279</v>
      </c>
      <c r="F82" s="19" t="s">
        <v>280</v>
      </c>
      <c r="G82" s="20">
        <f>SUM(ASOC.ESPAÑOLA:IAC!G82)</f>
        <v>161583481.11999997</v>
      </c>
    </row>
    <row r="83" spans="2:7" x14ac:dyDescent="0.25">
      <c r="B83" s="54" t="s">
        <v>281</v>
      </c>
      <c r="C83" s="55" t="s">
        <v>249</v>
      </c>
      <c r="D83" s="55">
        <f>SUM(ASOC.ESPAÑOLA:IAC!D83)</f>
        <v>1767487</v>
      </c>
      <c r="E83" s="21" t="s">
        <v>282</v>
      </c>
      <c r="F83" s="19" t="s">
        <v>283</v>
      </c>
      <c r="G83" s="20">
        <f>SUM(ASOC.ESPAÑOLA:IAC!G83)</f>
        <v>147846686.89249998</v>
      </c>
    </row>
    <row r="84" spans="2:7" x14ac:dyDescent="0.25">
      <c r="B84" s="54" t="s">
        <v>284</v>
      </c>
      <c r="C84" s="55" t="s">
        <v>285</v>
      </c>
      <c r="D84" s="55">
        <f>SUM(ASOC.ESPAÑOLA:IAC!D84)</f>
        <v>0</v>
      </c>
      <c r="E84" s="21" t="s">
        <v>286</v>
      </c>
      <c r="F84" s="19" t="s">
        <v>287</v>
      </c>
      <c r="G84" s="20">
        <f>SUM(ASOC.ESPAÑOLA:IAC!G84)</f>
        <v>411031314.64749998</v>
      </c>
    </row>
    <row r="85" spans="2:7" x14ac:dyDescent="0.25">
      <c r="B85" s="54" t="s">
        <v>288</v>
      </c>
      <c r="C85" s="55" t="s">
        <v>289</v>
      </c>
      <c r="D85" s="55">
        <f>SUM(ASOC.ESPAÑOLA:IAC!D85)</f>
        <v>0</v>
      </c>
      <c r="E85" s="21" t="s">
        <v>290</v>
      </c>
      <c r="F85" s="19" t="s">
        <v>291</v>
      </c>
      <c r="G85" s="20">
        <f>SUM(ASOC.ESPAÑOLA:IAC!G85)</f>
        <v>185223022.98249999</v>
      </c>
    </row>
    <row r="86" spans="2:7" x14ac:dyDescent="0.25">
      <c r="B86" s="54" t="s">
        <v>292</v>
      </c>
      <c r="C86" s="55" t="s">
        <v>293</v>
      </c>
      <c r="D86" s="55">
        <f>SUM(ASOC.ESPAÑOLA:IAC!D86)</f>
        <v>0</v>
      </c>
      <c r="E86" s="21" t="s">
        <v>294</v>
      </c>
      <c r="F86" s="19" t="s">
        <v>295</v>
      </c>
      <c r="G86" s="20">
        <f>SUM(ASOC.ESPAÑOLA:IAC!G86)</f>
        <v>52649849.452499986</v>
      </c>
    </row>
    <row r="87" spans="2:7" x14ac:dyDescent="0.25">
      <c r="B87" s="54" t="s">
        <v>296</v>
      </c>
      <c r="C87" s="55" t="s">
        <v>297</v>
      </c>
      <c r="D87" s="55">
        <f>SUM(ASOC.ESPAÑOLA:IAC!D87)</f>
        <v>12670389</v>
      </c>
      <c r="E87" s="21" t="s">
        <v>298</v>
      </c>
      <c r="F87" s="19" t="s">
        <v>299</v>
      </c>
      <c r="G87" s="20">
        <f>SUM(ASOC.ESPAÑOLA:IAC!G87)</f>
        <v>204743964.27000001</v>
      </c>
    </row>
    <row r="88" spans="2:7" x14ac:dyDescent="0.25">
      <c r="B88" s="54" t="s">
        <v>300</v>
      </c>
      <c r="C88" s="55" t="s">
        <v>301</v>
      </c>
      <c r="D88" s="55">
        <f>SUM(ASOC.ESPAÑOLA:IAC!D88)</f>
        <v>63428467</v>
      </c>
      <c r="E88" s="21" t="s">
        <v>302</v>
      </c>
      <c r="F88" s="19" t="s">
        <v>303</v>
      </c>
      <c r="G88" s="20">
        <f>SUM(ASOC.ESPAÑOLA:IAC!G88)</f>
        <v>76190745.092499986</v>
      </c>
    </row>
    <row r="89" spans="2:7" x14ac:dyDescent="0.25">
      <c r="B89" s="54" t="s">
        <v>304</v>
      </c>
      <c r="C89" s="55" t="s">
        <v>213</v>
      </c>
      <c r="D89" s="55">
        <f>SUM(ASOC.ESPAÑOLA:IAC!D89)</f>
        <v>24880718.75</v>
      </c>
      <c r="E89" s="21" t="s">
        <v>305</v>
      </c>
      <c r="F89" s="19" t="s">
        <v>306</v>
      </c>
      <c r="G89" s="20">
        <f>SUM(ASOC.ESPAÑOLA:IAC!G89)</f>
        <v>782036866.96000004</v>
      </c>
    </row>
    <row r="90" spans="2:7" x14ac:dyDescent="0.25">
      <c r="B90" s="54" t="s">
        <v>307</v>
      </c>
      <c r="C90" s="55" t="s">
        <v>229</v>
      </c>
      <c r="D90" s="55">
        <f>SUM(ASOC.ESPAÑOLA:IAC!D90)</f>
        <v>6581982</v>
      </c>
      <c r="E90" s="21" t="s">
        <v>308</v>
      </c>
      <c r="F90" s="19" t="s">
        <v>309</v>
      </c>
      <c r="G90" s="20">
        <f>SUM(ASOC.ESPAÑOLA:IAC!G90)</f>
        <v>118960840.52</v>
      </c>
    </row>
    <row r="91" spans="2:7" x14ac:dyDescent="0.25">
      <c r="B91" s="54" t="s">
        <v>310</v>
      </c>
      <c r="C91" s="55" t="s">
        <v>311</v>
      </c>
      <c r="D91" s="55">
        <f>SUM(ASOC.ESPAÑOLA:IAC!D91)</f>
        <v>204685797.44999999</v>
      </c>
      <c r="E91" s="52" t="s">
        <v>312</v>
      </c>
      <c r="F91" s="19" t="s">
        <v>313</v>
      </c>
      <c r="G91" s="20">
        <f>SUM(ASOC.ESPAÑOLA:IAC!G91)</f>
        <v>35554809.93</v>
      </c>
    </row>
    <row r="92" spans="2:7" x14ac:dyDescent="0.25">
      <c r="B92" s="54"/>
      <c r="C92" s="57" t="s">
        <v>314</v>
      </c>
      <c r="D92" s="55">
        <f>SUM(ASOC.ESPAÑOLA:IAC!D92)</f>
        <v>1901359161.5024457</v>
      </c>
      <c r="E92" s="52" t="s">
        <v>315</v>
      </c>
      <c r="F92" s="19" t="s">
        <v>316</v>
      </c>
      <c r="G92" s="20">
        <f>SUM(ASOC.ESPAÑOLA:IAC!G92)</f>
        <v>2371706</v>
      </c>
    </row>
    <row r="93" spans="2:7" x14ac:dyDescent="0.25">
      <c r="E93" s="52" t="s">
        <v>317</v>
      </c>
      <c r="F93" s="19" t="s">
        <v>318</v>
      </c>
      <c r="G93" s="20">
        <f>SUM(ASOC.ESPAÑOLA:IAC!G93)</f>
        <v>336581484.91249996</v>
      </c>
    </row>
    <row r="94" spans="2:7" x14ac:dyDescent="0.25">
      <c r="E94" s="52" t="s">
        <v>319</v>
      </c>
      <c r="F94" s="19" t="s">
        <v>320</v>
      </c>
      <c r="G94" s="27">
        <f>SUM(ASOC.ESPAÑOLA:IAC!G94)</f>
        <v>132062713.26507546</v>
      </c>
    </row>
    <row r="95" spans="2:7" ht="13.5" customHeight="1" thickBot="1" x14ac:dyDescent="0.3">
      <c r="E95" s="21"/>
      <c r="F95" s="28" t="s">
        <v>321</v>
      </c>
      <c r="G95" s="29">
        <f>SUM(ASOC.ESPAÑOLA:IAC!G95)</f>
        <v>3327438532.8900752</v>
      </c>
    </row>
    <row r="96" spans="2:7" x14ac:dyDescent="0.25">
      <c r="E96" s="52" t="s">
        <v>322</v>
      </c>
      <c r="F96" s="22" t="s">
        <v>323</v>
      </c>
      <c r="G96" s="23">
        <f>SUM(ASOC.ESPAÑOLA:IAC!G96)</f>
        <v>276007161.68999994</v>
      </c>
    </row>
    <row r="97" spans="2:7" x14ac:dyDescent="0.25">
      <c r="E97" s="52" t="s">
        <v>324</v>
      </c>
      <c r="F97" s="19" t="s">
        <v>325</v>
      </c>
      <c r="G97" s="20">
        <f>SUM(ASOC.ESPAÑOLA:IAC!G97)</f>
        <v>252945666.73999998</v>
      </c>
    </row>
    <row r="98" spans="2:7" x14ac:dyDescent="0.25">
      <c r="E98" s="52" t="s">
        <v>326</v>
      </c>
      <c r="F98" s="19" t="s">
        <v>327</v>
      </c>
      <c r="G98" s="20">
        <f>SUM(ASOC.ESPAÑOLA:IAC!G98)</f>
        <v>36524243.879999995</v>
      </c>
    </row>
    <row r="99" spans="2:7" x14ac:dyDescent="0.25">
      <c r="E99" s="52" t="s">
        <v>328</v>
      </c>
      <c r="F99" s="19" t="s">
        <v>329</v>
      </c>
      <c r="G99" s="20">
        <f>SUM(ASOC.ESPAÑOLA:IAC!G99)</f>
        <v>223559126.97</v>
      </c>
    </row>
    <row r="100" spans="2:7" x14ac:dyDescent="0.25">
      <c r="E100" s="52" t="s">
        <v>330</v>
      </c>
      <c r="F100" s="19" t="s">
        <v>331</v>
      </c>
      <c r="G100" s="27">
        <f>SUM(ASOC.ESPAÑOLA:IAC!G100)</f>
        <v>34841031.598495454</v>
      </c>
    </row>
    <row r="101" spans="2:7" ht="15.75" thickBot="1" x14ac:dyDescent="0.3">
      <c r="E101" s="21"/>
      <c r="F101" s="28" t="s">
        <v>332</v>
      </c>
      <c r="G101" s="29">
        <f>SUM(ASOC.ESPAÑOLA:IAC!G101)</f>
        <v>823877230.87849534</v>
      </c>
    </row>
    <row r="102" spans="2:7" ht="15.75" thickBot="1" x14ac:dyDescent="0.3">
      <c r="E102" s="52"/>
      <c r="F102" s="59" t="s">
        <v>333</v>
      </c>
      <c r="G102" s="60">
        <f>SUM(ASOC.ESPAÑOLA:IAC!G102)</f>
        <v>1696673364.0524459</v>
      </c>
    </row>
    <row r="103" spans="2:7" x14ac:dyDescent="0.25">
      <c r="E103" s="52" t="s">
        <v>334</v>
      </c>
      <c r="F103" s="19" t="s">
        <v>335</v>
      </c>
      <c r="G103" s="23">
        <f>SUM(ASOC.ESPAÑOLA:IAC!G103)</f>
        <v>1226726</v>
      </c>
    </row>
    <row r="104" spans="2:7" x14ac:dyDescent="0.25">
      <c r="E104" s="52" t="s">
        <v>336</v>
      </c>
      <c r="F104" s="61" t="s">
        <v>337</v>
      </c>
      <c r="G104" s="20">
        <f>SUM(ASOC.ESPAÑOLA:IAC!G104)</f>
        <v>36751</v>
      </c>
    </row>
    <row r="105" spans="2:7" ht="15.75" thickBot="1" x14ac:dyDescent="0.3">
      <c r="E105" s="21"/>
      <c r="F105" s="28" t="s">
        <v>338</v>
      </c>
      <c r="G105" s="29">
        <f>SUM(ASOC.ESPAÑOLA:IAC!G105)</f>
        <v>1263477</v>
      </c>
    </row>
    <row r="106" spans="2:7" ht="13.7" customHeight="1" thickBot="1" x14ac:dyDescent="0.3">
      <c r="B106" s="6"/>
      <c r="C106" s="62"/>
      <c r="D106" s="62"/>
      <c r="E106" s="52"/>
      <c r="F106" s="48" t="s">
        <v>339</v>
      </c>
      <c r="G106" s="49">
        <f>SUM(ASOC.ESPAÑOLA:IAC!G106)</f>
        <v>85592480650.419327</v>
      </c>
    </row>
    <row r="107" spans="2:7" ht="13.7" customHeight="1" x14ac:dyDescent="0.25">
      <c r="B107" s="6"/>
      <c r="C107" s="62"/>
      <c r="D107" s="62"/>
      <c r="E107" s="21"/>
      <c r="F107" s="63"/>
      <c r="G107" s="64"/>
    </row>
    <row r="108" spans="2:7" ht="13.7" customHeight="1" thickBot="1" x14ac:dyDescent="0.3">
      <c r="B108" s="6"/>
      <c r="C108" s="62"/>
      <c r="D108" s="62"/>
      <c r="E108" s="21"/>
    </row>
    <row r="109" spans="2:7" ht="13.7" customHeight="1" thickBot="1" x14ac:dyDescent="0.3">
      <c r="B109" s="6"/>
      <c r="C109" s="62"/>
      <c r="D109" s="62"/>
      <c r="E109" s="21"/>
      <c r="F109" s="13" t="s">
        <v>340</v>
      </c>
      <c r="G109" s="65">
        <f>SUM(ASOC.ESPAÑOLA:IAC!G109)</f>
        <v>7852138085.3963089</v>
      </c>
    </row>
    <row r="110" spans="2:7" ht="13.7" customHeight="1" thickBot="1" x14ac:dyDescent="0.3">
      <c r="B110" s="6"/>
      <c r="C110" s="62"/>
      <c r="D110" s="62"/>
      <c r="E110" s="21"/>
    </row>
    <row r="111" spans="2:7" ht="13.7" customHeight="1" thickBot="1" x14ac:dyDescent="0.3">
      <c r="C111" s="48" t="s">
        <v>270</v>
      </c>
      <c r="D111" s="17">
        <v>2020</v>
      </c>
      <c r="E111" s="52"/>
      <c r="F111" s="48" t="s">
        <v>341</v>
      </c>
      <c r="G111" s="17">
        <v>2020</v>
      </c>
    </row>
    <row r="112" spans="2:7" ht="13.7" customHeight="1" x14ac:dyDescent="0.25">
      <c r="B112" s="6" t="s">
        <v>342</v>
      </c>
      <c r="C112" s="66" t="s">
        <v>343</v>
      </c>
      <c r="D112" s="67">
        <f>SUM(ASOC.ESPAÑOLA:IAC!D112)</f>
        <v>443717836.95835292</v>
      </c>
      <c r="E112" s="21" t="s">
        <v>344</v>
      </c>
      <c r="F112" s="66" t="s">
        <v>309</v>
      </c>
      <c r="G112" s="67">
        <f>SUM(ASOC.ESPAÑOLA:IAC!G112)</f>
        <v>10811478.65</v>
      </c>
    </row>
    <row r="113" spans="2:7" ht="13.7" customHeight="1" x14ac:dyDescent="0.25">
      <c r="B113" s="6" t="s">
        <v>345</v>
      </c>
      <c r="C113" s="68" t="s">
        <v>346</v>
      </c>
      <c r="D113" s="69">
        <f>SUM(ASOC.ESPAÑOLA:IAC!D113)</f>
        <v>3349187830.9680138</v>
      </c>
      <c r="E113" s="21" t="s">
        <v>347</v>
      </c>
      <c r="F113" s="68" t="s">
        <v>348</v>
      </c>
      <c r="G113" s="69">
        <f>SUM(ASOC.ESPAÑOLA:IAC!G113)</f>
        <v>12403140</v>
      </c>
    </row>
    <row r="114" spans="2:7" ht="13.7" customHeight="1" x14ac:dyDescent="0.25">
      <c r="B114" s="6" t="s">
        <v>349</v>
      </c>
      <c r="C114" s="68" t="s">
        <v>48</v>
      </c>
      <c r="D114" s="69">
        <f>SUM(ASOC.ESPAÑOLA:IAC!D114)</f>
        <v>151443934.59363353</v>
      </c>
      <c r="E114" s="21" t="s">
        <v>350</v>
      </c>
      <c r="F114" s="68" t="s">
        <v>351</v>
      </c>
      <c r="G114" s="69">
        <f>SUM(ASOC.ESPAÑOLA:IAC!G114)</f>
        <v>401311864.53999996</v>
      </c>
    </row>
    <row r="115" spans="2:7" ht="13.7" customHeight="1" x14ac:dyDescent="0.25">
      <c r="B115" s="6" t="s">
        <v>352</v>
      </c>
      <c r="C115" s="68" t="s">
        <v>353</v>
      </c>
      <c r="D115" s="69">
        <f>SUM(ASOC.ESPAÑOLA:IAC!D115)</f>
        <v>19698647.650423836</v>
      </c>
      <c r="E115" s="21" t="s">
        <v>354</v>
      </c>
      <c r="F115" s="68" t="s">
        <v>355</v>
      </c>
      <c r="G115" s="69">
        <f>SUM(ASOC.ESPAÑOLA:IAC!G115)</f>
        <v>44622416.189999998</v>
      </c>
    </row>
    <row r="116" spans="2:7" ht="13.7" customHeight="1" x14ac:dyDescent="0.25">
      <c r="B116" s="6" t="s">
        <v>356</v>
      </c>
      <c r="C116" s="68" t="s">
        <v>357</v>
      </c>
      <c r="D116" s="69">
        <f>SUM(ASOC.ESPAÑOLA:IAC!D116)</f>
        <v>163465380.29750311</v>
      </c>
      <c r="E116" s="21" t="s">
        <v>358</v>
      </c>
      <c r="F116" s="68" t="s">
        <v>359</v>
      </c>
      <c r="G116" s="69">
        <f>SUM(ASOC.ESPAÑOLA:IAC!G116)</f>
        <v>158560676.34</v>
      </c>
    </row>
    <row r="117" spans="2:7" ht="13.7" customHeight="1" x14ac:dyDescent="0.25">
      <c r="B117" s="6" t="s">
        <v>360</v>
      </c>
      <c r="C117" s="68" t="s">
        <v>361</v>
      </c>
      <c r="D117" s="69">
        <f>SUM(ASOC.ESPAÑOLA:IAC!D117)</f>
        <v>11633105.542073049</v>
      </c>
      <c r="E117" s="21" t="s">
        <v>362</v>
      </c>
      <c r="F117" s="68" t="s">
        <v>363</v>
      </c>
      <c r="G117" s="69">
        <f>SUM(ASOC.ESPAÑOLA:IAC!G117)</f>
        <v>16601972</v>
      </c>
    </row>
    <row r="118" spans="2:7" ht="13.7" customHeight="1" x14ac:dyDescent="0.25">
      <c r="B118" s="6" t="s">
        <v>364</v>
      </c>
      <c r="C118" s="68" t="s">
        <v>365</v>
      </c>
      <c r="D118" s="69">
        <f>SUM(ASOC.ESPAÑOLA:IAC!D118)</f>
        <v>960262.47000000009</v>
      </c>
      <c r="E118" s="21" t="s">
        <v>366</v>
      </c>
      <c r="F118" s="68" t="s">
        <v>367</v>
      </c>
      <c r="G118" s="69">
        <f>SUM(ASOC.ESPAÑOLA:IAC!G118)</f>
        <v>16450548</v>
      </c>
    </row>
    <row r="119" spans="2:7" ht="13.7" customHeight="1" x14ac:dyDescent="0.25">
      <c r="B119" s="6" t="s">
        <v>368</v>
      </c>
      <c r="C119" s="68" t="s">
        <v>369</v>
      </c>
      <c r="D119" s="69">
        <f>SUM(ASOC.ESPAÑOLA:IAC!D119)</f>
        <v>32955747.260000002</v>
      </c>
      <c r="E119" s="21" t="s">
        <v>370</v>
      </c>
      <c r="F119" s="68" t="s">
        <v>371</v>
      </c>
      <c r="G119" s="69">
        <f>SUM(ASOC.ESPAÑOLA:IAC!G119)</f>
        <v>2201977</v>
      </c>
    </row>
    <row r="120" spans="2:7" ht="13.7" customHeight="1" x14ac:dyDescent="0.25">
      <c r="B120" s="6" t="s">
        <v>372</v>
      </c>
      <c r="C120" s="68" t="s">
        <v>373</v>
      </c>
      <c r="D120" s="69">
        <f>SUM(ASOC.ESPAÑOLA:IAC!D120)</f>
        <v>6727897</v>
      </c>
      <c r="E120" s="21" t="s">
        <v>374</v>
      </c>
      <c r="F120" s="68" t="s">
        <v>375</v>
      </c>
      <c r="G120" s="69">
        <f>SUM(ASOC.ESPAÑOLA:IAC!G120)</f>
        <v>0</v>
      </c>
    </row>
    <row r="121" spans="2:7" ht="13.7" customHeight="1" x14ac:dyDescent="0.25">
      <c r="B121" s="6" t="s">
        <v>376</v>
      </c>
      <c r="C121" s="19" t="s">
        <v>377</v>
      </c>
      <c r="D121" s="69">
        <f>SUM(ASOC.ESPAÑOLA:IAC!D121)</f>
        <v>207236081.20999998</v>
      </c>
      <c r="E121" s="21" t="s">
        <v>378</v>
      </c>
      <c r="F121" s="68" t="s">
        <v>379</v>
      </c>
      <c r="G121" s="69">
        <f>SUM(ASOC.ESPAÑOLA:IAC!G121)</f>
        <v>269991835.65999997</v>
      </c>
    </row>
    <row r="122" spans="2:7" ht="13.7" customHeight="1" thickBot="1" x14ac:dyDescent="0.3">
      <c r="B122" s="6"/>
      <c r="C122" s="28" t="s">
        <v>380</v>
      </c>
      <c r="D122" s="37">
        <f>SUM(ASOC.ESPAÑOLA:IAC!D122)</f>
        <v>4387026723.9499998</v>
      </c>
      <c r="E122" s="21" t="s">
        <v>381</v>
      </c>
      <c r="F122" s="19" t="s">
        <v>382</v>
      </c>
      <c r="G122" s="20">
        <f>SUM(ASOC.ESPAÑOLA:IAC!G122)</f>
        <v>35351793.334998183</v>
      </c>
    </row>
    <row r="123" spans="2:7" ht="13.7" customHeight="1" thickBot="1" x14ac:dyDescent="0.3">
      <c r="B123" s="6" t="s">
        <v>383</v>
      </c>
      <c r="C123" s="70" t="s">
        <v>309</v>
      </c>
      <c r="D123" s="67">
        <f>SUM(ASOC.ESPAÑOLA:IAC!D123)</f>
        <v>138660351.95999998</v>
      </c>
      <c r="E123" s="52"/>
      <c r="F123" s="28" t="s">
        <v>384</v>
      </c>
      <c r="G123" s="37">
        <f>SUM(ASOC.ESPAÑOLA:IAC!G123)</f>
        <v>968307701.71499825</v>
      </c>
    </row>
    <row r="124" spans="2:7" ht="13.7" customHeight="1" x14ac:dyDescent="0.25">
      <c r="B124" s="6" t="s">
        <v>385</v>
      </c>
      <c r="C124" s="68" t="s">
        <v>313</v>
      </c>
      <c r="D124" s="69">
        <f>SUM(ASOC.ESPAÑOLA:IAC!D124)</f>
        <v>455618542.23000002</v>
      </c>
      <c r="E124" s="21" t="s">
        <v>386</v>
      </c>
      <c r="F124" s="68" t="s">
        <v>387</v>
      </c>
      <c r="G124" s="69">
        <f>SUM(ASOC.ESPAÑOLA:IAC!G124)</f>
        <v>158254207.09</v>
      </c>
    </row>
    <row r="125" spans="2:7" ht="13.7" customHeight="1" x14ac:dyDescent="0.25">
      <c r="B125" s="6" t="s">
        <v>388</v>
      </c>
      <c r="C125" s="19" t="s">
        <v>389</v>
      </c>
      <c r="D125" s="69">
        <f>SUM(ASOC.ESPAÑOLA:IAC!D125)</f>
        <v>25408711.469999999</v>
      </c>
      <c r="E125" s="21" t="s">
        <v>390</v>
      </c>
      <c r="F125" s="68" t="s">
        <v>391</v>
      </c>
      <c r="G125" s="69">
        <f>SUM(ASOC.ESPAÑOLA:IAC!G125)</f>
        <v>9078472.379999999</v>
      </c>
    </row>
    <row r="126" spans="2:7" ht="13.7" customHeight="1" thickBot="1" x14ac:dyDescent="0.3">
      <c r="B126" s="6"/>
      <c r="C126" s="28" t="s">
        <v>392</v>
      </c>
      <c r="D126" s="37">
        <f>SUM(ASOC.ESPAÑOLA:IAC!D126)</f>
        <v>619687605.65999997</v>
      </c>
      <c r="E126" s="21" t="s">
        <v>393</v>
      </c>
      <c r="F126" s="68" t="s">
        <v>394</v>
      </c>
      <c r="G126" s="69">
        <f>SUM(ASOC.ESPAÑOLA:IAC!G126)</f>
        <v>167057081.88999999</v>
      </c>
    </row>
    <row r="127" spans="2:7" ht="13.7" customHeight="1" x14ac:dyDescent="0.25">
      <c r="B127" s="6" t="s">
        <v>395</v>
      </c>
      <c r="C127" s="66" t="s">
        <v>274</v>
      </c>
      <c r="D127" s="67">
        <f>SUM(ASOC.ESPAÑOLA:IAC!D127)</f>
        <v>154136145.11000001</v>
      </c>
      <c r="E127" s="21" t="s">
        <v>396</v>
      </c>
      <c r="F127" s="68" t="s">
        <v>397</v>
      </c>
      <c r="G127" s="69">
        <f>SUM(ASOC.ESPAÑOLA:IAC!G127)</f>
        <v>4942035</v>
      </c>
    </row>
    <row r="128" spans="2:7" ht="13.7" customHeight="1" x14ac:dyDescent="0.25">
      <c r="B128" s="6" t="s">
        <v>398</v>
      </c>
      <c r="C128" s="68" t="s">
        <v>399</v>
      </c>
      <c r="D128" s="69">
        <f>SUM(ASOC.ESPAÑOLA:IAC!D128)</f>
        <v>94680026.092499986</v>
      </c>
      <c r="E128" s="21" t="s">
        <v>400</v>
      </c>
      <c r="F128" s="68" t="s">
        <v>401</v>
      </c>
      <c r="G128" s="69">
        <f>SUM(ASOC.ESPAÑOLA:IAC!G128)</f>
        <v>8557105</v>
      </c>
    </row>
    <row r="129" spans="2:7" ht="13.7" customHeight="1" x14ac:dyDescent="0.25">
      <c r="B129" s="6" t="s">
        <v>402</v>
      </c>
      <c r="C129" s="68" t="s">
        <v>277</v>
      </c>
      <c r="D129" s="69">
        <f>SUM(ASOC.ESPAÑOLA:IAC!D129)</f>
        <v>23791130.445</v>
      </c>
      <c r="E129" s="21" t="s">
        <v>403</v>
      </c>
      <c r="F129" s="68" t="s">
        <v>404</v>
      </c>
      <c r="G129" s="69">
        <f>SUM(ASOC.ESPAÑOLA:IAC!G129)</f>
        <v>90743113.419999987</v>
      </c>
    </row>
    <row r="130" spans="2:7" ht="13.7" customHeight="1" x14ac:dyDescent="0.25">
      <c r="B130" s="6" t="s">
        <v>405</v>
      </c>
      <c r="C130" s="68" t="s">
        <v>283</v>
      </c>
      <c r="D130" s="69">
        <f>SUM(ASOC.ESPAÑOLA:IAC!D130)</f>
        <v>9607851.1675000004</v>
      </c>
      <c r="E130" s="21" t="s">
        <v>406</v>
      </c>
      <c r="F130" s="68" t="s">
        <v>407</v>
      </c>
      <c r="G130" s="69">
        <f>SUM(ASOC.ESPAÑOLA:IAC!G130)</f>
        <v>0</v>
      </c>
    </row>
    <row r="131" spans="2:7" ht="13.7" customHeight="1" x14ac:dyDescent="0.25">
      <c r="B131" s="6" t="s">
        <v>408</v>
      </c>
      <c r="C131" s="68" t="s">
        <v>287</v>
      </c>
      <c r="D131" s="69">
        <f>SUM(ASOC.ESPAÑOLA:IAC!D131)</f>
        <v>23286880.082500003</v>
      </c>
      <c r="E131" s="21" t="s">
        <v>409</v>
      </c>
      <c r="F131" s="68" t="s">
        <v>410</v>
      </c>
      <c r="G131" s="69">
        <f>SUM(ASOC.ESPAÑOLA:IAC!G131)</f>
        <v>2910412.12</v>
      </c>
    </row>
    <row r="132" spans="2:7" ht="13.7" customHeight="1" x14ac:dyDescent="0.25">
      <c r="B132" s="6" t="s">
        <v>411</v>
      </c>
      <c r="C132" s="68" t="s">
        <v>291</v>
      </c>
      <c r="D132" s="69">
        <f>SUM(ASOC.ESPAÑOLA:IAC!D132)</f>
        <v>59612450.737499997</v>
      </c>
      <c r="E132" s="21" t="s">
        <v>412</v>
      </c>
      <c r="F132" s="68" t="s">
        <v>413</v>
      </c>
      <c r="G132" s="69">
        <f>SUM(ASOC.ESPAÑOLA:IAC!G132)</f>
        <v>31196821.93</v>
      </c>
    </row>
    <row r="133" spans="2:7" ht="13.7" customHeight="1" x14ac:dyDescent="0.25">
      <c r="B133" s="6" t="s">
        <v>414</v>
      </c>
      <c r="C133" s="68" t="s">
        <v>295</v>
      </c>
      <c r="D133" s="69">
        <f>SUM(ASOC.ESPAÑOLA:IAC!D133)</f>
        <v>11043011.9575</v>
      </c>
      <c r="E133" s="21" t="s">
        <v>415</v>
      </c>
      <c r="F133" s="68" t="s">
        <v>416</v>
      </c>
      <c r="G133" s="69">
        <f>SUM(ASOC.ESPAÑOLA:IAC!G133)</f>
        <v>87449364.109999999</v>
      </c>
    </row>
    <row r="134" spans="2:7" ht="13.7" customHeight="1" x14ac:dyDescent="0.25">
      <c r="B134" s="6" t="s">
        <v>417</v>
      </c>
      <c r="C134" s="68" t="s">
        <v>418</v>
      </c>
      <c r="D134" s="69">
        <f>SUM(ASOC.ESPAÑOLA:IAC!D134)</f>
        <v>289780913.08000004</v>
      </c>
      <c r="E134" s="21" t="s">
        <v>419</v>
      </c>
      <c r="F134" s="68" t="s">
        <v>420</v>
      </c>
      <c r="G134" s="69">
        <f>SUM(ASOC.ESPAÑOLA:IAC!G134)</f>
        <v>91353434</v>
      </c>
    </row>
    <row r="135" spans="2:7" ht="13.7" customHeight="1" x14ac:dyDescent="0.25">
      <c r="B135" s="6" t="s">
        <v>421</v>
      </c>
      <c r="C135" s="68" t="s">
        <v>422</v>
      </c>
      <c r="D135" s="69">
        <f>SUM(ASOC.ESPAÑOLA:IAC!D135)</f>
        <v>378545248.89999998</v>
      </c>
      <c r="E135" s="21" t="s">
        <v>423</v>
      </c>
      <c r="F135" s="68" t="s">
        <v>424</v>
      </c>
      <c r="G135" s="69">
        <f>SUM(ASOC.ESPAÑOLA:IAC!G135)</f>
        <v>701640</v>
      </c>
    </row>
    <row r="136" spans="2:7" ht="13.7" customHeight="1" x14ac:dyDescent="0.25">
      <c r="B136" s="6" t="s">
        <v>425</v>
      </c>
      <c r="C136" s="68" t="s">
        <v>318</v>
      </c>
      <c r="D136" s="69">
        <f>SUM(ASOC.ESPAÑOLA:IAC!D136)</f>
        <v>386906277.0025</v>
      </c>
      <c r="E136" s="21" t="s">
        <v>426</v>
      </c>
      <c r="F136" s="68" t="s">
        <v>427</v>
      </c>
      <c r="G136" s="69">
        <f>SUM(ASOC.ESPAÑOLA:IAC!G136)</f>
        <v>12554579.09</v>
      </c>
    </row>
    <row r="137" spans="2:7" ht="13.7" customHeight="1" x14ac:dyDescent="0.25">
      <c r="B137" s="6" t="s">
        <v>428</v>
      </c>
      <c r="C137" s="19" t="s">
        <v>320</v>
      </c>
      <c r="D137" s="71">
        <f>SUM(ASOC.ESPAÑOLA:IAC!D137)</f>
        <v>65701544.645984195</v>
      </c>
      <c r="E137" s="21" t="s">
        <v>429</v>
      </c>
      <c r="F137" s="68" t="s">
        <v>430</v>
      </c>
      <c r="G137" s="69">
        <f>SUM(ASOC.ESPAÑOLA:IAC!G137)</f>
        <v>455816484.76999998</v>
      </c>
    </row>
    <row r="138" spans="2:7" ht="13.7" customHeight="1" thickBot="1" x14ac:dyDescent="0.3">
      <c r="B138" s="6"/>
      <c r="C138" s="28" t="s">
        <v>321</v>
      </c>
      <c r="D138" s="37">
        <f>SUM(ASOC.ESPAÑOLA:IAC!D138)</f>
        <v>1497091479.2209842</v>
      </c>
      <c r="E138" s="21" t="s">
        <v>431</v>
      </c>
      <c r="F138" s="19" t="s">
        <v>432</v>
      </c>
      <c r="G138" s="20">
        <f>SUM(ASOC.ESPAÑOLA:IAC!G138)</f>
        <v>42172546.133182399</v>
      </c>
    </row>
    <row r="139" spans="2:7" ht="13.7" customHeight="1" thickBot="1" x14ac:dyDescent="0.3">
      <c r="B139" s="6" t="s">
        <v>433</v>
      </c>
      <c r="C139" s="66" t="s">
        <v>327</v>
      </c>
      <c r="D139" s="67">
        <f>SUM(ASOC.ESPAÑOLA:IAC!D139)</f>
        <v>249542</v>
      </c>
      <c r="E139" s="7"/>
      <c r="F139" s="28" t="s">
        <v>434</v>
      </c>
      <c r="G139" s="37">
        <f>SUM(ASOC.ESPAÑOLA:IAC!G139)</f>
        <v>1162787296.9331822</v>
      </c>
    </row>
    <row r="140" spans="2:7" ht="13.7" customHeight="1" thickBot="1" x14ac:dyDescent="0.3">
      <c r="B140" s="6" t="s">
        <v>435</v>
      </c>
      <c r="C140" s="68" t="s">
        <v>329</v>
      </c>
      <c r="D140" s="69">
        <f>SUM(ASOC.ESPAÑOLA:IAC!D140)</f>
        <v>55107871.630000003</v>
      </c>
      <c r="E140" s="7"/>
      <c r="F140" s="48" t="s">
        <v>436</v>
      </c>
      <c r="G140" s="72">
        <f>SUM(ASOC.ESPAÑOLA:IAC!G140)</f>
        <v>-194479595.21818423</v>
      </c>
    </row>
    <row r="141" spans="2:7" ht="13.7" customHeight="1" x14ac:dyDescent="0.25">
      <c r="B141" s="6" t="s">
        <v>437</v>
      </c>
      <c r="C141" s="19" t="s">
        <v>331</v>
      </c>
      <c r="D141" s="71">
        <f>SUM(ASOC.ESPAÑOLA:IAC!D141)</f>
        <v>4699417.3</v>
      </c>
      <c r="E141" s="73"/>
    </row>
    <row r="142" spans="2:7" ht="13.7" customHeight="1" thickBot="1" x14ac:dyDescent="0.3">
      <c r="B142" s="6"/>
      <c r="C142" s="28" t="s">
        <v>332</v>
      </c>
      <c r="D142" s="37">
        <f>SUM(ASOC.ESPAÑOLA:IAC!D142)</f>
        <v>60056830.93</v>
      </c>
      <c r="E142" s="73"/>
    </row>
    <row r="143" spans="2:7" ht="13.7" customHeight="1" thickBot="1" x14ac:dyDescent="0.3">
      <c r="B143" s="6"/>
      <c r="C143" s="59" t="s">
        <v>438</v>
      </c>
      <c r="D143" s="74">
        <f>SUM(ASOC.ESPAÑOLA:IAC!D143)</f>
        <v>204685797.44999999</v>
      </c>
      <c r="E143" s="21"/>
      <c r="F143" s="48" t="s">
        <v>439</v>
      </c>
      <c r="G143" s="17"/>
    </row>
    <row r="144" spans="2:7" ht="13.7" customHeight="1" x14ac:dyDescent="0.25">
      <c r="B144" s="6" t="s">
        <v>440</v>
      </c>
      <c r="C144" s="66" t="s">
        <v>441</v>
      </c>
      <c r="D144" s="67">
        <f>SUM(ASOC.ESPAÑOLA:IAC!D144)</f>
        <v>72915459</v>
      </c>
      <c r="E144" s="21" t="s">
        <v>442</v>
      </c>
      <c r="F144" s="66" t="s">
        <v>443</v>
      </c>
      <c r="G144" s="67">
        <f>SUM(ASOC.ESPAÑOLA:IAC!G144)</f>
        <v>254526618.55000001</v>
      </c>
    </row>
    <row r="145" spans="2:7" ht="13.7" customHeight="1" x14ac:dyDescent="0.25">
      <c r="B145" s="6" t="s">
        <v>444</v>
      </c>
      <c r="C145" s="68" t="s">
        <v>445</v>
      </c>
      <c r="D145" s="69">
        <f>SUM(ASOC.ESPAÑOLA:IAC!D145)</f>
        <v>14722153</v>
      </c>
      <c r="E145" s="21" t="s">
        <v>446</v>
      </c>
      <c r="F145" s="68" t="s">
        <v>447</v>
      </c>
      <c r="G145" s="69">
        <f>SUM(ASOC.ESPAÑOLA:IAC!G145)</f>
        <v>288246753.47000003</v>
      </c>
    </row>
    <row r="146" spans="2:7" ht="13.7" customHeight="1" x14ac:dyDescent="0.25">
      <c r="B146" s="6" t="s">
        <v>448</v>
      </c>
      <c r="C146" s="75" t="s">
        <v>449</v>
      </c>
      <c r="D146" s="69">
        <f>SUM(ASOC.ESPAÑOLA:IAC!D146)</f>
        <v>2780901</v>
      </c>
      <c r="E146" s="21" t="s">
        <v>450</v>
      </c>
      <c r="F146" s="68" t="s">
        <v>451</v>
      </c>
      <c r="G146" s="69">
        <f>SUM(ASOC.ESPAÑOLA:IAC!G146)</f>
        <v>134082728</v>
      </c>
    </row>
    <row r="147" spans="2:7" ht="13.7" customHeight="1" x14ac:dyDescent="0.25">
      <c r="B147" s="6" t="s">
        <v>452</v>
      </c>
      <c r="C147" s="19" t="s">
        <v>453</v>
      </c>
      <c r="D147" s="71">
        <f>SUM(ASOC.ESPAÑOLA:IAC!D147)</f>
        <v>3821466.4</v>
      </c>
      <c r="E147" s="21" t="s">
        <v>454</v>
      </c>
      <c r="F147" s="68" t="s">
        <v>455</v>
      </c>
      <c r="G147" s="69">
        <f>SUM(ASOC.ESPAÑOLA:IAC!G147)</f>
        <v>41448666</v>
      </c>
    </row>
    <row r="148" spans="2:7" ht="13.7" customHeight="1" thickBot="1" x14ac:dyDescent="0.3">
      <c r="B148" s="6"/>
      <c r="C148" s="28" t="s">
        <v>456</v>
      </c>
      <c r="D148" s="37">
        <f>SUM(ASOC.ESPAÑOLA:IAC!D148)</f>
        <v>94239979.400000006</v>
      </c>
      <c r="E148" s="21" t="s">
        <v>457</v>
      </c>
      <c r="F148" s="68" t="s">
        <v>458</v>
      </c>
      <c r="G148" s="69">
        <f>SUM(ASOC.ESPAÑOLA:IAC!G148)</f>
        <v>0</v>
      </c>
    </row>
    <row r="149" spans="2:7" ht="13.7" customHeight="1" x14ac:dyDescent="0.25">
      <c r="B149" s="6" t="s">
        <v>459</v>
      </c>
      <c r="C149" s="66" t="s">
        <v>460</v>
      </c>
      <c r="D149" s="67">
        <f>SUM(ASOC.ESPAÑOLA:IAC!D149)</f>
        <v>40520181.980000004</v>
      </c>
      <c r="E149" s="21" t="s">
        <v>461</v>
      </c>
      <c r="F149" s="68" t="s">
        <v>462</v>
      </c>
      <c r="G149" s="69">
        <f>SUM(ASOC.ESPAÑOLA:IAC!G149)</f>
        <v>0</v>
      </c>
    </row>
    <row r="150" spans="2:7" ht="13.7" customHeight="1" x14ac:dyDescent="0.25">
      <c r="B150" s="6" t="s">
        <v>463</v>
      </c>
      <c r="C150" s="68" t="s">
        <v>464</v>
      </c>
      <c r="D150" s="69">
        <f>SUM(ASOC.ESPAÑOLA:IAC!D150)</f>
        <v>149873551</v>
      </c>
      <c r="E150" s="21" t="s">
        <v>465</v>
      </c>
      <c r="F150" s="68" t="s">
        <v>466</v>
      </c>
      <c r="G150" s="69">
        <f>SUM(ASOC.ESPAÑOLA:IAC!G150)</f>
        <v>68173</v>
      </c>
    </row>
    <row r="151" spans="2:7" ht="13.7" customHeight="1" x14ac:dyDescent="0.25">
      <c r="B151" s="6" t="s">
        <v>467</v>
      </c>
      <c r="C151" s="19" t="s">
        <v>468</v>
      </c>
      <c r="D151" s="71">
        <f>SUM(ASOC.ESPAÑOLA:IAC!D151)</f>
        <v>5820999</v>
      </c>
      <c r="E151" s="21" t="s">
        <v>469</v>
      </c>
      <c r="F151" s="68" t="s">
        <v>470</v>
      </c>
      <c r="G151" s="69">
        <f>SUM(ASOC.ESPAÑOLA:IAC!G151)</f>
        <v>1576766838.8945444</v>
      </c>
    </row>
    <row r="152" spans="2:7" ht="13.7" customHeight="1" thickBot="1" x14ac:dyDescent="0.3">
      <c r="B152" s="6"/>
      <c r="C152" s="28" t="s">
        <v>471</v>
      </c>
      <c r="D152" s="37">
        <f>SUM(ASOC.ESPAÑOLA:IAC!D152)</f>
        <v>196214731.97999999</v>
      </c>
      <c r="E152" s="21" t="s">
        <v>472</v>
      </c>
      <c r="F152" s="68" t="s">
        <v>473</v>
      </c>
      <c r="G152" s="69">
        <f>SUM(ASOC.ESPAÑOLA:IAC!G152)</f>
        <v>49680983</v>
      </c>
    </row>
    <row r="153" spans="2:7" ht="13.7" customHeight="1" thickBot="1" x14ac:dyDescent="0.3">
      <c r="B153" s="6"/>
      <c r="C153" s="48" t="s">
        <v>474</v>
      </c>
      <c r="D153" s="76">
        <f>SUM(ASOC.ESPAÑOLA:IAC!D153)</f>
        <v>7059003148.5909834</v>
      </c>
      <c r="E153" s="21" t="s">
        <v>475</v>
      </c>
      <c r="F153" s="19" t="s">
        <v>476</v>
      </c>
      <c r="G153" s="20">
        <f>SUM(ASOC.ESPAÑOLA:IAC!G153)</f>
        <v>164573504.85835904</v>
      </c>
    </row>
    <row r="154" spans="2:7" ht="13.7" customHeight="1" thickBot="1" x14ac:dyDescent="0.3">
      <c r="B154" s="6"/>
      <c r="E154" s="21"/>
      <c r="F154" s="28" t="s">
        <v>477</v>
      </c>
      <c r="G154" s="37">
        <f>SUM(ASOC.ESPAÑOLA:IAC!G154)</f>
        <v>2509394265.7729039</v>
      </c>
    </row>
    <row r="155" spans="2:7" ht="13.7" customHeight="1" thickBot="1" x14ac:dyDescent="0.3">
      <c r="B155" s="6"/>
      <c r="C155" s="77" t="s">
        <v>478</v>
      </c>
      <c r="D155" s="65">
        <f>SUM(ASOC.ESPAÑOLA:IAC!D155)</f>
        <v>793134936.80532432</v>
      </c>
      <c r="E155" s="21" t="s">
        <v>479</v>
      </c>
      <c r="F155" s="66" t="s">
        <v>480</v>
      </c>
      <c r="G155" s="67">
        <f>SUM(ASOC.ESPAÑOLA:IAC!G155)</f>
        <v>344408292.25</v>
      </c>
    </row>
    <row r="156" spans="2:7" ht="13.7" customHeight="1" x14ac:dyDescent="0.25">
      <c r="E156" s="21" t="s">
        <v>481</v>
      </c>
      <c r="F156" s="68" t="s">
        <v>482</v>
      </c>
      <c r="G156" s="69">
        <f>SUM(ASOC.ESPAÑOLA:IAC!G156)</f>
        <v>906795072.05000007</v>
      </c>
    </row>
    <row r="157" spans="2:7" ht="13.7" customHeight="1" x14ac:dyDescent="0.25">
      <c r="E157" s="21" t="s">
        <v>483</v>
      </c>
      <c r="F157" s="68" t="s">
        <v>484</v>
      </c>
      <c r="G157" s="69">
        <f>SUM(ASOC.ESPAÑOLA:IAC!G157)</f>
        <v>31997325.289999999</v>
      </c>
    </row>
    <row r="158" spans="2:7" ht="13.7" customHeight="1" x14ac:dyDescent="0.25">
      <c r="E158" s="21" t="s">
        <v>485</v>
      </c>
      <c r="F158" s="68" t="s">
        <v>486</v>
      </c>
      <c r="G158" s="69">
        <f>SUM(ASOC.ESPAÑOLA:IAC!G158)</f>
        <v>15234739</v>
      </c>
    </row>
    <row r="159" spans="2:7" ht="13.7" customHeight="1" x14ac:dyDescent="0.25">
      <c r="E159" s="21" t="s">
        <v>487</v>
      </c>
      <c r="F159" s="68" t="s">
        <v>488</v>
      </c>
      <c r="G159" s="69">
        <f>SUM(ASOC.ESPAÑOLA:IAC!G159)</f>
        <v>7665135.04</v>
      </c>
    </row>
    <row r="160" spans="2:7" ht="13.7" customHeight="1" x14ac:dyDescent="0.25">
      <c r="E160" s="21" t="s">
        <v>489</v>
      </c>
      <c r="F160" s="68" t="s">
        <v>490</v>
      </c>
      <c r="G160" s="69">
        <f>SUM(ASOC.ESPAÑOLA:IAC!G160)</f>
        <v>18525533.359999999</v>
      </c>
    </row>
    <row r="161" spans="5:7" ht="13.7" customHeight="1" x14ac:dyDescent="0.25">
      <c r="E161" s="21" t="s">
        <v>491</v>
      </c>
      <c r="F161" s="68" t="s">
        <v>492</v>
      </c>
      <c r="G161" s="69">
        <f>SUM(ASOC.ESPAÑOLA:IAC!G161)</f>
        <v>579321498.23000002</v>
      </c>
    </row>
    <row r="162" spans="5:7" ht="13.7" customHeight="1" x14ac:dyDescent="0.25">
      <c r="E162" s="21" t="s">
        <v>493</v>
      </c>
      <c r="F162" s="68" t="s">
        <v>494</v>
      </c>
      <c r="G162" s="69">
        <f>SUM(ASOC.ESPAÑOLA:IAC!G162)</f>
        <v>0</v>
      </c>
    </row>
    <row r="163" spans="5:7" ht="13.7" customHeight="1" x14ac:dyDescent="0.25">
      <c r="E163" s="21" t="s">
        <v>495</v>
      </c>
      <c r="F163" s="68" t="s">
        <v>496</v>
      </c>
      <c r="G163" s="69">
        <f>SUM(ASOC.ESPAÑOLA:IAC!G163)</f>
        <v>33493070</v>
      </c>
    </row>
    <row r="164" spans="5:7" ht="13.7" customHeight="1" x14ac:dyDescent="0.25">
      <c r="E164" s="21" t="s">
        <v>497</v>
      </c>
      <c r="F164" s="68" t="s">
        <v>498</v>
      </c>
      <c r="G164" s="69">
        <f>SUM(ASOC.ESPAÑOLA:IAC!G164)</f>
        <v>9592829.4900000002</v>
      </c>
    </row>
    <row r="165" spans="5:7" ht="13.7" customHeight="1" x14ac:dyDescent="0.25">
      <c r="E165" s="21" t="s">
        <v>499</v>
      </c>
      <c r="F165" s="68" t="s">
        <v>500</v>
      </c>
      <c r="G165" s="69">
        <f>SUM(ASOC.ESPAÑOLA:IAC!G165)</f>
        <v>154209612</v>
      </c>
    </row>
    <row r="166" spans="5:7" ht="13.7" customHeight="1" x14ac:dyDescent="0.25">
      <c r="E166" s="21" t="s">
        <v>501</v>
      </c>
      <c r="F166" s="68" t="s">
        <v>502</v>
      </c>
      <c r="G166" s="69">
        <f>SUM(ASOC.ESPAÑOLA:IAC!G166)</f>
        <v>114905742.22</v>
      </c>
    </row>
    <row r="167" spans="5:7" ht="13.7" customHeight="1" x14ac:dyDescent="0.25">
      <c r="E167" s="21" t="s">
        <v>503</v>
      </c>
      <c r="F167" s="19" t="s">
        <v>504</v>
      </c>
      <c r="G167" s="20">
        <f>SUM(ASOC.ESPAÑOLA:IAC!G167)</f>
        <v>83374027.442113593</v>
      </c>
    </row>
    <row r="168" spans="5:7" ht="13.7" customHeight="1" thickBot="1" x14ac:dyDescent="0.3">
      <c r="E168" s="21"/>
      <c r="F168" s="28" t="s">
        <v>505</v>
      </c>
      <c r="G168" s="37">
        <f>SUM(ASOC.ESPAÑOLA:IAC!G168)</f>
        <v>2299522876.3721142</v>
      </c>
    </row>
    <row r="169" spans="5:7" ht="13.7" customHeight="1" thickBot="1" x14ac:dyDescent="0.3">
      <c r="E169" s="21"/>
      <c r="F169" s="48" t="s">
        <v>506</v>
      </c>
      <c r="G169" s="72">
        <f>SUM(ASOC.ESPAÑOLA:IAC!G169)</f>
        <v>209871389.40078992</v>
      </c>
    </row>
    <row r="170" spans="5:7" ht="13.7" customHeight="1" thickBot="1" x14ac:dyDescent="0.3">
      <c r="E170" s="21"/>
      <c r="F170" s="78"/>
      <c r="G170" s="78"/>
    </row>
    <row r="171" spans="5:7" ht="13.7" customHeight="1" thickBot="1" x14ac:dyDescent="0.3">
      <c r="E171" s="21"/>
      <c r="F171" s="77" t="s">
        <v>507</v>
      </c>
      <c r="G171" s="79"/>
    </row>
    <row r="172" spans="5:7" ht="13.7" customHeight="1" thickBot="1" x14ac:dyDescent="0.3">
      <c r="E172" s="21"/>
      <c r="F172" s="80"/>
      <c r="G172" s="81">
        <f>SUM(ASOC.ESPAÑOLA:IAC!G172)</f>
        <v>808526730.98793006</v>
      </c>
    </row>
    <row r="173" spans="5:7" ht="13.7" customHeight="1" thickBot="1" x14ac:dyDescent="0.3">
      <c r="E173" s="21"/>
      <c r="F173" s="5"/>
      <c r="G173" s="5"/>
    </row>
    <row r="174" spans="5:7" ht="13.7" customHeight="1" thickBot="1" x14ac:dyDescent="0.3">
      <c r="E174" s="21"/>
      <c r="F174" s="48" t="s">
        <v>508</v>
      </c>
      <c r="G174" s="17"/>
    </row>
    <row r="175" spans="5:7" ht="13.7" customHeight="1" x14ac:dyDescent="0.25">
      <c r="E175" s="21"/>
      <c r="F175" s="66" t="s">
        <v>509</v>
      </c>
      <c r="G175" s="67">
        <f>SUM(ASOC.ESPAÑOLA:IAC!G175)</f>
        <v>71772161</v>
      </c>
    </row>
    <row r="176" spans="5:7" ht="13.7" customHeight="1" x14ac:dyDescent="0.25">
      <c r="E176" s="21"/>
      <c r="F176" s="68" t="s">
        <v>510</v>
      </c>
      <c r="G176" s="69">
        <f>SUM(ASOC.ESPAÑOLA:IAC!G176)</f>
        <v>8253605</v>
      </c>
    </row>
    <row r="177" spans="1:8" ht="13.7" customHeight="1" thickBot="1" x14ac:dyDescent="0.3">
      <c r="F177" s="68" t="s">
        <v>511</v>
      </c>
      <c r="G177" s="69">
        <f>SUM(ASOC.ESPAÑOLA:IAC!G177)</f>
        <v>135578060.32677099</v>
      </c>
    </row>
    <row r="178" spans="1:8" ht="13.7" customHeight="1" thickBot="1" x14ac:dyDescent="0.3">
      <c r="F178" s="48" t="s">
        <v>512</v>
      </c>
      <c r="G178" s="72">
        <f>SUM(ASOC.ESPAÑOLA:IAC!G178)</f>
        <v>215603826.32677099</v>
      </c>
    </row>
    <row r="179" spans="1:8" ht="13.7" customHeight="1" thickBot="1" x14ac:dyDescent="0.3"/>
    <row r="180" spans="1:8" ht="13.7" customHeight="1" thickBot="1" x14ac:dyDescent="0.3">
      <c r="F180" s="77" t="s">
        <v>513</v>
      </c>
      <c r="G180" s="79"/>
    </row>
    <row r="181" spans="1:8" ht="13.7" customHeight="1" thickBot="1" x14ac:dyDescent="0.3">
      <c r="F181" s="83"/>
      <c r="G181" s="81">
        <f>SUM(ASOC.ESPAÑOLA:IAC!G181)</f>
        <v>1024130557.3147008</v>
      </c>
    </row>
    <row r="182" spans="1:8" ht="13.7" customHeight="1" x14ac:dyDescent="0.25"/>
    <row r="183" spans="1:8" ht="13.5" customHeight="1" x14ac:dyDescent="0.25"/>
    <row r="184" spans="1:8" ht="13.7" customHeight="1" x14ac:dyDescent="0.25">
      <c r="E184" s="84"/>
      <c r="F184" s="84"/>
      <c r="G184" s="84"/>
      <c r="H184" s="84"/>
    </row>
    <row r="185" spans="1:8" s="84" customFormat="1" ht="13.7" customHeight="1" x14ac:dyDescent="0.25">
      <c r="A185" s="85"/>
      <c r="E185" s="82"/>
      <c r="F185" s="86"/>
      <c r="G185" s="86"/>
    </row>
    <row r="186" spans="1:8" s="84" customFormat="1" ht="12.75" x14ac:dyDescent="0.25">
      <c r="A186" s="85"/>
      <c r="E186" s="82"/>
      <c r="F186" s="86"/>
      <c r="G186" s="86"/>
    </row>
    <row r="187" spans="1:8" s="84" customFormat="1" ht="12.75" hidden="1" x14ac:dyDescent="0.25">
      <c r="A187" s="85"/>
      <c r="E187" s="82"/>
      <c r="F187" s="86"/>
      <c r="G187" s="86"/>
    </row>
    <row r="188" spans="1:8" s="84" customFormat="1" ht="12.75" hidden="1" x14ac:dyDescent="0.25">
      <c r="A188" s="85"/>
      <c r="E188" s="82"/>
      <c r="F188" s="86"/>
      <c r="G188" s="86"/>
    </row>
    <row r="189" spans="1:8" s="84" customFormat="1" ht="12.75" hidden="1" x14ac:dyDescent="0.25">
      <c r="A189" s="85"/>
      <c r="E189" s="82"/>
      <c r="F189" s="86"/>
      <c r="G189" s="86"/>
    </row>
    <row r="190" spans="1:8" s="84" customFormat="1" ht="12.75" hidden="1" x14ac:dyDescent="0.25">
      <c r="A190" s="85"/>
      <c r="E190" s="82"/>
      <c r="F190" s="86"/>
      <c r="G190" s="86"/>
    </row>
    <row r="191" spans="1:8" s="84" customFormat="1" ht="12.75" hidden="1" x14ac:dyDescent="0.25">
      <c r="A191" s="85"/>
      <c r="E191" s="82"/>
      <c r="F191" s="86"/>
      <c r="G191" s="86"/>
    </row>
    <row r="192" spans="1:8" s="84" customFormat="1" ht="12.75" hidden="1" x14ac:dyDescent="0.25">
      <c r="A192" s="85"/>
      <c r="E192" s="82"/>
      <c r="F192" s="86"/>
      <c r="G192" s="86"/>
    </row>
    <row r="193" spans="5:7" s="84" customFormat="1" ht="12.75" hidden="1" x14ac:dyDescent="0.25">
      <c r="E193" s="82"/>
      <c r="F193" s="86"/>
      <c r="G193" s="86"/>
    </row>
    <row r="194" spans="5:7" s="84" customFormat="1" ht="12.75" hidden="1" x14ac:dyDescent="0.25">
      <c r="E194" s="82"/>
      <c r="F194" s="86"/>
      <c r="G194" s="86"/>
    </row>
    <row r="195" spans="5:7" s="84" customFormat="1" ht="12.75" hidden="1" x14ac:dyDescent="0.25">
      <c r="E195" s="82"/>
      <c r="F195" s="86"/>
      <c r="G195" s="86"/>
    </row>
    <row r="196" spans="5:7" s="84" customFormat="1" ht="12.75" hidden="1" x14ac:dyDescent="0.25">
      <c r="E196" s="82"/>
      <c r="F196" s="86"/>
      <c r="G196" s="86"/>
    </row>
    <row r="197" spans="5:7" s="84" customFormat="1" ht="12.75" hidden="1" x14ac:dyDescent="0.25">
      <c r="E197" s="82"/>
      <c r="F197" s="86"/>
      <c r="G197" s="86"/>
    </row>
    <row r="198" spans="5:7" s="84" customFormat="1" ht="12.75" hidden="1" x14ac:dyDescent="0.25">
      <c r="E198" s="82"/>
      <c r="F198" s="86"/>
      <c r="G198" s="86"/>
    </row>
    <row r="199" spans="5:7" s="84" customFormat="1" ht="12.75" hidden="1" x14ac:dyDescent="0.25">
      <c r="E199" s="82"/>
      <c r="F199" s="86"/>
      <c r="G199" s="86"/>
    </row>
    <row r="200" spans="5:7" s="84" customFormat="1" ht="12.75" hidden="1" x14ac:dyDescent="0.25">
      <c r="E200" s="82"/>
      <c r="F200" s="86"/>
      <c r="G200" s="86"/>
    </row>
    <row r="201" spans="5:7" s="84" customFormat="1" ht="12.75" hidden="1" x14ac:dyDescent="0.25">
      <c r="E201" s="82"/>
      <c r="F201" s="86"/>
      <c r="G201" s="86"/>
    </row>
    <row r="202" spans="5:7" s="84" customFormat="1" ht="12.75" hidden="1" x14ac:dyDescent="0.25">
      <c r="E202" s="82"/>
      <c r="F202" s="86"/>
      <c r="G202" s="86"/>
    </row>
    <row r="203" spans="5:7" s="84" customFormat="1" ht="12.75" hidden="1" x14ac:dyDescent="0.25">
      <c r="E203" s="82"/>
      <c r="F203" s="86"/>
      <c r="G203" s="86"/>
    </row>
    <row r="204" spans="5:7" s="84" customFormat="1" ht="12.75" hidden="1" x14ac:dyDescent="0.25">
      <c r="E204" s="82"/>
      <c r="F204" s="86"/>
      <c r="G204" s="86"/>
    </row>
    <row r="205" spans="5:7" s="84" customFormat="1" ht="12.75" hidden="1" x14ac:dyDescent="0.25">
      <c r="E205" s="82"/>
      <c r="F205" s="86"/>
      <c r="G205" s="86"/>
    </row>
    <row r="206" spans="5:7" s="84" customFormat="1" ht="12.75" hidden="1" x14ac:dyDescent="0.25">
      <c r="E206" s="82"/>
      <c r="F206" s="86"/>
      <c r="G206" s="86"/>
    </row>
    <row r="207" spans="5:7" s="84" customFormat="1" ht="12.75" hidden="1" x14ac:dyDescent="0.25">
      <c r="E207" s="82"/>
      <c r="F207" s="86"/>
      <c r="G207" s="86"/>
    </row>
    <row r="208" spans="5:7" s="84" customFormat="1" ht="12.75" hidden="1" x14ac:dyDescent="0.25">
      <c r="E208" s="82"/>
      <c r="F208" s="86"/>
      <c r="G208" s="86"/>
    </row>
    <row r="209" spans="3:8" s="84" customFormat="1" ht="12.75" hidden="1" x14ac:dyDescent="0.25">
      <c r="E209" s="82"/>
      <c r="F209" s="86"/>
      <c r="G209" s="86"/>
    </row>
    <row r="210" spans="3:8" s="84" customFormat="1" ht="12.75" hidden="1" x14ac:dyDescent="0.25">
      <c r="E210" s="82"/>
      <c r="F210" s="86"/>
      <c r="G210" s="86"/>
    </row>
    <row r="211" spans="3:8" s="84" customFormat="1" ht="12.75" hidden="1" x14ac:dyDescent="0.25">
      <c r="E211" s="82"/>
      <c r="F211" s="86"/>
      <c r="G211" s="86"/>
    </row>
    <row r="212" spans="3:8" s="84" customFormat="1" ht="12.75" hidden="1" x14ac:dyDescent="0.25">
      <c r="E212" s="82"/>
      <c r="F212" s="86"/>
      <c r="G212" s="86"/>
    </row>
    <row r="213" spans="3:8" s="84" customFormat="1" ht="12.75" hidden="1" x14ac:dyDescent="0.25">
      <c r="E213" s="82"/>
      <c r="F213" s="86"/>
      <c r="G213" s="86"/>
    </row>
    <row r="214" spans="3:8" s="84" customFormat="1" hidden="1" x14ac:dyDescent="0.25">
      <c r="E214" s="82"/>
      <c r="F214" s="87"/>
      <c r="G214" s="58"/>
      <c r="H214" s="5"/>
    </row>
    <row r="215" spans="3:8" hidden="1" x14ac:dyDescent="0.25">
      <c r="C215" s="86"/>
      <c r="D215" s="86"/>
      <c r="F215" s="87"/>
    </row>
    <row r="216" spans="3:8" hidden="1" x14ac:dyDescent="0.25"/>
    <row r="217" spans="3:8" hidden="1" x14ac:dyDescent="0.25"/>
    <row r="218" spans="3:8" hidden="1" x14ac:dyDescent="0.25"/>
    <row r="219" spans="3:8" hidden="1" x14ac:dyDescent="0.25"/>
    <row r="220" spans="3:8" hidden="1" x14ac:dyDescent="0.25"/>
    <row r="221" spans="3:8" hidden="1" x14ac:dyDescent="0.25"/>
    <row r="222" spans="3:8" hidden="1" x14ac:dyDescent="0.25"/>
    <row r="223" spans="3:8" hidden="1" x14ac:dyDescent="0.25"/>
    <row r="224" spans="3:8"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sheetData>
  <mergeCells count="6">
    <mergeCell ref="C1:D1"/>
    <mergeCell ref="E1:F1"/>
    <mergeCell ref="C2:D2"/>
    <mergeCell ref="E2:F2"/>
    <mergeCell ref="C3:D3"/>
    <mergeCell ref="E3:F3"/>
  </mergeCells>
  <dataValidations count="5">
    <dataValidation operator="greaterThanOrEqual" allowBlank="1" errorTitle="Error de datos" error="Debe ingresar un valor entero positivo" sqref="F6:F107 F203 C13:C47 C106:C153 F171 F174:F178 F180 F111:F119 C7:C10 F121:F140 F143:F169 C49:C62 C155 F109"/>
    <dataValidation allowBlank="1" sqref="G204"/>
    <dataValidation allowBlank="1" errorTitle="Error de datos" error="Debe introducir una fecha válida" sqref="E3"/>
    <dataValidation type="whole" allowBlank="1" showErrorMessage="1" errorTitle="Error de datos" error="Debe ingresar un valor entre 1 y 12" sqref="G1:G3">
      <formula1>1</formula1>
      <formula2>12</formula2>
    </dataValidation>
    <dataValidation type="whole" operator="greaterThan" showInputMessage="1" showErrorMessage="1" errorTitle="eee" error="Valores mayores a $50" sqref="D7:D155 G7:G181">
      <formula1>50</formula1>
    </dataValidation>
  </dataValidations>
  <pageMargins left="0.7" right="0.7" top="0.75" bottom="0.75" header="0.3" footer="0.3"/>
  <ignoredErrors>
    <ignoredError sqref="D7:D19 D22:D28 D30:D34 D36:D46 D49:D51 D56:D59 D112:D121 D123:D125 D127:D137 D139:D141 D144:D147 D149:D151 G175:G177 G155:G167 G144:G153 G124:G138 G112:G122 G103:G104 G96:G100 G80:G94 G58:G78 G49:G56 G41:G47 G34:G39 G28:G31 G20:G26 G7:G18" unlockedFormula="1"/>
    <ignoredError sqref="E7:E182" numberStoredAsText="1"/>
  </ignoredErrors>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5"/>
  <sheetViews>
    <sheetView showGridLines="0" workbookViewId="0">
      <selection activeCell="F4" sqref="F4"/>
    </sheetView>
  </sheetViews>
  <sheetFormatPr baseColWidth="10" defaultColWidth="0" defaultRowHeight="15" x14ac:dyDescent="0.25"/>
  <cols>
    <col min="1" max="1" width="6.5703125" customWidth="1"/>
    <col min="2" max="2" width="0.28515625" hidden="1" customWidth="1"/>
    <col min="3" max="3" width="56.7109375" style="58" customWidth="1"/>
    <col min="4" max="4" width="26.85546875" style="58" customWidth="1"/>
    <col min="5" max="5" width="5.85546875" style="82" customWidth="1"/>
    <col min="6" max="6" width="57.28515625" style="58" customWidth="1"/>
    <col min="7" max="7" width="24.7109375" style="58" customWidth="1"/>
    <col min="8" max="8" width="8" customWidth="1"/>
    <col min="9" max="16384" width="11.42578125" hidden="1"/>
  </cols>
  <sheetData>
    <row r="1" spans="3:7" ht="15.75" x14ac:dyDescent="0.25">
      <c r="C1" s="313" t="s">
        <v>0</v>
      </c>
      <c r="D1" s="314"/>
      <c r="E1" s="315" t="s">
        <v>516</v>
      </c>
      <c r="F1" s="315"/>
      <c r="G1" s="3"/>
    </row>
    <row r="2" spans="3:7" ht="15.75" x14ac:dyDescent="0.25">
      <c r="C2" s="313" t="s">
        <v>1</v>
      </c>
      <c r="D2" s="314"/>
      <c r="E2" s="315" t="s">
        <v>514</v>
      </c>
      <c r="F2" s="315"/>
      <c r="G2" s="3"/>
    </row>
    <row r="3" spans="3:7" ht="15.75" x14ac:dyDescent="0.25">
      <c r="C3" s="313" t="s">
        <v>2</v>
      </c>
      <c r="D3" s="316"/>
      <c r="E3" s="317" t="s">
        <v>3</v>
      </c>
      <c r="F3" s="317"/>
      <c r="G3" s="3"/>
    </row>
    <row r="4" spans="3:7" ht="15.75" thickBot="1" x14ac:dyDescent="0.3">
      <c r="C4" s="287"/>
      <c r="D4" s="8"/>
      <c r="E4" s="9"/>
      <c r="F4" s="10"/>
      <c r="G4" s="11"/>
    </row>
    <row r="5" spans="3:7" ht="16.5" thickBot="1" x14ac:dyDescent="0.3">
      <c r="C5" s="13" t="s">
        <v>4</v>
      </c>
      <c r="D5" s="284" t="s">
        <v>5</v>
      </c>
      <c r="E5" s="14"/>
      <c r="F5" s="13" t="s">
        <v>6</v>
      </c>
      <c r="G5" s="284" t="s">
        <v>5</v>
      </c>
    </row>
    <row r="6" spans="3:7" ht="16.5" thickBot="1" x14ac:dyDescent="0.3">
      <c r="C6" s="16" t="s">
        <v>7</v>
      </c>
      <c r="D6" s="290">
        <v>2020</v>
      </c>
      <c r="E6" s="18"/>
      <c r="F6" s="16" t="s">
        <v>8</v>
      </c>
      <c r="G6" s="290">
        <v>2020</v>
      </c>
    </row>
    <row r="7" spans="3:7" x14ac:dyDescent="0.25">
      <c r="C7" s="19" t="s">
        <v>10</v>
      </c>
      <c r="D7" s="20">
        <v>216079272.13999999</v>
      </c>
      <c r="E7" s="21" t="s">
        <v>11</v>
      </c>
      <c r="F7" s="22" t="s">
        <v>12</v>
      </c>
      <c r="G7" s="20">
        <v>85688463.633517444</v>
      </c>
    </row>
    <row r="8" spans="3:7" x14ac:dyDescent="0.25">
      <c r="C8" s="19" t="s">
        <v>14</v>
      </c>
      <c r="D8" s="20">
        <v>319146577.72000003</v>
      </c>
      <c r="E8" s="21" t="s">
        <v>15</v>
      </c>
      <c r="F8" s="19" t="s">
        <v>16</v>
      </c>
      <c r="G8" s="20">
        <v>189629850.46366629</v>
      </c>
    </row>
    <row r="9" spans="3:7" x14ac:dyDescent="0.25">
      <c r="C9" s="19" t="s">
        <v>18</v>
      </c>
      <c r="D9" s="20">
        <v>5904207085.25</v>
      </c>
      <c r="E9" s="21" t="s">
        <v>19</v>
      </c>
      <c r="F9" s="19" t="s">
        <v>20</v>
      </c>
      <c r="G9" s="20">
        <v>668256807.55629754</v>
      </c>
    </row>
    <row r="10" spans="3:7" x14ac:dyDescent="0.25">
      <c r="C10" s="19" t="s">
        <v>22</v>
      </c>
      <c r="D10" s="20">
        <v>597245705.73000002</v>
      </c>
      <c r="E10" s="21" t="s">
        <v>23</v>
      </c>
      <c r="F10" s="19" t="s">
        <v>24</v>
      </c>
      <c r="G10" s="20">
        <v>640351164.32215178</v>
      </c>
    </row>
    <row r="11" spans="3:7" x14ac:dyDescent="0.25">
      <c r="C11" s="19" t="s">
        <v>26</v>
      </c>
      <c r="D11" s="20">
        <v>166829569</v>
      </c>
      <c r="E11" s="21" t="s">
        <v>27</v>
      </c>
      <c r="F11" s="19" t="s">
        <v>28</v>
      </c>
      <c r="G11" s="20">
        <v>1161327762.649189</v>
      </c>
    </row>
    <row r="12" spans="3:7" x14ac:dyDescent="0.25">
      <c r="C12" s="19" t="s">
        <v>30</v>
      </c>
      <c r="D12" s="20">
        <v>197160422.62</v>
      </c>
      <c r="E12" s="21" t="s">
        <v>31</v>
      </c>
      <c r="F12" s="19" t="s">
        <v>32</v>
      </c>
      <c r="G12" s="20">
        <v>422826124.46803468</v>
      </c>
    </row>
    <row r="13" spans="3:7" x14ac:dyDescent="0.25">
      <c r="C13" s="19" t="s">
        <v>34</v>
      </c>
      <c r="D13" s="20">
        <v>0</v>
      </c>
      <c r="E13" s="21" t="s">
        <v>35</v>
      </c>
      <c r="F13" s="19" t="s">
        <v>36</v>
      </c>
      <c r="G13" s="20">
        <v>183858804.26473022</v>
      </c>
    </row>
    <row r="14" spans="3:7" x14ac:dyDescent="0.25">
      <c r="C14" s="19" t="s">
        <v>38</v>
      </c>
      <c r="D14" s="20">
        <v>239170926.75000003</v>
      </c>
      <c r="E14" s="21" t="s">
        <v>39</v>
      </c>
      <c r="F14" s="19" t="s">
        <v>40</v>
      </c>
      <c r="G14" s="20">
        <v>1223277407.5913391</v>
      </c>
    </row>
    <row r="15" spans="3:7" x14ac:dyDescent="0.25">
      <c r="C15" s="26" t="s">
        <v>42</v>
      </c>
      <c r="D15" s="20">
        <v>0</v>
      </c>
      <c r="E15" s="21" t="s">
        <v>43</v>
      </c>
      <c r="F15" s="19" t="s">
        <v>44</v>
      </c>
      <c r="G15" s="20">
        <v>694409240.92131925</v>
      </c>
    </row>
    <row r="16" spans="3:7" x14ac:dyDescent="0.25">
      <c r="C16" s="19" t="s">
        <v>46</v>
      </c>
      <c r="D16" s="20">
        <v>0</v>
      </c>
      <c r="E16" s="21" t="s">
        <v>47</v>
      </c>
      <c r="F16" s="19" t="s">
        <v>48</v>
      </c>
      <c r="G16" s="20">
        <v>362010544.87973988</v>
      </c>
    </row>
    <row r="17" spans="3:7" x14ac:dyDescent="0.25">
      <c r="C17" s="19" t="s">
        <v>50</v>
      </c>
      <c r="D17" s="20">
        <v>0</v>
      </c>
      <c r="E17" s="21" t="s">
        <v>51</v>
      </c>
      <c r="F17" s="19" t="s">
        <v>52</v>
      </c>
      <c r="G17" s="20">
        <v>3709944.72</v>
      </c>
    </row>
    <row r="18" spans="3:7" x14ac:dyDescent="0.25">
      <c r="C18" s="19" t="s">
        <v>54</v>
      </c>
      <c r="D18" s="20">
        <v>93375899</v>
      </c>
      <c r="E18" s="21" t="s">
        <v>55</v>
      </c>
      <c r="F18" s="19" t="s">
        <v>56</v>
      </c>
      <c r="G18" s="20">
        <v>246014397.90132281</v>
      </c>
    </row>
    <row r="19" spans="3:7" ht="15.75" thickBot="1" x14ac:dyDescent="0.3">
      <c r="C19" s="19" t="s">
        <v>58</v>
      </c>
      <c r="D19" s="20">
        <v>332332352.7266683</v>
      </c>
      <c r="E19" s="21"/>
      <c r="F19" s="28" t="s">
        <v>59</v>
      </c>
      <c r="G19" s="29">
        <f>SUM(G7:G18)</f>
        <v>5881360513.3713074</v>
      </c>
    </row>
    <row r="20" spans="3:7" ht="15.75" thickBot="1" x14ac:dyDescent="0.3">
      <c r="C20" s="28" t="s">
        <v>60</v>
      </c>
      <c r="D20" s="29">
        <f>SUM(D7:D19)</f>
        <v>8065547810.9366684</v>
      </c>
      <c r="E20" s="21" t="s">
        <v>61</v>
      </c>
      <c r="F20" s="22" t="s">
        <v>62</v>
      </c>
      <c r="G20" s="20">
        <v>3045256.5099486485</v>
      </c>
    </row>
    <row r="21" spans="3:7" x14ac:dyDescent="0.25">
      <c r="C21" s="30" t="s">
        <v>63</v>
      </c>
      <c r="D21" s="31">
        <f>SUM(D22:D28)</f>
        <v>184241713.62254167</v>
      </c>
      <c r="E21" s="21" t="s">
        <v>64</v>
      </c>
      <c r="F21" s="19" t="s">
        <v>65</v>
      </c>
      <c r="G21" s="20">
        <v>117928205.0256938</v>
      </c>
    </row>
    <row r="22" spans="3:7" x14ac:dyDescent="0.25">
      <c r="C22" s="19" t="s">
        <v>67</v>
      </c>
      <c r="D22" s="20">
        <v>56337762.409999996</v>
      </c>
      <c r="E22" s="21" t="s">
        <v>68</v>
      </c>
      <c r="F22" s="19" t="s">
        <v>69</v>
      </c>
      <c r="G22" s="20">
        <v>31127821.43512667</v>
      </c>
    </row>
    <row r="23" spans="3:7" x14ac:dyDescent="0.25">
      <c r="C23" s="19" t="s">
        <v>71</v>
      </c>
      <c r="D23" s="20">
        <v>17022331.43</v>
      </c>
      <c r="E23" s="21" t="s">
        <v>72</v>
      </c>
      <c r="F23" s="19" t="s">
        <v>73</v>
      </c>
      <c r="G23" s="20">
        <v>114500427.34923089</v>
      </c>
    </row>
    <row r="24" spans="3:7" x14ac:dyDescent="0.25">
      <c r="C24" s="19" t="s">
        <v>75</v>
      </c>
      <c r="D24" s="20">
        <v>28861259.18</v>
      </c>
      <c r="E24" s="21" t="s">
        <v>76</v>
      </c>
      <c r="F24" s="19" t="s">
        <v>77</v>
      </c>
      <c r="G24" s="20">
        <v>11759170.059999999</v>
      </c>
    </row>
    <row r="25" spans="3:7" x14ac:dyDescent="0.25">
      <c r="C25" s="19" t="s">
        <v>79</v>
      </c>
      <c r="D25" s="20">
        <v>16959268.48</v>
      </c>
      <c r="E25" s="21" t="s">
        <v>80</v>
      </c>
      <c r="F25" s="19" t="s">
        <v>81</v>
      </c>
      <c r="G25" s="20">
        <v>46902165.960000023</v>
      </c>
    </row>
    <row r="26" spans="3:7" x14ac:dyDescent="0.25">
      <c r="C26" s="19" t="s">
        <v>83</v>
      </c>
      <c r="D26" s="20">
        <v>12541668.720000001</v>
      </c>
      <c r="E26" s="21" t="s">
        <v>84</v>
      </c>
      <c r="F26" s="19" t="s">
        <v>85</v>
      </c>
      <c r="G26" s="20">
        <v>14174725.678054234</v>
      </c>
    </row>
    <row r="27" spans="3:7" ht="15.75" thickBot="1" x14ac:dyDescent="0.3">
      <c r="C27" s="19" t="s">
        <v>87</v>
      </c>
      <c r="D27" s="20">
        <v>44780492.839999996</v>
      </c>
      <c r="E27" s="21"/>
      <c r="F27" s="28" t="s">
        <v>88</v>
      </c>
      <c r="G27" s="29">
        <f>SUM(G20:G26)</f>
        <v>339437772.01805425</v>
      </c>
    </row>
    <row r="28" spans="3:7" x14ac:dyDescent="0.25">
      <c r="C28" s="19" t="s">
        <v>90</v>
      </c>
      <c r="D28" s="20">
        <v>7738930.5625416599</v>
      </c>
      <c r="E28" s="21" t="s">
        <v>91</v>
      </c>
      <c r="F28" s="22" t="s">
        <v>92</v>
      </c>
      <c r="G28" s="23">
        <v>74357436</v>
      </c>
    </row>
    <row r="29" spans="3:7" x14ac:dyDescent="0.25">
      <c r="C29" s="32" t="s">
        <v>93</v>
      </c>
      <c r="D29" s="31">
        <f>SUM(D30:D34)</f>
        <v>906905809.00802267</v>
      </c>
      <c r="E29" s="21" t="s">
        <v>94</v>
      </c>
      <c r="F29" s="19" t="s">
        <v>95</v>
      </c>
      <c r="G29" s="20"/>
    </row>
    <row r="30" spans="3:7" x14ac:dyDescent="0.25">
      <c r="C30" s="19" t="s">
        <v>97</v>
      </c>
      <c r="D30" s="20">
        <v>697837987.94999993</v>
      </c>
      <c r="E30" s="21" t="s">
        <v>98</v>
      </c>
      <c r="F30" s="19" t="s">
        <v>99</v>
      </c>
      <c r="G30" s="20"/>
    </row>
    <row r="31" spans="3:7" x14ac:dyDescent="0.25">
      <c r="C31" s="19" t="s">
        <v>101</v>
      </c>
      <c r="D31" s="20">
        <v>74554958.989999995</v>
      </c>
      <c r="E31" s="21" t="s">
        <v>102</v>
      </c>
      <c r="F31" s="19" t="s">
        <v>103</v>
      </c>
      <c r="G31" s="27">
        <v>3198104</v>
      </c>
    </row>
    <row r="32" spans="3:7" ht="15.75" thickBot="1" x14ac:dyDescent="0.3">
      <c r="C32" s="19" t="s">
        <v>105</v>
      </c>
      <c r="D32" s="20">
        <v>96418985.579999983</v>
      </c>
      <c r="E32" s="21"/>
      <c r="F32" s="28" t="s">
        <v>106</v>
      </c>
      <c r="G32" s="29">
        <f>SUM(G28:G31)</f>
        <v>77555540</v>
      </c>
    </row>
    <row r="33" spans="3:7" x14ac:dyDescent="0.25">
      <c r="C33" s="19" t="s">
        <v>108</v>
      </c>
      <c r="D33" s="20">
        <v>0</v>
      </c>
      <c r="E33" s="21"/>
      <c r="F33" s="32" t="s">
        <v>109</v>
      </c>
      <c r="G33" s="31">
        <f>SUM(G34:G39)</f>
        <v>674767827.12775922</v>
      </c>
    </row>
    <row r="34" spans="3:7" x14ac:dyDescent="0.25">
      <c r="C34" s="19" t="s">
        <v>111</v>
      </c>
      <c r="D34" s="20">
        <v>38093876.48802273</v>
      </c>
      <c r="E34" s="21" t="s">
        <v>112</v>
      </c>
      <c r="F34" s="19" t="s">
        <v>113</v>
      </c>
      <c r="G34" s="20">
        <v>36678029.119746551</v>
      </c>
    </row>
    <row r="35" spans="3:7" ht="15.75" thickBot="1" x14ac:dyDescent="0.3">
      <c r="C35" s="28" t="s">
        <v>114</v>
      </c>
      <c r="D35" s="29">
        <f>+D21+D29</f>
        <v>1091147522.6305642</v>
      </c>
      <c r="E35" s="21" t="s">
        <v>115</v>
      </c>
      <c r="F35" s="19" t="s">
        <v>116</v>
      </c>
      <c r="G35" s="20">
        <v>24717571.333806641</v>
      </c>
    </row>
    <row r="36" spans="3:7" x14ac:dyDescent="0.25">
      <c r="C36" s="19" t="s">
        <v>118</v>
      </c>
      <c r="D36" s="20">
        <v>15105594.550000001</v>
      </c>
      <c r="E36" s="21" t="s">
        <v>119</v>
      </c>
      <c r="F36" s="19" t="s">
        <v>120</v>
      </c>
      <c r="G36" s="20">
        <v>37564076.988642037</v>
      </c>
    </row>
    <row r="37" spans="3:7" x14ac:dyDescent="0.25">
      <c r="C37" s="19" t="s">
        <v>122</v>
      </c>
      <c r="D37" s="20">
        <v>18148649.359999999</v>
      </c>
      <c r="E37" s="21" t="s">
        <v>123</v>
      </c>
      <c r="F37" s="19" t="s">
        <v>124</v>
      </c>
      <c r="G37" s="20">
        <v>36974587.915806226</v>
      </c>
    </row>
    <row r="38" spans="3:7" x14ac:dyDescent="0.25">
      <c r="C38" s="19" t="s">
        <v>126</v>
      </c>
      <c r="D38" s="20">
        <v>0</v>
      </c>
      <c r="E38" s="21" t="s">
        <v>127</v>
      </c>
      <c r="F38" s="19" t="s">
        <v>128</v>
      </c>
      <c r="G38" s="20">
        <v>61020691.429047972</v>
      </c>
    </row>
    <row r="39" spans="3:7" x14ac:dyDescent="0.25">
      <c r="C39" s="19" t="s">
        <v>130</v>
      </c>
      <c r="D39" s="20">
        <v>0</v>
      </c>
      <c r="E39" s="21" t="s">
        <v>131</v>
      </c>
      <c r="F39" s="19" t="s">
        <v>132</v>
      </c>
      <c r="G39" s="20">
        <v>477812870.34070981</v>
      </c>
    </row>
    <row r="40" spans="3:7" x14ac:dyDescent="0.25">
      <c r="C40" s="19" t="s">
        <v>134</v>
      </c>
      <c r="D40" s="20">
        <v>0</v>
      </c>
      <c r="E40" s="21"/>
      <c r="F40" s="33" t="s">
        <v>135</v>
      </c>
      <c r="G40" s="34">
        <f>SUM(G41:G46)</f>
        <v>148699425.15224102</v>
      </c>
    </row>
    <row r="41" spans="3:7" x14ac:dyDescent="0.25">
      <c r="C41" s="19" t="s">
        <v>137</v>
      </c>
      <c r="D41" s="20">
        <v>276340722.35000002</v>
      </c>
      <c r="E41" s="21" t="s">
        <v>138</v>
      </c>
      <c r="F41" s="19" t="s">
        <v>139</v>
      </c>
      <c r="G41" s="20">
        <v>8082782.8870252576</v>
      </c>
    </row>
    <row r="42" spans="3:7" x14ac:dyDescent="0.25">
      <c r="C42" s="19" t="s">
        <v>141</v>
      </c>
      <c r="D42" s="20">
        <v>128960568.08</v>
      </c>
      <c r="E42" s="21" t="s">
        <v>142</v>
      </c>
      <c r="F42" s="19" t="s">
        <v>143</v>
      </c>
      <c r="G42" s="20">
        <v>5447041.9316548854</v>
      </c>
    </row>
    <row r="43" spans="3:7" x14ac:dyDescent="0.25">
      <c r="C43" s="19" t="s">
        <v>145</v>
      </c>
      <c r="D43" s="20">
        <v>0</v>
      </c>
      <c r="E43" s="21" t="s">
        <v>146</v>
      </c>
      <c r="F43" s="19" t="s">
        <v>147</v>
      </c>
      <c r="G43" s="20">
        <v>8278042.3577130632</v>
      </c>
    </row>
    <row r="44" spans="3:7" x14ac:dyDescent="0.25">
      <c r="C44" s="19" t="s">
        <v>149</v>
      </c>
      <c r="D44" s="20">
        <v>0</v>
      </c>
      <c r="E44" s="21" t="s">
        <v>150</v>
      </c>
      <c r="F44" s="19" t="s">
        <v>151</v>
      </c>
      <c r="G44" s="20">
        <v>8148135.9176900769</v>
      </c>
    </row>
    <row r="45" spans="3:7" x14ac:dyDescent="0.25">
      <c r="C45" s="19" t="s">
        <v>153</v>
      </c>
      <c r="D45" s="20">
        <v>164611970</v>
      </c>
      <c r="E45" s="21" t="s">
        <v>154</v>
      </c>
      <c r="F45" s="19" t="s">
        <v>155</v>
      </c>
      <c r="G45" s="20">
        <v>13447205.650742605</v>
      </c>
    </row>
    <row r="46" spans="3:7" x14ac:dyDescent="0.25">
      <c r="C46" s="19" t="s">
        <v>157</v>
      </c>
      <c r="D46" s="20">
        <v>24313046.298420839</v>
      </c>
      <c r="E46" s="21" t="s">
        <v>158</v>
      </c>
      <c r="F46" s="19" t="s">
        <v>159</v>
      </c>
      <c r="G46" s="20">
        <v>105296216.40741514</v>
      </c>
    </row>
    <row r="47" spans="3:7" ht="15.75" thickBot="1" x14ac:dyDescent="0.3">
      <c r="C47" s="28" t="s">
        <v>160</v>
      </c>
      <c r="D47" s="29">
        <f>SUM(D36:D46)</f>
        <v>627480550.63842082</v>
      </c>
      <c r="E47" s="21" t="s">
        <v>161</v>
      </c>
      <c r="F47" s="19" t="s">
        <v>162</v>
      </c>
      <c r="G47" s="27">
        <v>34242431.745973475</v>
      </c>
    </row>
    <row r="48" spans="3:7" ht="15.75" thickBot="1" x14ac:dyDescent="0.3">
      <c r="C48" s="35" t="s">
        <v>163</v>
      </c>
      <c r="D48" s="36"/>
      <c r="E48" s="21"/>
      <c r="F48" s="28" t="s">
        <v>164</v>
      </c>
      <c r="G48" s="37">
        <f>+G33+G40+G47</f>
        <v>857709684.02597368</v>
      </c>
    </row>
    <row r="49" spans="3:7" x14ac:dyDescent="0.25">
      <c r="C49" s="38" t="s">
        <v>166</v>
      </c>
      <c r="D49" s="283"/>
      <c r="E49" s="21" t="s">
        <v>167</v>
      </c>
      <c r="F49" s="22" t="s">
        <v>168</v>
      </c>
      <c r="G49" s="20">
        <v>133733562.75999999</v>
      </c>
    </row>
    <row r="50" spans="3:7" x14ac:dyDescent="0.25">
      <c r="C50" s="19" t="s">
        <v>163</v>
      </c>
      <c r="D50" s="20">
        <v>8450122.3499999996</v>
      </c>
      <c r="E50" s="21" t="s">
        <v>170</v>
      </c>
      <c r="F50" s="19" t="s">
        <v>171</v>
      </c>
      <c r="G50" s="20">
        <v>247026472.99999973</v>
      </c>
    </row>
    <row r="51" spans="3:7" x14ac:dyDescent="0.25">
      <c r="C51" s="19" t="s">
        <v>173</v>
      </c>
      <c r="D51" s="27">
        <v>342502</v>
      </c>
      <c r="E51" s="21" t="s">
        <v>174</v>
      </c>
      <c r="F51" s="19" t="s">
        <v>175</v>
      </c>
      <c r="G51" s="20">
        <v>11774137.91</v>
      </c>
    </row>
    <row r="52" spans="3:7" ht="15.75" thickBot="1" x14ac:dyDescent="0.3">
      <c r="C52" s="28" t="s">
        <v>176</v>
      </c>
      <c r="D52" s="29">
        <f>SUM(D50:D51)</f>
        <v>8792624.3499999996</v>
      </c>
      <c r="E52" s="21" t="s">
        <v>177</v>
      </c>
      <c r="F52" s="19" t="s">
        <v>178</v>
      </c>
      <c r="G52" s="20">
        <v>0</v>
      </c>
    </row>
    <row r="53" spans="3:7" ht="15.75" thickBot="1" x14ac:dyDescent="0.3">
      <c r="C53" s="40" t="s">
        <v>179</v>
      </c>
      <c r="D53" s="41">
        <f>+D20+D35+D47+D52</f>
        <v>9792968508.5556526</v>
      </c>
      <c r="E53" s="21" t="s">
        <v>180</v>
      </c>
      <c r="F53" s="19" t="s">
        <v>181</v>
      </c>
      <c r="G53" s="20">
        <v>42748863.390000001</v>
      </c>
    </row>
    <row r="54" spans="3:7" x14ac:dyDescent="0.25">
      <c r="C54" s="42"/>
      <c r="D54" s="43"/>
      <c r="E54" s="21" t="s">
        <v>182</v>
      </c>
      <c r="F54" s="19" t="s">
        <v>183</v>
      </c>
      <c r="G54" s="20">
        <v>23903866.120000023</v>
      </c>
    </row>
    <row r="55" spans="3:7" x14ac:dyDescent="0.25">
      <c r="C55" s="44" t="s">
        <v>184</v>
      </c>
      <c r="D55" s="45"/>
      <c r="E55" s="21" t="s">
        <v>185</v>
      </c>
      <c r="F55" s="19" t="s">
        <v>186</v>
      </c>
      <c r="G55" s="20">
        <v>19385047.84</v>
      </c>
    </row>
    <row r="56" spans="3:7" x14ac:dyDescent="0.25">
      <c r="C56" s="46" t="s">
        <v>188</v>
      </c>
      <c r="D56" s="20"/>
      <c r="E56" s="21" t="s">
        <v>189</v>
      </c>
      <c r="F56" s="19" t="s">
        <v>190</v>
      </c>
      <c r="G56" s="20">
        <v>19900421.6702055</v>
      </c>
    </row>
    <row r="57" spans="3:7" ht="15.75" thickBot="1" x14ac:dyDescent="0.3">
      <c r="C57" s="46" t="s">
        <v>192</v>
      </c>
      <c r="D57" s="20"/>
      <c r="E57" s="21"/>
      <c r="F57" s="28" t="s">
        <v>193</v>
      </c>
      <c r="G57" s="29">
        <f>SUM(G49:G56)</f>
        <v>498472372.69020522</v>
      </c>
    </row>
    <row r="58" spans="3:7" x14ac:dyDescent="0.25">
      <c r="C58" s="46" t="s">
        <v>195</v>
      </c>
      <c r="D58" s="20"/>
      <c r="E58" s="21" t="s">
        <v>196</v>
      </c>
      <c r="F58" s="22" t="s">
        <v>197</v>
      </c>
      <c r="G58" s="20">
        <v>274245910.61999995</v>
      </c>
    </row>
    <row r="59" spans="3:7" x14ac:dyDescent="0.25">
      <c r="C59" s="19" t="s">
        <v>199</v>
      </c>
      <c r="D59" s="27"/>
      <c r="E59" s="21" t="s">
        <v>200</v>
      </c>
      <c r="F59" s="19" t="s">
        <v>201</v>
      </c>
      <c r="G59" s="20">
        <v>13327391.700000003</v>
      </c>
    </row>
    <row r="60" spans="3:7" ht="15.75" thickBot="1" x14ac:dyDescent="0.3">
      <c r="C60" s="28" t="s">
        <v>202</v>
      </c>
      <c r="D60" s="29">
        <v>0</v>
      </c>
      <c r="E60" s="21" t="s">
        <v>203</v>
      </c>
      <c r="F60" s="19" t="s">
        <v>204</v>
      </c>
      <c r="G60" s="20">
        <v>0</v>
      </c>
    </row>
    <row r="61" spans="3:7" ht="16.5" thickBot="1" x14ac:dyDescent="0.3">
      <c r="C61" s="48" t="s">
        <v>205</v>
      </c>
      <c r="D61" s="49">
        <f>+D53+D60</f>
        <v>9792968508.5556526</v>
      </c>
      <c r="E61" s="21" t="s">
        <v>206</v>
      </c>
      <c r="F61" s="19" t="s">
        <v>207</v>
      </c>
      <c r="G61" s="20">
        <v>14096813.889999999</v>
      </c>
    </row>
    <row r="62" spans="3:7" x14ac:dyDescent="0.25">
      <c r="C62" s="51"/>
      <c r="D62" s="51"/>
      <c r="E62" s="21" t="s">
        <v>208</v>
      </c>
      <c r="F62" s="19" t="s">
        <v>209</v>
      </c>
      <c r="G62" s="20">
        <v>0</v>
      </c>
    </row>
    <row r="63" spans="3:7" x14ac:dyDescent="0.25">
      <c r="C63" s="53" t="s">
        <v>8</v>
      </c>
      <c r="D63" s="53"/>
      <c r="E63" s="21" t="s">
        <v>210</v>
      </c>
      <c r="F63" s="19" t="s">
        <v>211</v>
      </c>
      <c r="G63" s="20">
        <v>11670528.23</v>
      </c>
    </row>
    <row r="64" spans="3:7" x14ac:dyDescent="0.25">
      <c r="C64" s="55" t="s">
        <v>213</v>
      </c>
      <c r="D64" s="55">
        <v>140249253</v>
      </c>
      <c r="E64" s="21" t="s">
        <v>214</v>
      </c>
      <c r="F64" s="19" t="s">
        <v>215</v>
      </c>
      <c r="G64" s="20">
        <v>36099649.879999995</v>
      </c>
    </row>
    <row r="65" spans="3:7" x14ac:dyDescent="0.25">
      <c r="C65" s="55" t="s">
        <v>217</v>
      </c>
      <c r="D65" s="55">
        <v>0</v>
      </c>
      <c r="E65" s="21" t="s">
        <v>218</v>
      </c>
      <c r="F65" s="19" t="s">
        <v>219</v>
      </c>
      <c r="G65" s="20">
        <v>1650407.36</v>
      </c>
    </row>
    <row r="66" spans="3:7" x14ac:dyDescent="0.25">
      <c r="C66" s="55" t="s">
        <v>221</v>
      </c>
      <c r="D66" s="55">
        <v>0</v>
      </c>
      <c r="E66" s="21" t="s">
        <v>222</v>
      </c>
      <c r="F66" s="19" t="s">
        <v>223</v>
      </c>
      <c r="G66" s="20">
        <v>68953251.829999998</v>
      </c>
    </row>
    <row r="67" spans="3:7" x14ac:dyDescent="0.25">
      <c r="C67" s="55" t="s">
        <v>225</v>
      </c>
      <c r="D67" s="55">
        <v>0</v>
      </c>
      <c r="E67" s="21" t="s">
        <v>226</v>
      </c>
      <c r="F67" s="19" t="s">
        <v>227</v>
      </c>
      <c r="G67" s="20">
        <v>0</v>
      </c>
    </row>
    <row r="68" spans="3:7" x14ac:dyDescent="0.25">
      <c r="C68" s="55" t="s">
        <v>229</v>
      </c>
      <c r="D68" s="55">
        <v>54482905</v>
      </c>
      <c r="E68" s="21" t="s">
        <v>230</v>
      </c>
      <c r="F68" s="19" t="s">
        <v>231</v>
      </c>
      <c r="G68" s="20">
        <v>0</v>
      </c>
    </row>
    <row r="69" spans="3:7" x14ac:dyDescent="0.25">
      <c r="C69" s="55" t="s">
        <v>233</v>
      </c>
      <c r="D69" s="55">
        <v>5807156</v>
      </c>
      <c r="E69" s="21" t="s">
        <v>234</v>
      </c>
      <c r="F69" s="19" t="s">
        <v>235</v>
      </c>
      <c r="G69" s="20">
        <v>12615255.84</v>
      </c>
    </row>
    <row r="70" spans="3:7" x14ac:dyDescent="0.25">
      <c r="C70" s="55" t="s">
        <v>237</v>
      </c>
      <c r="D70" s="55">
        <v>0</v>
      </c>
      <c r="E70" s="21" t="s">
        <v>238</v>
      </c>
      <c r="F70" s="19" t="s">
        <v>239</v>
      </c>
      <c r="G70" s="20">
        <v>13570059.18</v>
      </c>
    </row>
    <row r="71" spans="3:7" x14ac:dyDescent="0.25">
      <c r="C71" s="55" t="s">
        <v>241</v>
      </c>
      <c r="D71" s="55">
        <v>5602577</v>
      </c>
      <c r="E71" s="21" t="s">
        <v>242</v>
      </c>
      <c r="F71" s="19" t="s">
        <v>243</v>
      </c>
      <c r="G71" s="20">
        <v>11820604.17</v>
      </c>
    </row>
    <row r="72" spans="3:7" x14ac:dyDescent="0.25">
      <c r="C72" s="55" t="s">
        <v>245</v>
      </c>
      <c r="D72" s="55">
        <v>20391827</v>
      </c>
      <c r="E72" s="21" t="s">
        <v>246</v>
      </c>
      <c r="F72" s="19" t="s">
        <v>247</v>
      </c>
      <c r="G72" s="20">
        <v>0</v>
      </c>
    </row>
    <row r="73" spans="3:7" x14ac:dyDescent="0.25">
      <c r="C73" s="55" t="s">
        <v>249</v>
      </c>
      <c r="D73" s="55">
        <v>0</v>
      </c>
      <c r="E73" s="21" t="s">
        <v>250</v>
      </c>
      <c r="F73" s="19" t="s">
        <v>251</v>
      </c>
      <c r="G73" s="20">
        <v>0</v>
      </c>
    </row>
    <row r="74" spans="3:7" x14ac:dyDescent="0.25">
      <c r="C74" s="55" t="s">
        <v>253</v>
      </c>
      <c r="D74" s="55">
        <v>32673649</v>
      </c>
      <c r="E74" s="21" t="s">
        <v>254</v>
      </c>
      <c r="F74" s="19" t="s">
        <v>255</v>
      </c>
      <c r="G74" s="20">
        <v>0</v>
      </c>
    </row>
    <row r="75" spans="3:7" x14ac:dyDescent="0.25">
      <c r="C75" s="55" t="s">
        <v>257</v>
      </c>
      <c r="D75" s="55">
        <v>3597171</v>
      </c>
      <c r="E75" s="21" t="s">
        <v>258</v>
      </c>
      <c r="F75" s="19" t="s">
        <v>259</v>
      </c>
      <c r="G75" s="20">
        <v>22934453.039999999</v>
      </c>
    </row>
    <row r="76" spans="3:7" x14ac:dyDescent="0.25">
      <c r="C76" s="55" t="s">
        <v>261</v>
      </c>
      <c r="D76" s="55">
        <v>0</v>
      </c>
      <c r="E76" s="21" t="s">
        <v>262</v>
      </c>
      <c r="F76" s="19" t="s">
        <v>263</v>
      </c>
      <c r="G76" s="20">
        <v>148905217.41000006</v>
      </c>
    </row>
    <row r="77" spans="3:7" x14ac:dyDescent="0.25">
      <c r="C77" s="55" t="s">
        <v>265</v>
      </c>
      <c r="D77" s="55">
        <v>262804538</v>
      </c>
      <c r="E77" s="21" t="s">
        <v>266</v>
      </c>
      <c r="F77" s="19" t="s">
        <v>267</v>
      </c>
      <c r="G77" s="20">
        <v>212532743.85000002</v>
      </c>
    </row>
    <row r="78" spans="3:7" x14ac:dyDescent="0.25">
      <c r="C78" s="55"/>
      <c r="D78" s="55"/>
      <c r="E78" s="21" t="s">
        <v>268</v>
      </c>
      <c r="F78" s="19" t="s">
        <v>269</v>
      </c>
      <c r="G78" s="20">
        <v>36448242.232789472</v>
      </c>
    </row>
    <row r="79" spans="3:7" ht="15.75" thickBot="1" x14ac:dyDescent="0.3">
      <c r="C79" s="53" t="s">
        <v>270</v>
      </c>
      <c r="D79" s="56"/>
      <c r="E79" s="21"/>
      <c r="F79" s="28" t="s">
        <v>271</v>
      </c>
      <c r="G79" s="29">
        <f>SUM(G58:G78)</f>
        <v>878870529.23278952</v>
      </c>
    </row>
    <row r="80" spans="3:7" x14ac:dyDescent="0.25">
      <c r="C80" s="55" t="s">
        <v>237</v>
      </c>
      <c r="D80" s="55">
        <v>0</v>
      </c>
      <c r="E80" s="21" t="s">
        <v>273</v>
      </c>
      <c r="F80" s="22" t="s">
        <v>274</v>
      </c>
      <c r="G80" s="20">
        <v>1641961</v>
      </c>
    </row>
    <row r="81" spans="3:7" x14ac:dyDescent="0.25">
      <c r="C81" s="55" t="s">
        <v>241</v>
      </c>
      <c r="D81" s="55">
        <v>258461</v>
      </c>
      <c r="E81" s="21" t="s">
        <v>276</v>
      </c>
      <c r="F81" s="19" t="s">
        <v>277</v>
      </c>
      <c r="G81" s="20">
        <v>252594222</v>
      </c>
    </row>
    <row r="82" spans="3:7" x14ac:dyDescent="0.25">
      <c r="C82" s="55" t="s">
        <v>245</v>
      </c>
      <c r="D82" s="55">
        <v>940728</v>
      </c>
      <c r="E82" s="21" t="s">
        <v>279</v>
      </c>
      <c r="F82" s="19" t="s">
        <v>280</v>
      </c>
      <c r="G82" s="20">
        <v>12533902.380000003</v>
      </c>
    </row>
    <row r="83" spans="3:7" x14ac:dyDescent="0.25">
      <c r="C83" s="55" t="s">
        <v>249</v>
      </c>
      <c r="D83" s="55">
        <v>0</v>
      </c>
      <c r="E83" s="21" t="s">
        <v>282</v>
      </c>
      <c r="F83" s="19" t="s">
        <v>283</v>
      </c>
      <c r="G83" s="20">
        <v>16186341.830000006</v>
      </c>
    </row>
    <row r="84" spans="3:7" x14ac:dyDescent="0.25">
      <c r="C84" s="55" t="s">
        <v>285</v>
      </c>
      <c r="D84" s="55">
        <v>0</v>
      </c>
      <c r="E84" s="21" t="s">
        <v>286</v>
      </c>
      <c r="F84" s="19" t="s">
        <v>287</v>
      </c>
      <c r="G84" s="20">
        <v>35119827.219999976</v>
      </c>
    </row>
    <row r="85" spans="3:7" x14ac:dyDescent="0.25">
      <c r="C85" s="55" t="s">
        <v>289</v>
      </c>
      <c r="D85" s="55">
        <v>0</v>
      </c>
      <c r="E85" s="21" t="s">
        <v>290</v>
      </c>
      <c r="F85" s="19" t="s">
        <v>291</v>
      </c>
      <c r="G85" s="20">
        <v>11730850.029999996</v>
      </c>
    </row>
    <row r="86" spans="3:7" x14ac:dyDescent="0.25">
      <c r="C86" s="55" t="s">
        <v>293</v>
      </c>
      <c r="D86" s="55">
        <v>0</v>
      </c>
      <c r="E86" s="21" t="s">
        <v>294</v>
      </c>
      <c r="F86" s="19" t="s">
        <v>295</v>
      </c>
      <c r="G86" s="20">
        <v>4250994.0599999987</v>
      </c>
    </row>
    <row r="87" spans="3:7" x14ac:dyDescent="0.25">
      <c r="C87" s="55" t="s">
        <v>297</v>
      </c>
      <c r="D87" s="55">
        <v>0</v>
      </c>
      <c r="E87" s="21" t="s">
        <v>298</v>
      </c>
      <c r="F87" s="19" t="s">
        <v>299</v>
      </c>
      <c r="G87" s="20">
        <v>3682237.42</v>
      </c>
    </row>
    <row r="88" spans="3:7" x14ac:dyDescent="0.25">
      <c r="C88" s="55" t="s">
        <v>301</v>
      </c>
      <c r="D88" s="55">
        <v>1507321</v>
      </c>
      <c r="E88" s="21" t="s">
        <v>302</v>
      </c>
      <c r="F88" s="19" t="s">
        <v>303</v>
      </c>
      <c r="G88" s="20">
        <v>275558.06000000006</v>
      </c>
    </row>
    <row r="89" spans="3:7" x14ac:dyDescent="0.25">
      <c r="C89" s="55" t="s">
        <v>213</v>
      </c>
      <c r="D89" s="55">
        <v>6903909</v>
      </c>
      <c r="E89" s="21" t="s">
        <v>305</v>
      </c>
      <c r="F89" s="19" t="s">
        <v>306</v>
      </c>
      <c r="G89" s="20">
        <v>3168621.27</v>
      </c>
    </row>
    <row r="90" spans="3:7" x14ac:dyDescent="0.25">
      <c r="C90" s="55" t="s">
        <v>229</v>
      </c>
      <c r="D90" s="55">
        <v>2513438</v>
      </c>
      <c r="E90" s="21" t="s">
        <v>308</v>
      </c>
      <c r="F90" s="19" t="s">
        <v>309</v>
      </c>
      <c r="G90" s="20">
        <v>15545591.5</v>
      </c>
    </row>
    <row r="91" spans="3:7" x14ac:dyDescent="0.25">
      <c r="C91" s="55" t="s">
        <v>311</v>
      </c>
      <c r="D91" s="55">
        <v>12123857</v>
      </c>
      <c r="E91" s="52" t="s">
        <v>312</v>
      </c>
      <c r="F91" s="19" t="s">
        <v>313</v>
      </c>
      <c r="G91" s="20">
        <v>0</v>
      </c>
    </row>
    <row r="92" spans="3:7" x14ac:dyDescent="0.25">
      <c r="C92" s="57" t="s">
        <v>314</v>
      </c>
      <c r="D92" s="55">
        <v>274928395</v>
      </c>
      <c r="E92" s="52" t="s">
        <v>315</v>
      </c>
      <c r="F92" s="19" t="s">
        <v>316</v>
      </c>
      <c r="G92" s="20">
        <v>0</v>
      </c>
    </row>
    <row r="93" spans="3:7" x14ac:dyDescent="0.25">
      <c r="E93" s="52" t="s">
        <v>317</v>
      </c>
      <c r="F93" s="19" t="s">
        <v>318</v>
      </c>
      <c r="G93" s="20">
        <v>104810173</v>
      </c>
    </row>
    <row r="94" spans="3:7" x14ac:dyDescent="0.25">
      <c r="E94" s="52" t="s">
        <v>319</v>
      </c>
      <c r="F94" s="19" t="s">
        <v>320</v>
      </c>
      <c r="G94" s="20">
        <v>19934861.065075461</v>
      </c>
    </row>
    <row r="95" spans="3:7" ht="15.75" thickBot="1" x14ac:dyDescent="0.3">
      <c r="E95" s="21"/>
      <c r="F95" s="28" t="s">
        <v>321</v>
      </c>
      <c r="G95" s="29">
        <f>SUM(G80:G94)</f>
        <v>481475140.83507538</v>
      </c>
    </row>
    <row r="96" spans="3:7" x14ac:dyDescent="0.25">
      <c r="E96" s="52" t="s">
        <v>322</v>
      </c>
      <c r="F96" s="22" t="s">
        <v>323</v>
      </c>
      <c r="G96" s="23">
        <v>9405485.4600000009</v>
      </c>
    </row>
    <row r="97" spans="3:7" x14ac:dyDescent="0.25">
      <c r="E97" s="52" t="s">
        <v>324</v>
      </c>
      <c r="F97" s="19" t="s">
        <v>325</v>
      </c>
      <c r="G97" s="20">
        <v>48118079.219999969</v>
      </c>
    </row>
    <row r="98" spans="3:7" x14ac:dyDescent="0.25">
      <c r="E98" s="52" t="s">
        <v>326</v>
      </c>
      <c r="F98" s="19" t="s">
        <v>327</v>
      </c>
      <c r="G98" s="20">
        <v>1200385.8899999999</v>
      </c>
    </row>
    <row r="99" spans="3:7" x14ac:dyDescent="0.25">
      <c r="E99" s="52" t="s">
        <v>328</v>
      </c>
      <c r="F99" s="19" t="s">
        <v>329</v>
      </c>
      <c r="G99" s="20">
        <v>21837003.449999996</v>
      </c>
    </row>
    <row r="100" spans="3:7" x14ac:dyDescent="0.25">
      <c r="E100" s="52" t="s">
        <v>330</v>
      </c>
      <c r="F100" s="19" t="s">
        <v>331</v>
      </c>
      <c r="G100" s="27">
        <v>3522492.5084954472</v>
      </c>
    </row>
    <row r="101" spans="3:7" ht="15.75" thickBot="1" x14ac:dyDescent="0.3">
      <c r="E101" s="21"/>
      <c r="F101" s="28" t="s">
        <v>332</v>
      </c>
      <c r="G101" s="29">
        <f>SUM(G96:G100)</f>
        <v>84083446.528495416</v>
      </c>
    </row>
    <row r="102" spans="3:7" ht="15.75" thickBot="1" x14ac:dyDescent="0.3">
      <c r="E102" s="52"/>
      <c r="F102" s="59" t="s">
        <v>333</v>
      </c>
      <c r="G102" s="60">
        <v>262804538</v>
      </c>
    </row>
    <row r="103" spans="3:7" x14ac:dyDescent="0.25">
      <c r="E103" s="52" t="s">
        <v>334</v>
      </c>
      <c r="F103" s="19" t="s">
        <v>335</v>
      </c>
      <c r="G103" s="23"/>
    </row>
    <row r="104" spans="3:7" x14ac:dyDescent="0.25">
      <c r="E104" s="52" t="s">
        <v>336</v>
      </c>
      <c r="F104" s="61" t="s">
        <v>337</v>
      </c>
      <c r="G104" s="20"/>
    </row>
    <row r="105" spans="3:7" ht="15.75" thickBot="1" x14ac:dyDescent="0.3">
      <c r="E105" s="21"/>
      <c r="F105" s="28" t="s">
        <v>338</v>
      </c>
      <c r="G105" s="29">
        <v>0</v>
      </c>
    </row>
    <row r="106" spans="3:7" ht="16.5" thickBot="1" x14ac:dyDescent="0.3">
      <c r="C106" s="62"/>
      <c r="D106" s="62"/>
      <c r="E106" s="52"/>
      <c r="F106" s="48" t="s">
        <v>339</v>
      </c>
      <c r="G106" s="49">
        <f>+G19+G27+G32+G48+G57+G79+G95+G101+G102+G105</f>
        <v>9361769536.7019005</v>
      </c>
    </row>
    <row r="107" spans="3:7" ht="15.75" x14ac:dyDescent="0.25">
      <c r="C107" s="62"/>
      <c r="D107" s="62"/>
      <c r="E107" s="21"/>
      <c r="F107" s="63"/>
      <c r="G107" s="64"/>
    </row>
    <row r="108" spans="3:7" ht="16.5" thickBot="1" x14ac:dyDescent="0.3">
      <c r="C108" s="62"/>
      <c r="D108" s="62"/>
      <c r="E108" s="21"/>
    </row>
    <row r="109" spans="3:7" ht="16.5" thickBot="1" x14ac:dyDescent="0.3">
      <c r="C109" s="62"/>
      <c r="D109" s="62"/>
      <c r="E109" s="21"/>
      <c r="F109" s="13" t="s">
        <v>340</v>
      </c>
      <c r="G109" s="65">
        <f>+D61-G106</f>
        <v>431198971.85375214</v>
      </c>
    </row>
    <row r="110" spans="3:7" ht="16.5" thickBot="1" x14ac:dyDescent="0.3">
      <c r="C110" s="62"/>
      <c r="D110" s="62"/>
      <c r="E110" s="21"/>
    </row>
    <row r="111" spans="3:7" ht="16.5" thickBot="1" x14ac:dyDescent="0.3">
      <c r="C111" s="48" t="s">
        <v>270</v>
      </c>
      <c r="D111" s="17">
        <v>2020</v>
      </c>
      <c r="E111" s="52"/>
      <c r="F111" s="48" t="s">
        <v>341</v>
      </c>
      <c r="G111" s="17">
        <v>2020</v>
      </c>
    </row>
    <row r="112" spans="3:7" x14ac:dyDescent="0.25">
      <c r="C112" s="66" t="s">
        <v>343</v>
      </c>
      <c r="D112" s="20">
        <v>43086094.828352876</v>
      </c>
      <c r="E112" s="21" t="s">
        <v>344</v>
      </c>
      <c r="F112" s="66" t="s">
        <v>309</v>
      </c>
      <c r="G112" s="20">
        <v>2066551.65</v>
      </c>
    </row>
    <row r="113" spans="3:7" x14ac:dyDescent="0.25">
      <c r="C113" s="68" t="s">
        <v>346</v>
      </c>
      <c r="D113" s="20">
        <v>256846945.13801378</v>
      </c>
      <c r="E113" s="21" t="s">
        <v>347</v>
      </c>
      <c r="F113" s="68" t="s">
        <v>348</v>
      </c>
      <c r="G113" s="20">
        <v>0</v>
      </c>
    </row>
    <row r="114" spans="3:7" x14ac:dyDescent="0.25">
      <c r="C114" s="68" t="s">
        <v>48</v>
      </c>
      <c r="D114" s="20">
        <v>4324967.3436335484</v>
      </c>
      <c r="E114" s="21" t="s">
        <v>350</v>
      </c>
      <c r="F114" s="68" t="s">
        <v>351</v>
      </c>
      <c r="G114" s="20">
        <v>103437527.64</v>
      </c>
    </row>
    <row r="115" spans="3:7" x14ac:dyDescent="0.25">
      <c r="C115" s="68" t="s">
        <v>353</v>
      </c>
      <c r="D115" s="20">
        <v>2465848.5104238372</v>
      </c>
      <c r="E115" s="21" t="s">
        <v>354</v>
      </c>
      <c r="F115" s="68" t="s">
        <v>355</v>
      </c>
      <c r="G115" s="20">
        <v>30643639.640000001</v>
      </c>
    </row>
    <row r="116" spans="3:7" x14ac:dyDescent="0.25">
      <c r="C116" s="68" t="s">
        <v>357</v>
      </c>
      <c r="D116" s="20">
        <v>12194204.247503115</v>
      </c>
      <c r="E116" s="21" t="s">
        <v>358</v>
      </c>
      <c r="F116" s="68" t="s">
        <v>359</v>
      </c>
      <c r="G116" s="20">
        <v>25423</v>
      </c>
    </row>
    <row r="117" spans="3:7" x14ac:dyDescent="0.25">
      <c r="C117" s="68" t="s">
        <v>361</v>
      </c>
      <c r="D117" s="20">
        <v>111870.68207304981</v>
      </c>
      <c r="E117" s="21" t="s">
        <v>362</v>
      </c>
      <c r="F117" s="68" t="s">
        <v>363</v>
      </c>
      <c r="G117" s="20">
        <v>425750</v>
      </c>
    </row>
    <row r="118" spans="3:7" x14ac:dyDescent="0.25">
      <c r="C118" s="68" t="s">
        <v>365</v>
      </c>
      <c r="D118" s="20">
        <v>862460.47000000009</v>
      </c>
      <c r="E118" s="21" t="s">
        <v>366</v>
      </c>
      <c r="F118" s="68" t="s">
        <v>367</v>
      </c>
      <c r="G118" s="20">
        <v>0</v>
      </c>
    </row>
    <row r="119" spans="3:7" x14ac:dyDescent="0.25">
      <c r="C119" s="68" t="s">
        <v>369</v>
      </c>
      <c r="D119" s="20">
        <v>2728275.39</v>
      </c>
      <c r="E119" s="21" t="s">
        <v>370</v>
      </c>
      <c r="F119" s="68" t="s">
        <v>371</v>
      </c>
      <c r="G119" s="20">
        <v>0</v>
      </c>
    </row>
    <row r="120" spans="3:7" x14ac:dyDescent="0.25">
      <c r="C120" s="68" t="s">
        <v>373</v>
      </c>
      <c r="D120" s="20">
        <v>100000</v>
      </c>
      <c r="E120" s="21" t="s">
        <v>374</v>
      </c>
      <c r="F120" s="68" t="s">
        <v>375</v>
      </c>
      <c r="G120" s="20">
        <v>0</v>
      </c>
    </row>
    <row r="121" spans="3:7" x14ac:dyDescent="0.25">
      <c r="C121" s="19" t="s">
        <v>377</v>
      </c>
      <c r="D121" s="20">
        <v>14086742</v>
      </c>
      <c r="E121" s="21" t="s">
        <v>378</v>
      </c>
      <c r="F121" s="68" t="s">
        <v>379</v>
      </c>
      <c r="G121" s="20">
        <v>36882756.879999995</v>
      </c>
    </row>
    <row r="122" spans="3:7" ht="15.75" thickBot="1" x14ac:dyDescent="0.3">
      <c r="C122" s="28" t="s">
        <v>380</v>
      </c>
      <c r="D122" s="37">
        <f>SUM(D112:D121)</f>
        <v>336807408.61000019</v>
      </c>
      <c r="E122" s="21" t="s">
        <v>381</v>
      </c>
      <c r="F122" s="19" t="s">
        <v>382</v>
      </c>
      <c r="G122" s="20">
        <v>1463686.1749981823</v>
      </c>
    </row>
    <row r="123" spans="3:7" ht="15.75" thickBot="1" x14ac:dyDescent="0.3">
      <c r="C123" s="70" t="s">
        <v>309</v>
      </c>
      <c r="D123" s="67">
        <v>1090075</v>
      </c>
      <c r="E123" s="52"/>
      <c r="F123" s="28" t="s">
        <v>384</v>
      </c>
      <c r="G123" s="37">
        <f>SUM(G112:G122)</f>
        <v>174945334.9849982</v>
      </c>
    </row>
    <row r="124" spans="3:7" x14ac:dyDescent="0.25">
      <c r="C124" s="68" t="s">
        <v>313</v>
      </c>
      <c r="D124" s="69"/>
      <c r="E124" s="21" t="s">
        <v>386</v>
      </c>
      <c r="F124" s="68" t="s">
        <v>387</v>
      </c>
      <c r="G124" s="69">
        <v>0</v>
      </c>
    </row>
    <row r="125" spans="3:7" x14ac:dyDescent="0.25">
      <c r="C125" s="19" t="s">
        <v>389</v>
      </c>
      <c r="D125" s="69">
        <v>46860</v>
      </c>
      <c r="E125" s="21" t="s">
        <v>390</v>
      </c>
      <c r="F125" s="68" t="s">
        <v>391</v>
      </c>
      <c r="G125" s="69">
        <v>0</v>
      </c>
    </row>
    <row r="126" spans="3:7" ht="15.75" thickBot="1" x14ac:dyDescent="0.3">
      <c r="C126" s="28" t="s">
        <v>392</v>
      </c>
      <c r="D126" s="37">
        <f>SUM(D123:D125)</f>
        <v>1136935</v>
      </c>
      <c r="E126" s="21" t="s">
        <v>393</v>
      </c>
      <c r="F126" s="68" t="s">
        <v>394</v>
      </c>
      <c r="G126" s="69">
        <v>42342267.320000008</v>
      </c>
    </row>
    <row r="127" spans="3:7" x14ac:dyDescent="0.25">
      <c r="C127" s="66" t="s">
        <v>274</v>
      </c>
      <c r="D127" s="67">
        <v>0</v>
      </c>
      <c r="E127" s="21" t="s">
        <v>396</v>
      </c>
      <c r="F127" s="68" t="s">
        <v>397</v>
      </c>
      <c r="G127" s="69">
        <v>0</v>
      </c>
    </row>
    <row r="128" spans="3:7" x14ac:dyDescent="0.25">
      <c r="C128" s="68" t="s">
        <v>399</v>
      </c>
      <c r="D128" s="20">
        <v>1830104.66</v>
      </c>
      <c r="E128" s="21" t="s">
        <v>400</v>
      </c>
      <c r="F128" s="68" t="s">
        <v>401</v>
      </c>
      <c r="G128" s="69">
        <v>18570</v>
      </c>
    </row>
    <row r="129" spans="3:7" x14ac:dyDescent="0.25">
      <c r="C129" s="68" t="s">
        <v>277</v>
      </c>
      <c r="D129" s="20">
        <v>1722802.53</v>
      </c>
      <c r="E129" s="21" t="s">
        <v>403</v>
      </c>
      <c r="F129" s="68" t="s">
        <v>404</v>
      </c>
      <c r="G129" s="69">
        <v>0</v>
      </c>
    </row>
    <row r="130" spans="3:7" x14ac:dyDescent="0.25">
      <c r="C130" s="68" t="s">
        <v>283</v>
      </c>
      <c r="D130" s="20">
        <v>1775416.71</v>
      </c>
      <c r="E130" s="21" t="s">
        <v>406</v>
      </c>
      <c r="F130" s="68" t="s">
        <v>407</v>
      </c>
      <c r="G130" s="69">
        <v>0</v>
      </c>
    </row>
    <row r="131" spans="3:7" x14ac:dyDescent="0.25">
      <c r="C131" s="68" t="s">
        <v>287</v>
      </c>
      <c r="D131" s="20">
        <v>3383880.4099999997</v>
      </c>
      <c r="E131" s="21" t="s">
        <v>409</v>
      </c>
      <c r="F131" s="68" t="s">
        <v>410</v>
      </c>
      <c r="G131" s="69">
        <v>0</v>
      </c>
    </row>
    <row r="132" spans="3:7" x14ac:dyDescent="0.25">
      <c r="C132" s="68" t="s">
        <v>291</v>
      </c>
      <c r="D132" s="20">
        <v>950665.32000000007</v>
      </c>
      <c r="E132" s="21" t="s">
        <v>412</v>
      </c>
      <c r="F132" s="68" t="s">
        <v>413</v>
      </c>
      <c r="G132" s="69">
        <v>0</v>
      </c>
    </row>
    <row r="133" spans="3:7" x14ac:dyDescent="0.25">
      <c r="C133" s="68" t="s">
        <v>295</v>
      </c>
      <c r="D133" s="20">
        <v>224665.77000000002</v>
      </c>
      <c r="E133" s="21" t="s">
        <v>415</v>
      </c>
      <c r="F133" s="68" t="s">
        <v>416</v>
      </c>
      <c r="G133" s="69">
        <v>3666478.1099999994</v>
      </c>
    </row>
    <row r="134" spans="3:7" x14ac:dyDescent="0.25">
      <c r="C134" s="68" t="s">
        <v>418</v>
      </c>
      <c r="D134" s="20">
        <v>56968196.310000002</v>
      </c>
      <c r="E134" s="21" t="s">
        <v>419</v>
      </c>
      <c r="F134" s="68" t="s">
        <v>420</v>
      </c>
      <c r="G134" s="69">
        <v>0</v>
      </c>
    </row>
    <row r="135" spans="3:7" x14ac:dyDescent="0.25">
      <c r="C135" s="68" t="s">
        <v>422</v>
      </c>
      <c r="D135" s="20">
        <v>135758628.22999999</v>
      </c>
      <c r="E135" s="21" t="s">
        <v>423</v>
      </c>
      <c r="F135" s="68" t="s">
        <v>424</v>
      </c>
      <c r="G135" s="69">
        <v>0</v>
      </c>
    </row>
    <row r="136" spans="3:7" x14ac:dyDescent="0.25">
      <c r="C136" s="68" t="s">
        <v>318</v>
      </c>
      <c r="D136" s="20">
        <v>13078087.6</v>
      </c>
      <c r="E136" s="21" t="s">
        <v>426</v>
      </c>
      <c r="F136" s="68" t="s">
        <v>427</v>
      </c>
      <c r="G136" s="69">
        <v>74580</v>
      </c>
    </row>
    <row r="137" spans="3:7" x14ac:dyDescent="0.25">
      <c r="C137" s="19" t="s">
        <v>320</v>
      </c>
      <c r="D137" s="20">
        <v>8708051.6636831854</v>
      </c>
      <c r="E137" s="21" t="s">
        <v>429</v>
      </c>
      <c r="F137" s="68" t="s">
        <v>430</v>
      </c>
      <c r="G137" s="69">
        <v>47709314.559999995</v>
      </c>
    </row>
    <row r="138" spans="3:7" ht="15.75" thickBot="1" x14ac:dyDescent="0.3">
      <c r="C138" s="28" t="s">
        <v>321</v>
      </c>
      <c r="D138" s="37">
        <f>SUM(D127:D137)</f>
        <v>224400499.20368317</v>
      </c>
      <c r="E138" s="21" t="s">
        <v>431</v>
      </c>
      <c r="F138" s="19" t="s">
        <v>432</v>
      </c>
      <c r="G138" s="69">
        <v>3547747.7331824019</v>
      </c>
    </row>
    <row r="139" spans="3:7" ht="15.75" thickBot="1" x14ac:dyDescent="0.3">
      <c r="C139" s="66" t="s">
        <v>327</v>
      </c>
      <c r="D139" s="67">
        <v>4329</v>
      </c>
      <c r="E139" s="7"/>
      <c r="F139" s="28" t="s">
        <v>434</v>
      </c>
      <c r="G139" s="37">
        <f>SUM(G124:G138)</f>
        <v>97358957.72318241</v>
      </c>
    </row>
    <row r="140" spans="3:7" ht="16.5" thickBot="1" x14ac:dyDescent="0.3">
      <c r="C140" s="68" t="s">
        <v>329</v>
      </c>
      <c r="D140" s="69">
        <v>3130855</v>
      </c>
      <c r="E140" s="7"/>
      <c r="F140" s="48" t="s">
        <v>436</v>
      </c>
      <c r="G140" s="72">
        <f>+G123-G139</f>
        <v>77586377.261815786</v>
      </c>
    </row>
    <row r="141" spans="3:7" x14ac:dyDescent="0.25">
      <c r="C141" s="19" t="s">
        <v>331</v>
      </c>
      <c r="D141" s="71">
        <v>129783</v>
      </c>
      <c r="E141" s="73"/>
    </row>
    <row r="142" spans="3:7" ht="15.75" thickBot="1" x14ac:dyDescent="0.3">
      <c r="C142" s="28" t="s">
        <v>332</v>
      </c>
      <c r="D142" s="37">
        <f>SUM(D139:D141)</f>
        <v>3264967</v>
      </c>
      <c r="E142" s="73"/>
    </row>
    <row r="143" spans="3:7" ht="16.5" thickBot="1" x14ac:dyDescent="0.3">
      <c r="C143" s="59" t="s">
        <v>438</v>
      </c>
      <c r="D143" s="74">
        <v>12123857</v>
      </c>
      <c r="E143" s="21"/>
      <c r="F143" s="48" t="s">
        <v>439</v>
      </c>
      <c r="G143" s="17">
        <v>2020</v>
      </c>
    </row>
    <row r="144" spans="3:7" x14ac:dyDescent="0.25">
      <c r="C144" s="66" t="s">
        <v>441</v>
      </c>
      <c r="D144" s="67">
        <v>2616244</v>
      </c>
      <c r="E144" s="21" t="s">
        <v>442</v>
      </c>
      <c r="F144" s="66" t="s">
        <v>443</v>
      </c>
      <c r="G144" s="20">
        <v>247307.1099999994</v>
      </c>
    </row>
    <row r="145" spans="3:7" x14ac:dyDescent="0.25">
      <c r="C145" s="68" t="s">
        <v>445</v>
      </c>
      <c r="D145" s="69"/>
      <c r="E145" s="21" t="s">
        <v>446</v>
      </c>
      <c r="F145" s="68" t="s">
        <v>447</v>
      </c>
      <c r="G145" s="20">
        <v>0</v>
      </c>
    </row>
    <row r="146" spans="3:7" x14ac:dyDescent="0.25">
      <c r="C146" s="75" t="s">
        <v>449</v>
      </c>
      <c r="D146" s="69"/>
      <c r="E146" s="21" t="s">
        <v>450</v>
      </c>
      <c r="F146" s="68" t="s">
        <v>451</v>
      </c>
      <c r="G146" s="20">
        <v>0</v>
      </c>
    </row>
    <row r="147" spans="3:7" x14ac:dyDescent="0.25">
      <c r="C147" s="19" t="s">
        <v>453</v>
      </c>
      <c r="D147" s="71">
        <v>112467</v>
      </c>
      <c r="E147" s="21" t="s">
        <v>454</v>
      </c>
      <c r="F147" s="68" t="s">
        <v>455</v>
      </c>
      <c r="G147" s="20">
        <v>0</v>
      </c>
    </row>
    <row r="148" spans="3:7" ht="15.75" thickBot="1" x14ac:dyDescent="0.3">
      <c r="C148" s="28" t="s">
        <v>456</v>
      </c>
      <c r="D148" s="37">
        <f>SUM(D144:D147)</f>
        <v>2728711</v>
      </c>
      <c r="E148" s="21" t="s">
        <v>457</v>
      </c>
      <c r="F148" s="68" t="s">
        <v>458</v>
      </c>
      <c r="G148" s="20">
        <v>0</v>
      </c>
    </row>
    <row r="149" spans="3:7" x14ac:dyDescent="0.25">
      <c r="C149" s="66" t="s">
        <v>460</v>
      </c>
      <c r="D149" s="67">
        <v>21145135</v>
      </c>
      <c r="E149" s="21" t="s">
        <v>461</v>
      </c>
      <c r="F149" s="68" t="s">
        <v>462</v>
      </c>
      <c r="G149" s="20">
        <v>0</v>
      </c>
    </row>
    <row r="150" spans="3:7" x14ac:dyDescent="0.25">
      <c r="C150" s="68" t="s">
        <v>464</v>
      </c>
      <c r="D150" s="69">
        <v>11732038</v>
      </c>
      <c r="E150" s="21" t="s">
        <v>465</v>
      </c>
      <c r="F150" s="68" t="s">
        <v>466</v>
      </c>
      <c r="G150" s="20">
        <v>0</v>
      </c>
    </row>
    <row r="151" spans="3:7" x14ac:dyDescent="0.25">
      <c r="C151" s="19" t="s">
        <v>468</v>
      </c>
      <c r="D151" s="71">
        <v>1944857</v>
      </c>
      <c r="E151" s="21" t="s">
        <v>469</v>
      </c>
      <c r="F151" s="68" t="s">
        <v>470</v>
      </c>
      <c r="G151" s="20">
        <v>524636134.37</v>
      </c>
    </row>
    <row r="152" spans="3:7" ht="15.75" thickBot="1" x14ac:dyDescent="0.3">
      <c r="C152" s="28" t="s">
        <v>471</v>
      </c>
      <c r="D152" s="37">
        <f>SUM(D149:D151)</f>
        <v>34822030</v>
      </c>
      <c r="E152" s="21" t="s">
        <v>472</v>
      </c>
      <c r="F152" s="68" t="s">
        <v>473</v>
      </c>
      <c r="G152" s="20">
        <v>3814324</v>
      </c>
    </row>
    <row r="153" spans="3:7" ht="16.5" thickBot="1" x14ac:dyDescent="0.3">
      <c r="C153" s="48" t="s">
        <v>474</v>
      </c>
      <c r="D153" s="76">
        <f>+D122+D126+D138+D142+D143+D148+D152</f>
        <v>615284407.81368339</v>
      </c>
      <c r="E153" s="21" t="s">
        <v>475</v>
      </c>
      <c r="F153" s="19" t="s">
        <v>476</v>
      </c>
      <c r="G153" s="20">
        <v>4580907.8583590351</v>
      </c>
    </row>
    <row r="154" spans="3:7" ht="15.75" thickBot="1" x14ac:dyDescent="0.3">
      <c r="E154" s="21"/>
      <c r="F154" s="28" t="s">
        <v>477</v>
      </c>
      <c r="G154" s="37">
        <f>SUM(G144:G153)</f>
        <v>533278673.33835906</v>
      </c>
    </row>
    <row r="155" spans="3:7" ht="16.5" thickBot="1" x14ac:dyDescent="0.3">
      <c r="C155" s="77" t="s">
        <v>478</v>
      </c>
      <c r="D155" s="65">
        <f>+G109-D153</f>
        <v>-184085435.95993125</v>
      </c>
      <c r="E155" s="21" t="s">
        <v>479</v>
      </c>
      <c r="F155" s="66" t="s">
        <v>480</v>
      </c>
      <c r="G155" s="20">
        <v>57580829.5</v>
      </c>
    </row>
    <row r="156" spans="3:7" x14ac:dyDescent="0.25">
      <c r="E156" s="21" t="s">
        <v>481</v>
      </c>
      <c r="F156" s="68" t="s">
        <v>482</v>
      </c>
      <c r="G156" s="20">
        <v>341315449.45999998</v>
      </c>
    </row>
    <row r="157" spans="3:7" x14ac:dyDescent="0.25">
      <c r="E157" s="21" t="s">
        <v>483</v>
      </c>
      <c r="F157" s="68" t="s">
        <v>484</v>
      </c>
      <c r="G157" s="20">
        <v>3189222.29</v>
      </c>
    </row>
    <row r="158" spans="3:7" x14ac:dyDescent="0.25">
      <c r="E158" s="21" t="s">
        <v>485</v>
      </c>
      <c r="F158" s="68" t="s">
        <v>486</v>
      </c>
      <c r="G158" s="20">
        <v>0</v>
      </c>
    </row>
    <row r="159" spans="3:7" x14ac:dyDescent="0.25">
      <c r="E159" s="21" t="s">
        <v>487</v>
      </c>
      <c r="F159" s="68" t="s">
        <v>488</v>
      </c>
      <c r="G159" s="20">
        <v>0</v>
      </c>
    </row>
    <row r="160" spans="3:7" x14ac:dyDescent="0.25">
      <c r="E160" s="21" t="s">
        <v>489</v>
      </c>
      <c r="F160" s="68" t="s">
        <v>490</v>
      </c>
      <c r="G160" s="20">
        <v>4831784.3600000003</v>
      </c>
    </row>
    <row r="161" spans="5:7" x14ac:dyDescent="0.25">
      <c r="E161" s="21" t="s">
        <v>491</v>
      </c>
      <c r="F161" s="68" t="s">
        <v>492</v>
      </c>
      <c r="G161" s="20">
        <v>97252825</v>
      </c>
    </row>
    <row r="162" spans="5:7" x14ac:dyDescent="0.25">
      <c r="E162" s="21" t="s">
        <v>493</v>
      </c>
      <c r="F162" s="68" t="s">
        <v>494</v>
      </c>
      <c r="G162" s="20">
        <v>0</v>
      </c>
    </row>
    <row r="163" spans="5:7" x14ac:dyDescent="0.25">
      <c r="E163" s="21" t="s">
        <v>495</v>
      </c>
      <c r="F163" s="68" t="s">
        <v>496</v>
      </c>
      <c r="G163" s="20">
        <v>0</v>
      </c>
    </row>
    <row r="164" spans="5:7" x14ac:dyDescent="0.25">
      <c r="E164" s="21" t="s">
        <v>497</v>
      </c>
      <c r="F164" s="68" t="s">
        <v>498</v>
      </c>
      <c r="G164" s="20">
        <v>0</v>
      </c>
    </row>
    <row r="165" spans="5:7" x14ac:dyDescent="0.25">
      <c r="E165" s="21" t="s">
        <v>499</v>
      </c>
      <c r="F165" s="68" t="s">
        <v>500</v>
      </c>
      <c r="G165" s="20">
        <v>0</v>
      </c>
    </row>
    <row r="166" spans="5:7" x14ac:dyDescent="0.25">
      <c r="E166" s="21" t="s">
        <v>501</v>
      </c>
      <c r="F166" s="68" t="s">
        <v>502</v>
      </c>
      <c r="G166" s="20">
        <v>0</v>
      </c>
    </row>
    <row r="167" spans="5:7" x14ac:dyDescent="0.25">
      <c r="E167" s="21" t="s">
        <v>503</v>
      </c>
      <c r="F167" s="19" t="s">
        <v>504</v>
      </c>
      <c r="G167" s="20">
        <v>15949296.982113589</v>
      </c>
    </row>
    <row r="168" spans="5:7" ht="15.75" thickBot="1" x14ac:dyDescent="0.3">
      <c r="E168" s="21"/>
      <c r="F168" s="28" t="s">
        <v>505</v>
      </c>
      <c r="G168" s="37">
        <f>SUM(G155:G167)</f>
        <v>520119407.59211361</v>
      </c>
    </row>
    <row r="169" spans="5:7" ht="16.5" thickBot="1" x14ac:dyDescent="0.3">
      <c r="E169" s="21"/>
      <c r="F169" s="48" t="s">
        <v>506</v>
      </c>
      <c r="G169" s="72">
        <f>+G154-G168</f>
        <v>13159265.746245444</v>
      </c>
    </row>
    <row r="170" spans="5:7" ht="15.75" thickBot="1" x14ac:dyDescent="0.3">
      <c r="E170" s="21"/>
      <c r="F170" s="78"/>
      <c r="G170" s="78"/>
    </row>
    <row r="171" spans="5:7" ht="16.5" thickBot="1" x14ac:dyDescent="0.3">
      <c r="E171" s="21"/>
      <c r="F171" s="77" t="s">
        <v>507</v>
      </c>
      <c r="G171" s="79"/>
    </row>
    <row r="172" spans="5:7" ht="16.5" thickBot="1" x14ac:dyDescent="0.3">
      <c r="E172" s="21"/>
      <c r="F172" s="80"/>
      <c r="G172" s="81">
        <f>+D155+G140+G169</f>
        <v>-93339792.951870024</v>
      </c>
    </row>
    <row r="173" spans="5:7" ht="15.75" thickBot="1" x14ac:dyDescent="0.3">
      <c r="E173" s="21"/>
      <c r="F173" s="5"/>
      <c r="G173" s="5"/>
    </row>
    <row r="174" spans="5:7" ht="16.5" thickBot="1" x14ac:dyDescent="0.3">
      <c r="E174" s="21"/>
      <c r="F174" s="48" t="s">
        <v>508</v>
      </c>
      <c r="G174" s="17">
        <v>2020</v>
      </c>
    </row>
    <row r="175" spans="5:7" x14ac:dyDescent="0.25">
      <c r="E175" s="21"/>
      <c r="F175" s="66" t="s">
        <v>509</v>
      </c>
      <c r="G175" s="67">
        <v>0</v>
      </c>
    </row>
    <row r="176" spans="5:7" x14ac:dyDescent="0.25">
      <c r="E176" s="21"/>
      <c r="F176" s="68" t="s">
        <v>510</v>
      </c>
      <c r="G176" s="69">
        <v>0</v>
      </c>
    </row>
    <row r="177" spans="3:7" ht="15.75" thickBot="1" x14ac:dyDescent="0.3">
      <c r="F177" s="68" t="s">
        <v>511</v>
      </c>
      <c r="G177" s="69">
        <v>0</v>
      </c>
    </row>
    <row r="178" spans="3:7" ht="16.5" thickBot="1" x14ac:dyDescent="0.3">
      <c r="F178" s="48" t="s">
        <v>512</v>
      </c>
      <c r="G178" s="72">
        <v>0</v>
      </c>
    </row>
    <row r="179" spans="3:7" ht="15.75" thickBot="1" x14ac:dyDescent="0.3"/>
    <row r="180" spans="3:7" ht="16.5" thickBot="1" x14ac:dyDescent="0.3">
      <c r="F180" s="77" t="s">
        <v>513</v>
      </c>
      <c r="G180" s="79"/>
    </row>
    <row r="181" spans="3:7" ht="16.5" thickBot="1" x14ac:dyDescent="0.3">
      <c r="F181" s="83"/>
      <c r="G181" s="81">
        <f>+G172</f>
        <v>-93339792.951870024</v>
      </c>
    </row>
    <row r="184" spans="3:7" x14ac:dyDescent="0.25">
      <c r="E184" s="84"/>
      <c r="F184" s="84"/>
      <c r="G184" s="84"/>
    </row>
    <row r="185" spans="3:7" x14ac:dyDescent="0.25">
      <c r="C185" s="84"/>
      <c r="D185" s="84"/>
      <c r="F185" s="86"/>
      <c r="G185" s="86"/>
    </row>
    <row r="186" spans="3:7" x14ac:dyDescent="0.25">
      <c r="C186" s="84"/>
      <c r="D186" s="84"/>
      <c r="F186" s="86"/>
      <c r="G186" s="86"/>
    </row>
    <row r="187" spans="3:7" x14ac:dyDescent="0.25">
      <c r="C187" s="84"/>
      <c r="D187" s="84"/>
      <c r="F187" s="86"/>
      <c r="G187" s="86"/>
    </row>
    <row r="188" spans="3:7" x14ac:dyDescent="0.25">
      <c r="C188" s="84"/>
      <c r="D188" s="84"/>
      <c r="F188" s="86"/>
      <c r="G188" s="86"/>
    </row>
    <row r="189" spans="3:7" x14ac:dyDescent="0.25">
      <c r="C189" s="84"/>
      <c r="D189" s="84"/>
      <c r="F189" s="86"/>
      <c r="G189" s="86"/>
    </row>
    <row r="190" spans="3:7" x14ac:dyDescent="0.25">
      <c r="C190" s="84"/>
      <c r="D190" s="84"/>
      <c r="F190" s="86"/>
      <c r="G190" s="86"/>
    </row>
    <row r="191" spans="3:7" x14ac:dyDescent="0.25">
      <c r="C191" s="84"/>
      <c r="D191" s="84"/>
      <c r="F191" s="86"/>
      <c r="G191" s="86"/>
    </row>
    <row r="192" spans="3:7" x14ac:dyDescent="0.25">
      <c r="C192" s="84"/>
      <c r="D192" s="84"/>
      <c r="F192" s="86"/>
      <c r="G192" s="86"/>
    </row>
    <row r="193" spans="3:7" x14ac:dyDescent="0.25">
      <c r="C193" s="84"/>
      <c r="D193" s="84"/>
      <c r="F193" s="86"/>
      <c r="G193" s="86"/>
    </row>
    <row r="194" spans="3:7" x14ac:dyDescent="0.25">
      <c r="C194" s="84"/>
      <c r="D194" s="84"/>
      <c r="F194" s="86"/>
      <c r="G194" s="86"/>
    </row>
    <row r="195" spans="3:7" x14ac:dyDescent="0.25">
      <c r="C195" s="84"/>
      <c r="D195" s="84"/>
      <c r="F195" s="86"/>
      <c r="G195" s="86"/>
    </row>
    <row r="196" spans="3:7" x14ac:dyDescent="0.25">
      <c r="C196" s="84"/>
      <c r="D196" s="84"/>
      <c r="F196" s="86"/>
      <c r="G196" s="86"/>
    </row>
    <row r="197" spans="3:7" x14ac:dyDescent="0.25">
      <c r="C197" s="84"/>
      <c r="D197" s="84"/>
      <c r="F197" s="86"/>
      <c r="G197" s="86"/>
    </row>
    <row r="198" spans="3:7" x14ac:dyDescent="0.25">
      <c r="C198" s="84"/>
      <c r="D198" s="84"/>
      <c r="F198" s="86"/>
      <c r="G198" s="86"/>
    </row>
    <row r="199" spans="3:7" x14ac:dyDescent="0.25">
      <c r="C199" s="84"/>
      <c r="D199" s="84"/>
      <c r="F199" s="86"/>
      <c r="G199" s="86"/>
    </row>
    <row r="200" spans="3:7" x14ac:dyDescent="0.25">
      <c r="C200" s="84"/>
      <c r="D200" s="84"/>
      <c r="F200" s="86"/>
      <c r="G200" s="86"/>
    </row>
    <row r="201" spans="3:7" x14ac:dyDescent="0.25">
      <c r="C201" s="84"/>
      <c r="D201" s="84"/>
      <c r="F201" s="86"/>
      <c r="G201" s="86"/>
    </row>
    <row r="202" spans="3:7" x14ac:dyDescent="0.25">
      <c r="C202" s="84"/>
      <c r="D202" s="84"/>
      <c r="F202" s="86"/>
      <c r="G202" s="86"/>
    </row>
    <row r="203" spans="3:7" x14ac:dyDescent="0.25">
      <c r="C203" s="84"/>
      <c r="D203" s="84"/>
      <c r="F203" s="86"/>
      <c r="G203" s="86"/>
    </row>
    <row r="204" spans="3:7" x14ac:dyDescent="0.25">
      <c r="C204" s="84"/>
      <c r="D204" s="84"/>
      <c r="F204" s="86"/>
      <c r="G204" s="86"/>
    </row>
    <row r="205" spans="3:7" x14ac:dyDescent="0.25">
      <c r="C205" s="84"/>
      <c r="D205" s="84"/>
      <c r="F205" s="86"/>
      <c r="G205" s="86"/>
    </row>
    <row r="206" spans="3:7" x14ac:dyDescent="0.25">
      <c r="C206" s="84"/>
      <c r="D206" s="84"/>
      <c r="F206" s="86"/>
      <c r="G206" s="86"/>
    </row>
    <row r="207" spans="3:7" x14ac:dyDescent="0.25">
      <c r="C207" s="84"/>
      <c r="D207" s="84"/>
      <c r="F207" s="86"/>
      <c r="G207" s="86"/>
    </row>
    <row r="208" spans="3:7" x14ac:dyDescent="0.25">
      <c r="C208" s="84"/>
      <c r="D208" s="84"/>
      <c r="F208" s="86"/>
      <c r="G208" s="86"/>
    </row>
    <row r="209" spans="3:7" x14ac:dyDescent="0.25">
      <c r="C209" s="84"/>
      <c r="D209" s="84"/>
      <c r="F209" s="86"/>
      <c r="G209" s="86"/>
    </row>
    <row r="210" spans="3:7" x14ac:dyDescent="0.25">
      <c r="C210" s="84"/>
      <c r="D210" s="84"/>
      <c r="F210" s="86"/>
      <c r="G210" s="86"/>
    </row>
    <row r="211" spans="3:7" x14ac:dyDescent="0.25">
      <c r="C211" s="84"/>
      <c r="D211" s="84"/>
      <c r="F211" s="86"/>
      <c r="G211" s="86"/>
    </row>
    <row r="212" spans="3:7" x14ac:dyDescent="0.25">
      <c r="C212" s="84"/>
      <c r="D212" s="84"/>
      <c r="F212" s="86"/>
      <c r="G212" s="86"/>
    </row>
    <row r="213" spans="3:7" x14ac:dyDescent="0.25">
      <c r="C213" s="84"/>
      <c r="D213" s="84"/>
      <c r="F213" s="86"/>
      <c r="G213" s="86"/>
    </row>
    <row r="214" spans="3:7" x14ac:dyDescent="0.25">
      <c r="C214" s="84"/>
      <c r="D214" s="84"/>
      <c r="F214" s="87"/>
    </row>
    <row r="215" spans="3:7" x14ac:dyDescent="0.25">
      <c r="C215" s="86"/>
      <c r="D215" s="86"/>
      <c r="F215" s="87"/>
    </row>
  </sheetData>
  <mergeCells count="6">
    <mergeCell ref="C1:D1"/>
    <mergeCell ref="E1:F1"/>
    <mergeCell ref="C2:D2"/>
    <mergeCell ref="E2:F2"/>
    <mergeCell ref="C3:D3"/>
    <mergeCell ref="E3:F3"/>
  </mergeCells>
  <conditionalFormatting sqref="D7:D12">
    <cfRule type="cellIs" dxfId="437" priority="71" stopIfTrue="1" operator="greaterThan">
      <formula>50</formula>
    </cfRule>
    <cfRule type="cellIs" dxfId="436" priority="78" stopIfTrue="1" operator="equal">
      <formula>0</formula>
    </cfRule>
  </conditionalFormatting>
  <conditionalFormatting sqref="D7:D48 D50:D61">
    <cfRule type="cellIs" dxfId="435" priority="76" stopIfTrue="1" operator="between">
      <formula>-0.1</formula>
      <formula>-50</formula>
    </cfRule>
    <cfRule type="cellIs" dxfId="434" priority="77" stopIfTrue="1" operator="between">
      <formula>0.1</formula>
      <formula>50</formula>
    </cfRule>
  </conditionalFormatting>
  <conditionalFormatting sqref="G19 G27:G48 G57 G79 G95:G111 G154 G123:G143 G168:G181">
    <cfRule type="cellIs" dxfId="433" priority="74" stopIfTrue="1" operator="between">
      <formula>-0.1</formula>
      <formula>-50</formula>
    </cfRule>
    <cfRule type="cellIs" dxfId="432" priority="75" stopIfTrue="1" operator="between">
      <formula>0.1</formula>
      <formula>50</formula>
    </cfRule>
  </conditionalFormatting>
  <conditionalFormatting sqref="D111 D122:D126 D138:D155">
    <cfRule type="cellIs" dxfId="431" priority="72" stopIfTrue="1" operator="between">
      <formula>-0.1</formula>
      <formula>-50</formula>
    </cfRule>
    <cfRule type="cellIs" dxfId="430" priority="73" stopIfTrue="1" operator="between">
      <formula>0.1</formula>
      <formula>50</formula>
    </cfRule>
  </conditionalFormatting>
  <conditionalFormatting sqref="D112:D121">
    <cfRule type="cellIs" dxfId="429" priority="27" stopIfTrue="1" operator="between">
      <formula>-0.1</formula>
      <formula>-50</formula>
    </cfRule>
    <cfRule type="cellIs" dxfId="428" priority="28" stopIfTrue="1" operator="between">
      <formula>0.1</formula>
      <formula>50</formula>
    </cfRule>
  </conditionalFormatting>
  <conditionalFormatting sqref="D127">
    <cfRule type="cellIs" dxfId="427" priority="25" stopIfTrue="1" operator="between">
      <formula>-0.1</formula>
      <formula>-50</formula>
    </cfRule>
    <cfRule type="cellIs" dxfId="426" priority="26" stopIfTrue="1" operator="between">
      <formula>0.1</formula>
      <formula>50</formula>
    </cfRule>
  </conditionalFormatting>
  <conditionalFormatting sqref="D128:D129 D135:D137">
    <cfRule type="cellIs" dxfId="425" priority="23" stopIfTrue="1" operator="between">
      <formula>-0.1</formula>
      <formula>-50</formula>
    </cfRule>
    <cfRule type="cellIs" dxfId="424" priority="24" stopIfTrue="1" operator="between">
      <formula>0.1</formula>
      <formula>50</formula>
    </cfRule>
  </conditionalFormatting>
  <conditionalFormatting sqref="D130:D134">
    <cfRule type="cellIs" dxfId="423" priority="19" stopIfTrue="1" operator="between">
      <formula>-0.1</formula>
      <formula>-50</formula>
    </cfRule>
    <cfRule type="cellIs" dxfId="422" priority="20" stopIfTrue="1" operator="between">
      <formula>0.1</formula>
      <formula>50</formula>
    </cfRule>
  </conditionalFormatting>
  <conditionalFormatting sqref="G7:G18">
    <cfRule type="cellIs" dxfId="421" priority="17" stopIfTrue="1" operator="between">
      <formula>-0.1</formula>
      <formula>-50</formula>
    </cfRule>
    <cfRule type="cellIs" dxfId="420" priority="18" stopIfTrue="1" operator="between">
      <formula>0.1</formula>
      <formula>50</formula>
    </cfRule>
  </conditionalFormatting>
  <conditionalFormatting sqref="G20:G26">
    <cfRule type="cellIs" dxfId="419" priority="15" stopIfTrue="1" operator="between">
      <formula>-0.1</formula>
      <formula>-50</formula>
    </cfRule>
    <cfRule type="cellIs" dxfId="418" priority="16" stopIfTrue="1" operator="between">
      <formula>0.1</formula>
      <formula>50</formula>
    </cfRule>
  </conditionalFormatting>
  <conditionalFormatting sqref="G49:G56">
    <cfRule type="cellIs" dxfId="417" priority="13" stopIfTrue="1" operator="between">
      <formula>-0.1</formula>
      <formula>-50</formula>
    </cfRule>
    <cfRule type="cellIs" dxfId="416" priority="14" stopIfTrue="1" operator="between">
      <formula>0.1</formula>
      <formula>50</formula>
    </cfRule>
  </conditionalFormatting>
  <conditionalFormatting sqref="G58:G78">
    <cfRule type="cellIs" dxfId="415" priority="11" stopIfTrue="1" operator="between">
      <formula>-0.1</formula>
      <formula>-50</formula>
    </cfRule>
    <cfRule type="cellIs" dxfId="414" priority="12" stopIfTrue="1" operator="between">
      <formula>0.1</formula>
      <formula>50</formula>
    </cfRule>
  </conditionalFormatting>
  <conditionalFormatting sqref="G80:G94">
    <cfRule type="cellIs" dxfId="413" priority="9" stopIfTrue="1" operator="between">
      <formula>-0.1</formula>
      <formula>-50</formula>
    </cfRule>
    <cfRule type="cellIs" dxfId="412" priority="10" stopIfTrue="1" operator="between">
      <formula>0.1</formula>
      <formula>50</formula>
    </cfRule>
  </conditionalFormatting>
  <conditionalFormatting sqref="G112:G122">
    <cfRule type="cellIs" dxfId="411" priority="7" stopIfTrue="1" operator="between">
      <formula>-0.1</formula>
      <formula>-50</formula>
    </cfRule>
    <cfRule type="cellIs" dxfId="410" priority="8" stopIfTrue="1" operator="between">
      <formula>0.1</formula>
      <formula>50</formula>
    </cfRule>
  </conditionalFormatting>
  <conditionalFormatting sqref="G144:G153">
    <cfRule type="cellIs" dxfId="409" priority="5" stopIfTrue="1" operator="between">
      <formula>-0.1</formula>
      <formula>-50</formula>
    </cfRule>
    <cfRule type="cellIs" dxfId="408" priority="6" stopIfTrue="1" operator="between">
      <formula>0.1</formula>
      <formula>50</formula>
    </cfRule>
  </conditionalFormatting>
  <conditionalFormatting sqref="G155">
    <cfRule type="cellIs" dxfId="407" priority="3" stopIfTrue="1" operator="between">
      <formula>-0.1</formula>
      <formula>-50</formula>
    </cfRule>
    <cfRule type="cellIs" dxfId="406" priority="4" stopIfTrue="1" operator="between">
      <formula>0.1</formula>
      <formula>50</formula>
    </cfRule>
  </conditionalFormatting>
  <conditionalFormatting sqref="G156:G167">
    <cfRule type="cellIs" dxfId="405" priority="1" stopIfTrue="1" operator="between">
      <formula>-0.1</formula>
      <formula>-50</formula>
    </cfRule>
    <cfRule type="cellIs" dxfId="404" priority="2" stopIfTrue="1" operator="between">
      <formula>0.1</formula>
      <formula>50</formula>
    </cfRule>
  </conditionalFormatting>
  <pageMargins left="0.7" right="0.7" top="0.75" bottom="0.75" header="0.3" footer="0.3"/>
  <ignoredErrors>
    <ignoredError sqref="E7:E181" numberStoredAsText="1"/>
    <ignoredError sqref="D20 G19 G40 D122 G123 D148 G154" formulaRange="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26"/>
  <sheetViews>
    <sheetView showGridLines="0" workbookViewId="0">
      <selection activeCell="F4" sqref="F4"/>
    </sheetView>
  </sheetViews>
  <sheetFormatPr baseColWidth="10" defaultColWidth="0" defaultRowHeight="15" zeroHeight="1" x14ac:dyDescent="0.25"/>
  <cols>
    <col min="1" max="1" width="3.7109375" style="1" customWidth="1"/>
    <col min="2" max="2" width="14.28515625" style="7" hidden="1" customWidth="1"/>
    <col min="3" max="3" width="58.85546875" style="58" customWidth="1"/>
    <col min="4" max="4" width="25.140625" style="58" customWidth="1"/>
    <col min="5" max="5" width="5.85546875" style="82" customWidth="1"/>
    <col min="6" max="6" width="57.28515625" style="58" customWidth="1"/>
    <col min="7" max="7" width="24.7109375" style="58" customWidth="1"/>
    <col min="8" max="8" width="5.42578125" style="5" customWidth="1"/>
    <col min="9" max="16384" width="0" style="5" hidden="1"/>
  </cols>
  <sheetData>
    <row r="1" spans="1:9" ht="15.75" x14ac:dyDescent="0.25">
      <c r="B1" s="2"/>
      <c r="C1" s="313" t="s">
        <v>0</v>
      </c>
      <c r="D1" s="314"/>
      <c r="E1" s="315" t="str">
        <f>[4]Presentacion!C2</f>
        <v>Circulo Catolico</v>
      </c>
      <c r="F1" s="315"/>
      <c r="G1" s="3"/>
      <c r="H1" s="4"/>
    </row>
    <row r="2" spans="1:9" ht="15.75" x14ac:dyDescent="0.25">
      <c r="B2" s="6"/>
      <c r="C2" s="313" t="s">
        <v>1</v>
      </c>
      <c r="D2" s="314"/>
      <c r="E2" s="315" t="str">
        <f>[4]Presentacion!C3</f>
        <v>Montevideo</v>
      </c>
      <c r="F2" s="315"/>
      <c r="G2" s="3"/>
      <c r="H2" s="4"/>
    </row>
    <row r="3" spans="1:9" ht="15.75" x14ac:dyDescent="0.25">
      <c r="B3" s="6"/>
      <c r="C3" s="313" t="s">
        <v>2</v>
      </c>
      <c r="D3" s="316"/>
      <c r="E3" s="317" t="s">
        <v>3</v>
      </c>
      <c r="F3" s="317"/>
      <c r="G3" s="3"/>
      <c r="H3" s="4"/>
    </row>
    <row r="4" spans="1:9" ht="15.75" thickBot="1" x14ac:dyDescent="0.3">
      <c r="C4" s="287"/>
      <c r="D4" s="8"/>
      <c r="E4" s="9"/>
      <c r="F4" s="10"/>
      <c r="G4" s="11"/>
    </row>
    <row r="5" spans="1:9" ht="16.5" thickBot="1" x14ac:dyDescent="0.3">
      <c r="B5" s="12"/>
      <c r="C5" s="13" t="s">
        <v>4</v>
      </c>
      <c r="D5" s="284" t="s">
        <v>5</v>
      </c>
      <c r="E5" s="14"/>
      <c r="F5" s="13" t="s">
        <v>6</v>
      </c>
      <c r="G5" s="284" t="s">
        <v>5</v>
      </c>
      <c r="I5" s="15"/>
    </row>
    <row r="6" spans="1:9" ht="16.5" thickBot="1" x14ac:dyDescent="0.3">
      <c r="B6" s="12"/>
      <c r="C6" s="16" t="s">
        <v>7</v>
      </c>
      <c r="D6" s="290">
        <f>+[4]E.S.P.!D6</f>
        <v>2020</v>
      </c>
      <c r="E6" s="18"/>
      <c r="F6" s="16" t="s">
        <v>8</v>
      </c>
      <c r="G6" s="290">
        <f>+D6</f>
        <v>2020</v>
      </c>
      <c r="H6" s="15"/>
    </row>
    <row r="7" spans="1:9" x14ac:dyDescent="0.25">
      <c r="B7" s="6" t="s">
        <v>9</v>
      </c>
      <c r="C7" s="19" t="s">
        <v>10</v>
      </c>
      <c r="D7" s="20">
        <v>100210044</v>
      </c>
      <c r="E7" s="21" t="s">
        <v>11</v>
      </c>
      <c r="F7" s="22" t="s">
        <v>12</v>
      </c>
      <c r="G7" s="23">
        <v>25623019</v>
      </c>
    </row>
    <row r="8" spans="1:9" x14ac:dyDescent="0.25">
      <c r="B8" s="6" t="s">
        <v>13</v>
      </c>
      <c r="C8" s="19" t="s">
        <v>14</v>
      </c>
      <c r="D8" s="20">
        <v>6261623</v>
      </c>
      <c r="E8" s="21" t="s">
        <v>15</v>
      </c>
      <c r="F8" s="19" t="s">
        <v>16</v>
      </c>
      <c r="G8" s="24">
        <v>132610486</v>
      </c>
    </row>
    <row r="9" spans="1:9" x14ac:dyDescent="0.25">
      <c r="B9" s="6" t="s">
        <v>17</v>
      </c>
      <c r="C9" s="19" t="s">
        <v>18</v>
      </c>
      <c r="D9" s="20">
        <v>2630904152</v>
      </c>
      <c r="E9" s="21" t="s">
        <v>19</v>
      </c>
      <c r="F9" s="19" t="s">
        <v>20</v>
      </c>
      <c r="G9" s="20">
        <v>114923043</v>
      </c>
    </row>
    <row r="10" spans="1:9" x14ac:dyDescent="0.25">
      <c r="B10" s="6" t="s">
        <v>21</v>
      </c>
      <c r="C10" s="19" t="s">
        <v>22</v>
      </c>
      <c r="D10" s="20">
        <v>280303846</v>
      </c>
      <c r="E10" s="21" t="s">
        <v>23</v>
      </c>
      <c r="F10" s="19" t="s">
        <v>24</v>
      </c>
      <c r="G10" s="20">
        <v>449655712</v>
      </c>
    </row>
    <row r="11" spans="1:9" x14ac:dyDescent="0.25">
      <c r="B11" s="6" t="s">
        <v>25</v>
      </c>
      <c r="C11" s="19" t="s">
        <v>26</v>
      </c>
      <c r="D11" s="20">
        <v>53223202</v>
      </c>
      <c r="E11" s="21" t="s">
        <v>27</v>
      </c>
      <c r="F11" s="19" t="s">
        <v>28</v>
      </c>
      <c r="G11" s="20">
        <v>80300791</v>
      </c>
    </row>
    <row r="12" spans="1:9" x14ac:dyDescent="0.25">
      <c r="B12" s="6" t="s">
        <v>29</v>
      </c>
      <c r="C12" s="19" t="s">
        <v>30</v>
      </c>
      <c r="D12" s="20">
        <v>65004772</v>
      </c>
      <c r="E12" s="21" t="s">
        <v>31</v>
      </c>
      <c r="F12" s="19" t="s">
        <v>32</v>
      </c>
      <c r="G12" s="20">
        <v>183898480</v>
      </c>
    </row>
    <row r="13" spans="1:9" x14ac:dyDescent="0.25">
      <c r="B13" s="6" t="s">
        <v>33</v>
      </c>
      <c r="C13" s="19" t="s">
        <v>34</v>
      </c>
      <c r="D13" s="20"/>
      <c r="E13" s="21" t="s">
        <v>35</v>
      </c>
      <c r="F13" s="19" t="s">
        <v>36</v>
      </c>
      <c r="G13" s="20">
        <v>23088163</v>
      </c>
    </row>
    <row r="14" spans="1:9" x14ac:dyDescent="0.25">
      <c r="A14" s="25"/>
      <c r="B14" s="6" t="s">
        <v>37</v>
      </c>
      <c r="C14" s="19" t="s">
        <v>38</v>
      </c>
      <c r="D14" s="20"/>
      <c r="E14" s="21" t="s">
        <v>39</v>
      </c>
      <c r="F14" s="19" t="s">
        <v>40</v>
      </c>
      <c r="G14" s="20">
        <v>590123445</v>
      </c>
    </row>
    <row r="15" spans="1:9" x14ac:dyDescent="0.25">
      <c r="B15" s="6" t="s">
        <v>41</v>
      </c>
      <c r="C15" s="26" t="s">
        <v>42</v>
      </c>
      <c r="D15" s="20"/>
      <c r="E15" s="21" t="s">
        <v>43</v>
      </c>
      <c r="F15" s="19" t="s">
        <v>44</v>
      </c>
      <c r="G15" s="20">
        <v>206768640</v>
      </c>
    </row>
    <row r="16" spans="1:9" x14ac:dyDescent="0.25">
      <c r="B16" s="6" t="s">
        <v>45</v>
      </c>
      <c r="C16" s="19" t="s">
        <v>46</v>
      </c>
      <c r="D16" s="20"/>
      <c r="E16" s="21" t="s">
        <v>47</v>
      </c>
      <c r="F16" s="19" t="s">
        <v>48</v>
      </c>
      <c r="G16" s="20">
        <v>90555338</v>
      </c>
    </row>
    <row r="17" spans="1:7" x14ac:dyDescent="0.25">
      <c r="B17" s="6" t="s">
        <v>49</v>
      </c>
      <c r="C17" s="19" t="s">
        <v>50</v>
      </c>
      <c r="D17" s="20"/>
      <c r="E17" s="21" t="s">
        <v>51</v>
      </c>
      <c r="F17" s="19" t="s">
        <v>52</v>
      </c>
      <c r="G17" s="20">
        <v>0</v>
      </c>
    </row>
    <row r="18" spans="1:7" x14ac:dyDescent="0.25">
      <c r="A18" s="25"/>
      <c r="B18" s="6" t="s">
        <v>53</v>
      </c>
      <c r="C18" s="19" t="s">
        <v>54</v>
      </c>
      <c r="D18" s="20">
        <v>15890330</v>
      </c>
      <c r="E18" s="21" t="s">
        <v>55</v>
      </c>
      <c r="F18" s="19" t="s">
        <v>56</v>
      </c>
      <c r="G18" s="27">
        <v>83436206</v>
      </c>
    </row>
    <row r="19" spans="1:7" ht="15.75" thickBot="1" x14ac:dyDescent="0.3">
      <c r="A19" s="25"/>
      <c r="B19" s="6" t="s">
        <v>57</v>
      </c>
      <c r="C19" s="19" t="s">
        <v>58</v>
      </c>
      <c r="D19" s="20">
        <v>134017676</v>
      </c>
      <c r="E19" s="21"/>
      <c r="F19" s="28" t="s">
        <v>59</v>
      </c>
      <c r="G19" s="29">
        <f>SUM(G7:G18)</f>
        <v>1980983323</v>
      </c>
    </row>
    <row r="20" spans="1:7" ht="15.75" thickBot="1" x14ac:dyDescent="0.3">
      <c r="B20" s="6"/>
      <c r="C20" s="28" t="s">
        <v>60</v>
      </c>
      <c r="D20" s="29">
        <f>SUM(D7:D19)</f>
        <v>3285815645</v>
      </c>
      <c r="E20" s="21" t="s">
        <v>61</v>
      </c>
      <c r="F20" s="22" t="s">
        <v>62</v>
      </c>
      <c r="G20" s="23">
        <v>1298591</v>
      </c>
    </row>
    <row r="21" spans="1:7" x14ac:dyDescent="0.25">
      <c r="B21" s="6"/>
      <c r="C21" s="30" t="s">
        <v>63</v>
      </c>
      <c r="D21" s="31">
        <f>SUM(D22:D28)</f>
        <v>23419570.5</v>
      </c>
      <c r="E21" s="21" t="s">
        <v>64</v>
      </c>
      <c r="F21" s="19" t="s">
        <v>65</v>
      </c>
      <c r="G21" s="20">
        <v>43398622</v>
      </c>
    </row>
    <row r="22" spans="1:7" x14ac:dyDescent="0.25">
      <c r="B22" s="6" t="s">
        <v>66</v>
      </c>
      <c r="C22" s="19" t="s">
        <v>67</v>
      </c>
      <c r="D22" s="20">
        <v>9969855</v>
      </c>
      <c r="E22" s="21" t="s">
        <v>68</v>
      </c>
      <c r="F22" s="19" t="s">
        <v>69</v>
      </c>
      <c r="G22" s="20">
        <v>42261717</v>
      </c>
    </row>
    <row r="23" spans="1:7" x14ac:dyDescent="0.25">
      <c r="B23" s="6" t="s">
        <v>70</v>
      </c>
      <c r="C23" s="19" t="s">
        <v>71</v>
      </c>
      <c r="D23" s="20">
        <v>4343440</v>
      </c>
      <c r="E23" s="21" t="s">
        <v>72</v>
      </c>
      <c r="F23" s="19" t="s">
        <v>73</v>
      </c>
      <c r="G23" s="20">
        <v>14884362</v>
      </c>
    </row>
    <row r="24" spans="1:7" x14ac:dyDescent="0.25">
      <c r="B24" s="6" t="s">
        <v>74</v>
      </c>
      <c r="C24" s="19" t="s">
        <v>75</v>
      </c>
      <c r="D24" s="20">
        <v>3545819</v>
      </c>
      <c r="E24" s="21" t="s">
        <v>76</v>
      </c>
      <c r="F24" s="19" t="s">
        <v>77</v>
      </c>
      <c r="G24" s="20">
        <v>0</v>
      </c>
    </row>
    <row r="25" spans="1:7" x14ac:dyDescent="0.25">
      <c r="B25" s="6" t="s">
        <v>78</v>
      </c>
      <c r="C25" s="19" t="s">
        <v>79</v>
      </c>
      <c r="D25" s="20">
        <v>3976275</v>
      </c>
      <c r="E25" s="21" t="s">
        <v>80</v>
      </c>
      <c r="F25" s="19" t="s">
        <v>81</v>
      </c>
      <c r="G25" s="20">
        <v>0</v>
      </c>
    </row>
    <row r="26" spans="1:7" x14ac:dyDescent="0.25">
      <c r="B26" s="6" t="s">
        <v>82</v>
      </c>
      <c r="C26" s="19" t="s">
        <v>83</v>
      </c>
      <c r="D26" s="20">
        <v>360939</v>
      </c>
      <c r="E26" s="21" t="s">
        <v>84</v>
      </c>
      <c r="F26" s="19" t="s">
        <v>85</v>
      </c>
      <c r="G26" s="27">
        <v>4489097</v>
      </c>
    </row>
    <row r="27" spans="1:7" ht="15.75" thickBot="1" x14ac:dyDescent="0.3">
      <c r="B27" s="6" t="s">
        <v>86</v>
      </c>
      <c r="C27" s="19" t="s">
        <v>87</v>
      </c>
      <c r="D27" s="20">
        <v>159801</v>
      </c>
      <c r="E27" s="21"/>
      <c r="F27" s="28" t="s">
        <v>88</v>
      </c>
      <c r="G27" s="29">
        <f>SUM(G20:G26)</f>
        <v>106332389</v>
      </c>
    </row>
    <row r="28" spans="1:7" x14ac:dyDescent="0.25">
      <c r="B28" s="6" t="s">
        <v>89</v>
      </c>
      <c r="C28" s="19" t="s">
        <v>90</v>
      </c>
      <c r="D28" s="20">
        <v>1063441.5</v>
      </c>
      <c r="E28" s="21" t="s">
        <v>91</v>
      </c>
      <c r="F28" s="22" t="s">
        <v>92</v>
      </c>
      <c r="G28" s="23">
        <v>99507586</v>
      </c>
    </row>
    <row r="29" spans="1:7" x14ac:dyDescent="0.25">
      <c r="B29" s="6"/>
      <c r="C29" s="32" t="s">
        <v>93</v>
      </c>
      <c r="D29" s="31">
        <f>SUM(D30:D34)</f>
        <v>235218698</v>
      </c>
      <c r="E29" s="21" t="s">
        <v>94</v>
      </c>
      <c r="F29" s="19" t="s">
        <v>95</v>
      </c>
      <c r="G29" s="20">
        <v>57063465</v>
      </c>
    </row>
    <row r="30" spans="1:7" x14ac:dyDescent="0.25">
      <c r="B30" s="6" t="s">
        <v>96</v>
      </c>
      <c r="C30" s="19" t="s">
        <v>97</v>
      </c>
      <c r="D30" s="20">
        <v>161258979</v>
      </c>
      <c r="E30" s="21" t="s">
        <v>98</v>
      </c>
      <c r="F30" s="19" t="s">
        <v>99</v>
      </c>
      <c r="G30" s="20">
        <v>10761027</v>
      </c>
    </row>
    <row r="31" spans="1:7" x14ac:dyDescent="0.25">
      <c r="B31" s="6" t="s">
        <v>100</v>
      </c>
      <c r="C31" s="19" t="s">
        <v>101</v>
      </c>
      <c r="D31" s="20">
        <v>12356991</v>
      </c>
      <c r="E31" s="21" t="s">
        <v>102</v>
      </c>
      <c r="F31" s="19" t="s">
        <v>103</v>
      </c>
      <c r="G31" s="27">
        <v>6785724</v>
      </c>
    </row>
    <row r="32" spans="1:7" ht="15.75" thickBot="1" x14ac:dyDescent="0.3">
      <c r="B32" s="6" t="s">
        <v>104</v>
      </c>
      <c r="C32" s="19" t="s">
        <v>105</v>
      </c>
      <c r="D32" s="20">
        <v>46916364</v>
      </c>
      <c r="E32" s="21"/>
      <c r="F32" s="28" t="s">
        <v>106</v>
      </c>
      <c r="G32" s="29">
        <f>SUM(G28:G31)</f>
        <v>174117802</v>
      </c>
    </row>
    <row r="33" spans="2:7" x14ac:dyDescent="0.25">
      <c r="B33" s="6" t="s">
        <v>107</v>
      </c>
      <c r="C33" s="19" t="s">
        <v>108</v>
      </c>
      <c r="D33" s="20">
        <v>5042775</v>
      </c>
      <c r="E33" s="21"/>
      <c r="F33" s="32" t="s">
        <v>109</v>
      </c>
      <c r="G33" s="31">
        <f>SUM(G34:G39)</f>
        <v>181469580</v>
      </c>
    </row>
    <row r="34" spans="2:7" x14ac:dyDescent="0.25">
      <c r="B34" s="6" t="s">
        <v>110</v>
      </c>
      <c r="C34" s="19" t="s">
        <v>111</v>
      </c>
      <c r="D34" s="20">
        <v>9643589</v>
      </c>
      <c r="E34" s="21" t="s">
        <v>112</v>
      </c>
      <c r="F34" s="19" t="s">
        <v>113</v>
      </c>
      <c r="G34" s="20">
        <v>7673474</v>
      </c>
    </row>
    <row r="35" spans="2:7" ht="15.75" thickBot="1" x14ac:dyDescent="0.3">
      <c r="B35" s="6"/>
      <c r="C35" s="28" t="s">
        <v>114</v>
      </c>
      <c r="D35" s="29">
        <f>+D21+D29</f>
        <v>258638268.5</v>
      </c>
      <c r="E35" s="21" t="s">
        <v>115</v>
      </c>
      <c r="F35" s="19" t="s">
        <v>116</v>
      </c>
      <c r="G35" s="20">
        <v>19191071</v>
      </c>
    </row>
    <row r="36" spans="2:7" x14ac:dyDescent="0.25">
      <c r="B36" s="6" t="s">
        <v>117</v>
      </c>
      <c r="C36" s="19" t="s">
        <v>118</v>
      </c>
      <c r="D36" s="20">
        <v>2048095</v>
      </c>
      <c r="E36" s="21" t="s">
        <v>119</v>
      </c>
      <c r="F36" s="19" t="s">
        <v>120</v>
      </c>
      <c r="G36" s="20">
        <v>4996276</v>
      </c>
    </row>
    <row r="37" spans="2:7" x14ac:dyDescent="0.25">
      <c r="B37" s="6" t="s">
        <v>121</v>
      </c>
      <c r="C37" s="19" t="s">
        <v>122</v>
      </c>
      <c r="D37" s="20">
        <v>128541150</v>
      </c>
      <c r="E37" s="21" t="s">
        <v>123</v>
      </c>
      <c r="F37" s="19" t="s">
        <v>124</v>
      </c>
      <c r="G37" s="20">
        <v>13559938</v>
      </c>
    </row>
    <row r="38" spans="2:7" x14ac:dyDescent="0.25">
      <c r="B38" s="6" t="s">
        <v>125</v>
      </c>
      <c r="C38" s="19" t="s">
        <v>126</v>
      </c>
      <c r="D38" s="20">
        <v>49626956</v>
      </c>
      <c r="E38" s="21" t="s">
        <v>127</v>
      </c>
      <c r="F38" s="19" t="s">
        <v>128</v>
      </c>
      <c r="G38" s="20">
        <v>22295928</v>
      </c>
    </row>
    <row r="39" spans="2:7" x14ac:dyDescent="0.25">
      <c r="B39" s="6" t="s">
        <v>129</v>
      </c>
      <c r="C39" s="19" t="s">
        <v>130</v>
      </c>
      <c r="D39" s="20">
        <v>1936557</v>
      </c>
      <c r="E39" s="21" t="s">
        <v>131</v>
      </c>
      <c r="F39" s="19" t="s">
        <v>132</v>
      </c>
      <c r="G39" s="20">
        <v>113752893</v>
      </c>
    </row>
    <row r="40" spans="2:7" x14ac:dyDescent="0.25">
      <c r="B40" s="6" t="s">
        <v>133</v>
      </c>
      <c r="C40" s="19" t="s">
        <v>134</v>
      </c>
      <c r="D40" s="20">
        <v>24429378</v>
      </c>
      <c r="E40" s="21"/>
      <c r="F40" s="33" t="s">
        <v>135</v>
      </c>
      <c r="G40" s="34">
        <f>SUM(G41:G46)</f>
        <v>52289531</v>
      </c>
    </row>
    <row r="41" spans="2:7" x14ac:dyDescent="0.25">
      <c r="B41" s="6" t="s">
        <v>136</v>
      </c>
      <c r="C41" s="19" t="s">
        <v>137</v>
      </c>
      <c r="D41" s="20">
        <v>1392296</v>
      </c>
      <c r="E41" s="21" t="s">
        <v>138</v>
      </c>
      <c r="F41" s="19" t="s">
        <v>139</v>
      </c>
      <c r="G41" s="20">
        <v>5261860</v>
      </c>
    </row>
    <row r="42" spans="2:7" x14ac:dyDescent="0.25">
      <c r="B42" s="6" t="s">
        <v>140</v>
      </c>
      <c r="C42" s="19" t="s">
        <v>141</v>
      </c>
      <c r="D42" s="20">
        <v>48465323</v>
      </c>
      <c r="E42" s="21" t="s">
        <v>142</v>
      </c>
      <c r="F42" s="19" t="s">
        <v>143</v>
      </c>
      <c r="G42" s="20">
        <v>171171</v>
      </c>
    </row>
    <row r="43" spans="2:7" x14ac:dyDescent="0.25">
      <c r="B43" s="6" t="s">
        <v>144</v>
      </c>
      <c r="C43" s="19" t="s">
        <v>145</v>
      </c>
      <c r="D43" s="20">
        <v>7970952</v>
      </c>
      <c r="E43" s="21" t="s">
        <v>146</v>
      </c>
      <c r="F43" s="19" t="s">
        <v>147</v>
      </c>
      <c r="G43" s="20">
        <v>6708725</v>
      </c>
    </row>
    <row r="44" spans="2:7" x14ac:dyDescent="0.25">
      <c r="B44" s="6" t="s">
        <v>148</v>
      </c>
      <c r="C44" s="19" t="s">
        <v>149</v>
      </c>
      <c r="D44" s="20">
        <v>0</v>
      </c>
      <c r="E44" s="21" t="s">
        <v>150</v>
      </c>
      <c r="F44" s="19" t="s">
        <v>151</v>
      </c>
      <c r="G44" s="20">
        <v>2328183</v>
      </c>
    </row>
    <row r="45" spans="2:7" x14ac:dyDescent="0.25">
      <c r="B45" s="6" t="s">
        <v>152</v>
      </c>
      <c r="C45" s="19" t="s">
        <v>153</v>
      </c>
      <c r="D45" s="20">
        <v>30661304</v>
      </c>
      <c r="E45" s="21" t="s">
        <v>154</v>
      </c>
      <c r="F45" s="19" t="s">
        <v>155</v>
      </c>
      <c r="G45" s="20">
        <v>1632496</v>
      </c>
    </row>
    <row r="46" spans="2:7" x14ac:dyDescent="0.25">
      <c r="B46" s="6" t="s">
        <v>156</v>
      </c>
      <c r="C46" s="19" t="s">
        <v>157</v>
      </c>
      <c r="D46" s="20">
        <v>11092339.5</v>
      </c>
      <c r="E46" s="21" t="s">
        <v>158</v>
      </c>
      <c r="F46" s="19" t="s">
        <v>159</v>
      </c>
      <c r="G46" s="20">
        <f>35167205+1019891</f>
        <v>36187096</v>
      </c>
    </row>
    <row r="47" spans="2:7" ht="15.75" thickBot="1" x14ac:dyDescent="0.3">
      <c r="B47" s="6"/>
      <c r="C47" s="28" t="s">
        <v>160</v>
      </c>
      <c r="D47" s="29">
        <f>SUM(D36:D46)</f>
        <v>306164350.5</v>
      </c>
      <c r="E47" s="21" t="s">
        <v>161</v>
      </c>
      <c r="F47" s="19" t="s">
        <v>162</v>
      </c>
      <c r="G47" s="27">
        <v>9636509</v>
      </c>
    </row>
    <row r="48" spans="2:7" ht="15.75" thickBot="1" x14ac:dyDescent="0.3">
      <c r="B48" s="6"/>
      <c r="C48" s="35" t="s">
        <v>163</v>
      </c>
      <c r="D48" s="36"/>
      <c r="E48" s="21"/>
      <c r="F48" s="28" t="s">
        <v>164</v>
      </c>
      <c r="G48" s="37">
        <f>+G33+G40+G47</f>
        <v>243395620</v>
      </c>
    </row>
    <row r="49" spans="2:7" x14ac:dyDescent="0.25">
      <c r="B49" s="6" t="s">
        <v>165</v>
      </c>
      <c r="C49" s="38" t="s">
        <v>166</v>
      </c>
      <c r="D49" s="39"/>
      <c r="E49" s="21" t="s">
        <v>167</v>
      </c>
      <c r="F49" s="22" t="s">
        <v>168</v>
      </c>
      <c r="G49" s="23">
        <v>69464336</v>
      </c>
    </row>
    <row r="50" spans="2:7" x14ac:dyDescent="0.25">
      <c r="B50" s="6" t="s">
        <v>169</v>
      </c>
      <c r="C50" s="19" t="s">
        <v>163</v>
      </c>
      <c r="D50" s="20">
        <v>13763818</v>
      </c>
      <c r="E50" s="21" t="s">
        <v>170</v>
      </c>
      <c r="F50" s="19" t="s">
        <v>171</v>
      </c>
      <c r="G50" s="20">
        <v>105362624</v>
      </c>
    </row>
    <row r="51" spans="2:7" x14ac:dyDescent="0.25">
      <c r="B51" s="6" t="s">
        <v>172</v>
      </c>
      <c r="C51" s="19" t="s">
        <v>173</v>
      </c>
      <c r="D51" s="27"/>
      <c r="E51" s="21" t="s">
        <v>174</v>
      </c>
      <c r="F51" s="19" t="s">
        <v>175</v>
      </c>
      <c r="G51" s="20">
        <v>548425</v>
      </c>
    </row>
    <row r="52" spans="2:7" ht="15.75" thickBot="1" x14ac:dyDescent="0.3">
      <c r="B52" s="12"/>
      <c r="C52" s="28" t="s">
        <v>176</v>
      </c>
      <c r="D52" s="29">
        <f>SUM(D49:D51)</f>
        <v>13763818</v>
      </c>
      <c r="E52" s="21" t="s">
        <v>177</v>
      </c>
      <c r="F52" s="19" t="s">
        <v>178</v>
      </c>
      <c r="G52" s="20">
        <v>804656</v>
      </c>
    </row>
    <row r="53" spans="2:7" ht="15.75" thickBot="1" x14ac:dyDescent="0.3">
      <c r="B53" s="6"/>
      <c r="C53" s="40" t="s">
        <v>179</v>
      </c>
      <c r="D53" s="41">
        <f>D20+D35+D47+D52</f>
        <v>3864382082</v>
      </c>
      <c r="E53" s="21" t="s">
        <v>180</v>
      </c>
      <c r="F53" s="19" t="s">
        <v>181</v>
      </c>
      <c r="G53" s="20">
        <v>18513851</v>
      </c>
    </row>
    <row r="54" spans="2:7" x14ac:dyDescent="0.25">
      <c r="C54" s="42"/>
      <c r="D54" s="43"/>
      <c r="E54" s="21" t="s">
        <v>182</v>
      </c>
      <c r="F54" s="19" t="s">
        <v>183</v>
      </c>
      <c r="G54" s="20">
        <v>3687782</v>
      </c>
    </row>
    <row r="55" spans="2:7" x14ac:dyDescent="0.25">
      <c r="C55" s="44" t="s">
        <v>184</v>
      </c>
      <c r="D55" s="45"/>
      <c r="E55" s="21" t="s">
        <v>185</v>
      </c>
      <c r="F55" s="19" t="s">
        <v>186</v>
      </c>
      <c r="G55" s="20">
        <v>11292409</v>
      </c>
    </row>
    <row r="56" spans="2:7" x14ac:dyDescent="0.25">
      <c r="B56" s="6" t="s">
        <v>187</v>
      </c>
      <c r="C56" s="46" t="s">
        <v>188</v>
      </c>
      <c r="D56" s="20"/>
      <c r="E56" s="21" t="s">
        <v>189</v>
      </c>
      <c r="F56" s="19" t="s">
        <v>190</v>
      </c>
      <c r="G56" s="27">
        <v>8403436</v>
      </c>
    </row>
    <row r="57" spans="2:7" ht="15.75" thickBot="1" x14ac:dyDescent="0.3">
      <c r="B57" s="6" t="s">
        <v>191</v>
      </c>
      <c r="C57" s="46" t="s">
        <v>192</v>
      </c>
      <c r="D57" s="20">
        <v>-25825788</v>
      </c>
      <c r="E57" s="21"/>
      <c r="F57" s="28" t="s">
        <v>193</v>
      </c>
      <c r="G57" s="29">
        <f>SUM(G49:G56)</f>
        <v>218077519</v>
      </c>
    </row>
    <row r="58" spans="2:7" x14ac:dyDescent="0.25">
      <c r="B58" s="6" t="s">
        <v>194</v>
      </c>
      <c r="C58" s="46" t="s">
        <v>195</v>
      </c>
      <c r="D58" s="20">
        <v>0</v>
      </c>
      <c r="E58" s="21" t="s">
        <v>196</v>
      </c>
      <c r="F58" s="22" t="s">
        <v>197</v>
      </c>
      <c r="G58" s="23">
        <v>86940829</v>
      </c>
    </row>
    <row r="59" spans="2:7" x14ac:dyDescent="0.25">
      <c r="B59" s="6" t="s">
        <v>198</v>
      </c>
      <c r="C59" s="19" t="s">
        <v>199</v>
      </c>
      <c r="D59" s="27">
        <v>-1112287</v>
      </c>
      <c r="E59" s="21" t="s">
        <v>200</v>
      </c>
      <c r="F59" s="19" t="s">
        <v>201</v>
      </c>
      <c r="G59" s="20">
        <v>19994883</v>
      </c>
    </row>
    <row r="60" spans="2:7" ht="15.75" thickBot="1" x14ac:dyDescent="0.3">
      <c r="B60" s="6"/>
      <c r="C60" s="28" t="s">
        <v>202</v>
      </c>
      <c r="D60" s="29">
        <f>SUM(D56:D59)</f>
        <v>-26938075</v>
      </c>
      <c r="E60" s="21" t="s">
        <v>203</v>
      </c>
      <c r="F60" s="19" t="s">
        <v>204</v>
      </c>
      <c r="G60" s="20">
        <v>0</v>
      </c>
    </row>
    <row r="61" spans="2:7" ht="16.5" thickBot="1" x14ac:dyDescent="0.3">
      <c r="B61" s="47"/>
      <c r="C61" s="48" t="s">
        <v>205</v>
      </c>
      <c r="D61" s="49">
        <f>D53+D60</f>
        <v>3837444007</v>
      </c>
      <c r="E61" s="21" t="s">
        <v>206</v>
      </c>
      <c r="F61" s="19" t="s">
        <v>207</v>
      </c>
      <c r="G61" s="20">
        <v>0</v>
      </c>
    </row>
    <row r="62" spans="2:7" x14ac:dyDescent="0.25">
      <c r="B62" s="50"/>
      <c r="C62" s="51"/>
      <c r="D62" s="51"/>
      <c r="E62" s="21" t="s">
        <v>208</v>
      </c>
      <c r="F62" s="19" t="s">
        <v>209</v>
      </c>
      <c r="G62" s="20">
        <v>0</v>
      </c>
    </row>
    <row r="63" spans="2:7" x14ac:dyDescent="0.25">
      <c r="B63" s="52"/>
      <c r="C63" s="53" t="s">
        <v>8</v>
      </c>
      <c r="D63" s="53"/>
      <c r="E63" s="21" t="s">
        <v>210</v>
      </c>
      <c r="F63" s="19" t="s">
        <v>211</v>
      </c>
      <c r="G63" s="20">
        <v>11875525</v>
      </c>
    </row>
    <row r="64" spans="2:7" x14ac:dyDescent="0.25">
      <c r="B64" s="54" t="s">
        <v>212</v>
      </c>
      <c r="C64" s="55" t="s">
        <v>213</v>
      </c>
      <c r="D64" s="55">
        <f>[4]Amortizaciones!D6</f>
        <v>33567701</v>
      </c>
      <c r="E64" s="21" t="s">
        <v>214</v>
      </c>
      <c r="F64" s="19" t="s">
        <v>215</v>
      </c>
      <c r="G64" s="20">
        <v>13191991</v>
      </c>
    </row>
    <row r="65" spans="2:7" x14ac:dyDescent="0.25">
      <c r="B65" s="54" t="s">
        <v>216</v>
      </c>
      <c r="C65" s="55" t="s">
        <v>217</v>
      </c>
      <c r="D65" s="55">
        <f>[4]Amortizaciones!D7</f>
        <v>0</v>
      </c>
      <c r="E65" s="21" t="s">
        <v>218</v>
      </c>
      <c r="F65" s="19" t="s">
        <v>219</v>
      </c>
      <c r="G65" s="20">
        <v>6490252</v>
      </c>
    </row>
    <row r="66" spans="2:7" x14ac:dyDescent="0.25">
      <c r="B66" s="54" t="s">
        <v>220</v>
      </c>
      <c r="C66" s="55" t="s">
        <v>221</v>
      </c>
      <c r="D66" s="55">
        <f>[4]Amortizaciones!D8</f>
        <v>9817654</v>
      </c>
      <c r="E66" s="21" t="s">
        <v>222</v>
      </c>
      <c r="F66" s="19" t="s">
        <v>223</v>
      </c>
      <c r="G66" s="20">
        <v>45053125</v>
      </c>
    </row>
    <row r="67" spans="2:7" x14ac:dyDescent="0.25">
      <c r="B67" s="54" t="s">
        <v>224</v>
      </c>
      <c r="C67" s="55" t="s">
        <v>225</v>
      </c>
      <c r="D67" s="55">
        <f>[4]Amortizaciones!D9</f>
        <v>0</v>
      </c>
      <c r="E67" s="21" t="s">
        <v>226</v>
      </c>
      <c r="F67" s="19" t="s">
        <v>227</v>
      </c>
      <c r="G67" s="20">
        <v>28029108</v>
      </c>
    </row>
    <row r="68" spans="2:7" x14ac:dyDescent="0.25">
      <c r="B68" s="54" t="s">
        <v>228</v>
      </c>
      <c r="C68" s="55" t="s">
        <v>229</v>
      </c>
      <c r="D68" s="55">
        <f>[4]Amortizaciones!D10</f>
        <v>2388261</v>
      </c>
      <c r="E68" s="21" t="s">
        <v>230</v>
      </c>
      <c r="F68" s="19" t="s">
        <v>231</v>
      </c>
      <c r="G68" s="20">
        <v>0</v>
      </c>
    </row>
    <row r="69" spans="2:7" x14ac:dyDescent="0.25">
      <c r="B69" s="54" t="s">
        <v>232</v>
      </c>
      <c r="C69" s="55" t="s">
        <v>233</v>
      </c>
      <c r="D69" s="55">
        <f>[4]Amortizaciones!D11</f>
        <v>1438366</v>
      </c>
      <c r="E69" s="21" t="s">
        <v>234</v>
      </c>
      <c r="F69" s="19" t="s">
        <v>235</v>
      </c>
      <c r="G69" s="20">
        <v>17506074</v>
      </c>
    </row>
    <row r="70" spans="2:7" x14ac:dyDescent="0.25">
      <c r="B70" s="54" t="s">
        <v>236</v>
      </c>
      <c r="C70" s="55" t="s">
        <v>237</v>
      </c>
      <c r="D70" s="55">
        <f>[4]Amortizaciones!D12</f>
        <v>3138542</v>
      </c>
      <c r="E70" s="21" t="s">
        <v>238</v>
      </c>
      <c r="F70" s="19" t="s">
        <v>239</v>
      </c>
      <c r="G70" s="20">
        <v>1417554</v>
      </c>
    </row>
    <row r="71" spans="2:7" x14ac:dyDescent="0.25">
      <c r="B71" s="54" t="s">
        <v>240</v>
      </c>
      <c r="C71" s="55" t="s">
        <v>241</v>
      </c>
      <c r="D71" s="55">
        <f>[4]Amortizaciones!D13</f>
        <v>0</v>
      </c>
      <c r="E71" s="21" t="s">
        <v>242</v>
      </c>
      <c r="F71" s="19" t="s">
        <v>243</v>
      </c>
      <c r="G71" s="20">
        <v>0</v>
      </c>
    </row>
    <row r="72" spans="2:7" x14ac:dyDescent="0.25">
      <c r="B72" s="54" t="s">
        <v>244</v>
      </c>
      <c r="C72" s="55" t="s">
        <v>245</v>
      </c>
      <c r="D72" s="55">
        <f>[4]Amortizaciones!D14</f>
        <v>7711269</v>
      </c>
      <c r="E72" s="21" t="s">
        <v>246</v>
      </c>
      <c r="F72" s="19" t="s">
        <v>247</v>
      </c>
      <c r="G72" s="20">
        <v>0</v>
      </c>
    </row>
    <row r="73" spans="2:7" x14ac:dyDescent="0.25">
      <c r="B73" s="54" t="s">
        <v>248</v>
      </c>
      <c r="C73" s="55" t="s">
        <v>249</v>
      </c>
      <c r="D73" s="55">
        <f>[4]Amortizaciones!D15</f>
        <v>0</v>
      </c>
      <c r="E73" s="21" t="s">
        <v>250</v>
      </c>
      <c r="F73" s="19" t="s">
        <v>251</v>
      </c>
      <c r="G73" s="20">
        <v>1508491</v>
      </c>
    </row>
    <row r="74" spans="2:7" x14ac:dyDescent="0.25">
      <c r="B74" s="54" t="s">
        <v>252</v>
      </c>
      <c r="C74" s="55" t="s">
        <v>253</v>
      </c>
      <c r="D74" s="55">
        <f>[4]Amortizaciones!D16</f>
        <v>1632573</v>
      </c>
      <c r="E74" s="21" t="s">
        <v>254</v>
      </c>
      <c r="F74" s="19" t="s">
        <v>255</v>
      </c>
      <c r="G74" s="20">
        <v>6085532</v>
      </c>
    </row>
    <row r="75" spans="2:7" x14ac:dyDescent="0.25">
      <c r="B75" s="54" t="s">
        <v>256</v>
      </c>
      <c r="C75" s="55" t="s">
        <v>257</v>
      </c>
      <c r="D75" s="55">
        <f>[4]Amortizaciones!D17</f>
        <v>0</v>
      </c>
      <c r="E75" s="21" t="s">
        <v>258</v>
      </c>
      <c r="F75" s="19" t="s">
        <v>259</v>
      </c>
      <c r="G75" s="20">
        <v>8930028</v>
      </c>
    </row>
    <row r="76" spans="2:7" x14ac:dyDescent="0.25">
      <c r="B76" s="54" t="s">
        <v>260</v>
      </c>
      <c r="C76" s="55" t="s">
        <v>261</v>
      </c>
      <c r="D76" s="55">
        <f>[4]Amortizaciones!D18</f>
        <v>0</v>
      </c>
      <c r="E76" s="21" t="s">
        <v>262</v>
      </c>
      <c r="F76" s="19" t="s">
        <v>263</v>
      </c>
      <c r="G76" s="20">
        <v>56952855</v>
      </c>
    </row>
    <row r="77" spans="2:7" x14ac:dyDescent="0.25">
      <c r="B77" s="54" t="s">
        <v>264</v>
      </c>
      <c r="C77" s="55" t="s">
        <v>265</v>
      </c>
      <c r="D77" s="55">
        <f>SUM(D64:D76)</f>
        <v>59694366</v>
      </c>
      <c r="E77" s="21" t="s">
        <v>266</v>
      </c>
      <c r="F77" s="19" t="s">
        <v>267</v>
      </c>
      <c r="G77" s="20">
        <v>72293508</v>
      </c>
    </row>
    <row r="78" spans="2:7" x14ac:dyDescent="0.25">
      <c r="B78" s="54"/>
      <c r="C78" s="55"/>
      <c r="D78" s="55"/>
      <c r="E78" s="21" t="s">
        <v>268</v>
      </c>
      <c r="F78" s="19" t="s">
        <v>269</v>
      </c>
      <c r="G78" s="27">
        <v>16022105</v>
      </c>
    </row>
    <row r="79" spans="2:7" ht="15.75" thickBot="1" x14ac:dyDescent="0.3">
      <c r="B79" s="54"/>
      <c r="C79" s="53" t="s">
        <v>270</v>
      </c>
      <c r="D79" s="56"/>
      <c r="E79" s="21"/>
      <c r="F79" s="28" t="s">
        <v>271</v>
      </c>
      <c r="G79" s="29">
        <f>SUM(G58:G78)</f>
        <v>392291860</v>
      </c>
    </row>
    <row r="80" spans="2:7" x14ac:dyDescent="0.25">
      <c r="B80" s="54" t="s">
        <v>272</v>
      </c>
      <c r="C80" s="55" t="s">
        <v>237</v>
      </c>
      <c r="D80" s="55">
        <f>[4]Amortizaciones!D22</f>
        <v>217776</v>
      </c>
      <c r="E80" s="21" t="s">
        <v>273</v>
      </c>
      <c r="F80" s="22" t="s">
        <v>274</v>
      </c>
      <c r="G80" s="23">
        <v>766439</v>
      </c>
    </row>
    <row r="81" spans="2:7" x14ac:dyDescent="0.25">
      <c r="B81" s="54" t="s">
        <v>275</v>
      </c>
      <c r="C81" s="55" t="s">
        <v>241</v>
      </c>
      <c r="D81" s="55">
        <f>[4]Amortizaciones!D23</f>
        <v>0</v>
      </c>
      <c r="E81" s="21" t="s">
        <v>276</v>
      </c>
      <c r="F81" s="19" t="s">
        <v>277</v>
      </c>
      <c r="G81" s="20">
        <v>807688</v>
      </c>
    </row>
    <row r="82" spans="2:7" x14ac:dyDescent="0.25">
      <c r="B82" s="54" t="s">
        <v>278</v>
      </c>
      <c r="C82" s="55" t="s">
        <v>245</v>
      </c>
      <c r="D82" s="55">
        <f>[4]Amortizaciones!D24</f>
        <v>667903</v>
      </c>
      <c r="E82" s="21" t="s">
        <v>279</v>
      </c>
      <c r="F82" s="19" t="s">
        <v>280</v>
      </c>
      <c r="G82" s="20">
        <v>3149215</v>
      </c>
    </row>
    <row r="83" spans="2:7" x14ac:dyDescent="0.25">
      <c r="B83" s="54" t="s">
        <v>281</v>
      </c>
      <c r="C83" s="55" t="s">
        <v>249</v>
      </c>
      <c r="D83" s="55">
        <f>[4]Amortizaciones!D25</f>
        <v>0</v>
      </c>
      <c r="E83" s="21" t="s">
        <v>282</v>
      </c>
      <c r="F83" s="19" t="s">
        <v>283</v>
      </c>
      <c r="G83" s="20">
        <v>7328739</v>
      </c>
    </row>
    <row r="84" spans="2:7" x14ac:dyDescent="0.25">
      <c r="B84" s="54" t="s">
        <v>284</v>
      </c>
      <c r="C84" s="55" t="s">
        <v>285</v>
      </c>
      <c r="D84" s="55">
        <v>0</v>
      </c>
      <c r="E84" s="21" t="s">
        <v>286</v>
      </c>
      <c r="F84" s="19" t="s">
        <v>287</v>
      </c>
      <c r="G84" s="20">
        <v>19035408</v>
      </c>
    </row>
    <row r="85" spans="2:7" x14ac:dyDescent="0.25">
      <c r="B85" s="54" t="s">
        <v>288</v>
      </c>
      <c r="C85" s="55" t="s">
        <v>289</v>
      </c>
      <c r="D85" s="55">
        <f>[4]Amortizaciones!D27</f>
        <v>0</v>
      </c>
      <c r="E85" s="21" t="s">
        <v>290</v>
      </c>
      <c r="F85" s="19" t="s">
        <v>291</v>
      </c>
      <c r="G85" s="20">
        <v>4281659</v>
      </c>
    </row>
    <row r="86" spans="2:7" x14ac:dyDescent="0.25">
      <c r="B86" s="54" t="s">
        <v>292</v>
      </c>
      <c r="C86" s="55" t="s">
        <v>293</v>
      </c>
      <c r="D86" s="55">
        <f>[4]Amortizaciones!D28</f>
        <v>0</v>
      </c>
      <c r="E86" s="21" t="s">
        <v>294</v>
      </c>
      <c r="F86" s="19" t="s">
        <v>295</v>
      </c>
      <c r="G86" s="20">
        <v>2660085</v>
      </c>
    </row>
    <row r="87" spans="2:7" x14ac:dyDescent="0.25">
      <c r="B87" s="54" t="s">
        <v>296</v>
      </c>
      <c r="C87" s="55" t="s">
        <v>297</v>
      </c>
      <c r="D87" s="55">
        <f>[4]Amortizaciones!D29</f>
        <v>0</v>
      </c>
      <c r="E87" s="21" t="s">
        <v>298</v>
      </c>
      <c r="F87" s="19" t="s">
        <v>299</v>
      </c>
      <c r="G87" s="20">
        <v>17000593</v>
      </c>
    </row>
    <row r="88" spans="2:7" x14ac:dyDescent="0.25">
      <c r="B88" s="54" t="s">
        <v>300</v>
      </c>
      <c r="C88" s="55" t="s">
        <v>301</v>
      </c>
      <c r="D88" s="55">
        <f>[4]Amortizaciones!D30</f>
        <v>603145</v>
      </c>
      <c r="E88" s="21" t="s">
        <v>302</v>
      </c>
      <c r="F88" s="19" t="s">
        <v>303</v>
      </c>
      <c r="G88" s="20">
        <v>1243849</v>
      </c>
    </row>
    <row r="89" spans="2:7" x14ac:dyDescent="0.25">
      <c r="B89" s="54" t="s">
        <v>304</v>
      </c>
      <c r="C89" s="55" t="s">
        <v>213</v>
      </c>
      <c r="D89" s="55">
        <f>[4]Amortizaciones!D31</f>
        <v>1327028</v>
      </c>
      <c r="E89" s="21" t="s">
        <v>305</v>
      </c>
      <c r="F89" s="19" t="s">
        <v>306</v>
      </c>
      <c r="G89" s="20">
        <v>141199585</v>
      </c>
    </row>
    <row r="90" spans="2:7" x14ac:dyDescent="0.25">
      <c r="B90" s="54" t="s">
        <v>307</v>
      </c>
      <c r="C90" s="55" t="s">
        <v>229</v>
      </c>
      <c r="D90" s="55">
        <f>[4]Amortizaciones!D32</f>
        <v>0</v>
      </c>
      <c r="E90" s="21" t="s">
        <v>308</v>
      </c>
      <c r="F90" s="19" t="s">
        <v>309</v>
      </c>
      <c r="G90" s="20">
        <v>0</v>
      </c>
    </row>
    <row r="91" spans="2:7" x14ac:dyDescent="0.25">
      <c r="B91" s="54" t="s">
        <v>310</v>
      </c>
      <c r="C91" s="55" t="s">
        <v>311</v>
      </c>
      <c r="D91" s="55">
        <f>SUM(D80:D90)</f>
        <v>2815852</v>
      </c>
      <c r="E91" s="52" t="s">
        <v>312</v>
      </c>
      <c r="F91" s="19" t="s">
        <v>313</v>
      </c>
      <c r="G91" s="20">
        <v>0</v>
      </c>
    </row>
    <row r="92" spans="2:7" x14ac:dyDescent="0.25">
      <c r="B92" s="54"/>
      <c r="C92" s="57" t="s">
        <v>314</v>
      </c>
      <c r="D92" s="55">
        <f>D77+D91</f>
        <v>62510218</v>
      </c>
      <c r="E92" s="52" t="s">
        <v>315</v>
      </c>
      <c r="F92" s="19" t="s">
        <v>316</v>
      </c>
      <c r="G92" s="20">
        <v>0</v>
      </c>
    </row>
    <row r="93" spans="2:7" x14ac:dyDescent="0.25">
      <c r="E93" s="52" t="s">
        <v>317</v>
      </c>
      <c r="F93" s="19" t="s">
        <v>318</v>
      </c>
      <c r="G93" s="20">
        <v>6142565</v>
      </c>
    </row>
    <row r="94" spans="2:7" x14ac:dyDescent="0.25">
      <c r="E94" s="52" t="s">
        <v>319</v>
      </c>
      <c r="F94" s="19" t="s">
        <v>320</v>
      </c>
      <c r="G94" s="27">
        <v>7986552.2000000002</v>
      </c>
    </row>
    <row r="95" spans="2:7" ht="13.5" customHeight="1" thickBot="1" x14ac:dyDescent="0.3">
      <c r="E95" s="21"/>
      <c r="F95" s="28" t="s">
        <v>321</v>
      </c>
      <c r="G95" s="29">
        <f>SUM(G80:G94)</f>
        <v>211602377.19999999</v>
      </c>
    </row>
    <row r="96" spans="2:7" x14ac:dyDescent="0.25">
      <c r="E96" s="52" t="s">
        <v>322</v>
      </c>
      <c r="F96" s="22" t="s">
        <v>323</v>
      </c>
      <c r="G96" s="23">
        <v>24526240</v>
      </c>
    </row>
    <row r="97" spans="2:7" x14ac:dyDescent="0.25">
      <c r="E97" s="52" t="s">
        <v>324</v>
      </c>
      <c r="F97" s="19" t="s">
        <v>325</v>
      </c>
      <c r="G97" s="20">
        <v>4324279</v>
      </c>
    </row>
    <row r="98" spans="2:7" x14ac:dyDescent="0.25">
      <c r="E98" s="52" t="s">
        <v>326</v>
      </c>
      <c r="F98" s="19" t="s">
        <v>327</v>
      </c>
      <c r="G98" s="20">
        <v>14013</v>
      </c>
    </row>
    <row r="99" spans="2:7" x14ac:dyDescent="0.25">
      <c r="E99" s="52" t="s">
        <v>328</v>
      </c>
      <c r="F99" s="19" t="s">
        <v>329</v>
      </c>
      <c r="G99" s="20">
        <v>6968154</v>
      </c>
    </row>
    <row r="100" spans="2:7" x14ac:dyDescent="0.25">
      <c r="E100" s="52" t="s">
        <v>330</v>
      </c>
      <c r="F100" s="19" t="s">
        <v>331</v>
      </c>
      <c r="G100" s="27">
        <v>2459337.4</v>
      </c>
    </row>
    <row r="101" spans="2:7" ht="15.75" thickBot="1" x14ac:dyDescent="0.3">
      <c r="E101" s="21"/>
      <c r="F101" s="28" t="s">
        <v>332</v>
      </c>
      <c r="G101" s="29">
        <f>SUM(G96:G100)</f>
        <v>38292023.399999999</v>
      </c>
    </row>
    <row r="102" spans="2:7" ht="15.75" thickBot="1" x14ac:dyDescent="0.3">
      <c r="E102" s="52"/>
      <c r="F102" s="59" t="s">
        <v>333</v>
      </c>
      <c r="G102" s="60">
        <f>[4]Amortizaciones!D19</f>
        <v>59694366</v>
      </c>
    </row>
    <row r="103" spans="2:7" x14ac:dyDescent="0.25">
      <c r="E103" s="52" t="s">
        <v>334</v>
      </c>
      <c r="F103" s="19" t="s">
        <v>335</v>
      </c>
      <c r="G103" s="23"/>
    </row>
    <row r="104" spans="2:7" x14ac:dyDescent="0.25">
      <c r="E104" s="52" t="s">
        <v>336</v>
      </c>
      <c r="F104" s="61" t="s">
        <v>337</v>
      </c>
      <c r="G104" s="20"/>
    </row>
    <row r="105" spans="2:7" ht="15.75" thickBot="1" x14ac:dyDescent="0.3">
      <c r="E105" s="21"/>
      <c r="F105" s="28" t="s">
        <v>338</v>
      </c>
      <c r="G105" s="29">
        <f>SUM(G103:G104)</f>
        <v>0</v>
      </c>
    </row>
    <row r="106" spans="2:7" ht="13.7" customHeight="1" thickBot="1" x14ac:dyDescent="0.3">
      <c r="B106" s="6"/>
      <c r="C106" s="62"/>
      <c r="D106" s="62"/>
      <c r="E106" s="52"/>
      <c r="F106" s="48" t="s">
        <v>339</v>
      </c>
      <c r="G106" s="49">
        <f>G19+G27+G32+G48+G57+G79+G95+G101+G102+G105</f>
        <v>3424787279.5999999</v>
      </c>
    </row>
    <row r="107" spans="2:7" ht="13.7" customHeight="1" x14ac:dyDescent="0.25">
      <c r="B107" s="6"/>
      <c r="C107" s="62"/>
      <c r="D107" s="62"/>
      <c r="E107" s="21"/>
      <c r="F107" s="63"/>
      <c r="G107" s="64"/>
    </row>
    <row r="108" spans="2:7" ht="13.7" customHeight="1" thickBot="1" x14ac:dyDescent="0.3">
      <c r="B108" s="6"/>
      <c r="C108" s="62"/>
      <c r="D108" s="62"/>
      <c r="E108" s="21"/>
    </row>
    <row r="109" spans="2:7" ht="13.7" customHeight="1" thickBot="1" x14ac:dyDescent="0.3">
      <c r="B109" s="6"/>
      <c r="C109" s="62"/>
      <c r="D109" s="62"/>
      <c r="E109" s="21"/>
      <c r="F109" s="13" t="s">
        <v>340</v>
      </c>
      <c r="G109" s="65">
        <f>D61-G106</f>
        <v>412656727.4000001</v>
      </c>
    </row>
    <row r="110" spans="2:7" ht="13.7" customHeight="1" thickBot="1" x14ac:dyDescent="0.3">
      <c r="B110" s="6"/>
      <c r="C110" s="62"/>
      <c r="D110" s="62"/>
      <c r="E110" s="21"/>
    </row>
    <row r="111" spans="2:7" ht="13.7" customHeight="1" thickBot="1" x14ac:dyDescent="0.3">
      <c r="C111" s="48" t="s">
        <v>270</v>
      </c>
      <c r="D111" s="17">
        <f>+[4]E.S.P.!D6</f>
        <v>2020</v>
      </c>
      <c r="E111" s="52"/>
      <c r="F111" s="48" t="s">
        <v>341</v>
      </c>
      <c r="G111" s="17">
        <f>+[4]E.S.P.!D6</f>
        <v>2020</v>
      </c>
    </row>
    <row r="112" spans="2:7" ht="13.7" customHeight="1" x14ac:dyDescent="0.25">
      <c r="B112" s="6" t="s">
        <v>342</v>
      </c>
      <c r="C112" s="66" t="s">
        <v>343</v>
      </c>
      <c r="D112" s="67">
        <v>57211321</v>
      </c>
      <c r="E112" s="21" t="s">
        <v>344</v>
      </c>
      <c r="F112" s="66" t="s">
        <v>309</v>
      </c>
      <c r="G112" s="67">
        <v>779559</v>
      </c>
    </row>
    <row r="113" spans="2:7" ht="13.7" customHeight="1" x14ac:dyDescent="0.25">
      <c r="B113" s="6" t="s">
        <v>345</v>
      </c>
      <c r="C113" s="68" t="s">
        <v>346</v>
      </c>
      <c r="D113" s="69">
        <v>88530285</v>
      </c>
      <c r="E113" s="21" t="s">
        <v>347</v>
      </c>
      <c r="F113" s="68" t="s">
        <v>348</v>
      </c>
      <c r="G113" s="69"/>
    </row>
    <row r="114" spans="2:7" ht="13.7" customHeight="1" x14ac:dyDescent="0.25">
      <c r="B114" s="6" t="s">
        <v>349</v>
      </c>
      <c r="C114" s="68" t="s">
        <v>48</v>
      </c>
      <c r="D114" s="69">
        <v>0</v>
      </c>
      <c r="E114" s="21" t="s">
        <v>350</v>
      </c>
      <c r="F114" s="68" t="s">
        <v>351</v>
      </c>
      <c r="G114" s="69">
        <v>18581585</v>
      </c>
    </row>
    <row r="115" spans="2:7" ht="13.7" customHeight="1" x14ac:dyDescent="0.25">
      <c r="B115" s="6" t="s">
        <v>352</v>
      </c>
      <c r="C115" s="68" t="s">
        <v>353</v>
      </c>
      <c r="D115" s="69">
        <v>3479025</v>
      </c>
      <c r="E115" s="21" t="s">
        <v>354</v>
      </c>
      <c r="F115" s="68" t="s">
        <v>355</v>
      </c>
      <c r="G115" s="69">
        <v>1486054</v>
      </c>
    </row>
    <row r="116" spans="2:7" ht="13.7" customHeight="1" x14ac:dyDescent="0.25">
      <c r="B116" s="6" t="s">
        <v>356</v>
      </c>
      <c r="C116" s="68" t="s">
        <v>357</v>
      </c>
      <c r="D116" s="69">
        <v>4060188</v>
      </c>
      <c r="E116" s="21" t="s">
        <v>358</v>
      </c>
      <c r="F116" s="68" t="s">
        <v>359</v>
      </c>
      <c r="G116" s="69"/>
    </row>
    <row r="117" spans="2:7" ht="13.7" customHeight="1" x14ac:dyDescent="0.25">
      <c r="B117" s="6" t="s">
        <v>360</v>
      </c>
      <c r="C117" s="68" t="s">
        <v>361</v>
      </c>
      <c r="D117" s="69">
        <v>0</v>
      </c>
      <c r="E117" s="21" t="s">
        <v>362</v>
      </c>
      <c r="F117" s="68" t="s">
        <v>363</v>
      </c>
      <c r="G117" s="69"/>
    </row>
    <row r="118" spans="2:7" ht="13.7" customHeight="1" x14ac:dyDescent="0.25">
      <c r="B118" s="6" t="s">
        <v>364</v>
      </c>
      <c r="C118" s="68" t="s">
        <v>365</v>
      </c>
      <c r="D118" s="69">
        <v>0</v>
      </c>
      <c r="E118" s="21" t="s">
        <v>366</v>
      </c>
      <c r="F118" s="68" t="s">
        <v>367</v>
      </c>
      <c r="G118" s="69">
        <v>286439</v>
      </c>
    </row>
    <row r="119" spans="2:7" ht="13.7" customHeight="1" x14ac:dyDescent="0.25">
      <c r="B119" s="6" t="s">
        <v>368</v>
      </c>
      <c r="C119" s="68" t="s">
        <v>369</v>
      </c>
      <c r="D119" s="69">
        <v>0</v>
      </c>
      <c r="E119" s="21" t="s">
        <v>370</v>
      </c>
      <c r="F119" s="68" t="s">
        <v>371</v>
      </c>
      <c r="G119" s="69">
        <v>13520</v>
      </c>
    </row>
    <row r="120" spans="2:7" ht="13.7" customHeight="1" x14ac:dyDescent="0.25">
      <c r="B120" s="6" t="s">
        <v>372</v>
      </c>
      <c r="C120" s="68" t="s">
        <v>373</v>
      </c>
      <c r="D120" s="69">
        <v>0</v>
      </c>
      <c r="E120" s="21" t="s">
        <v>374</v>
      </c>
      <c r="F120" s="68" t="s">
        <v>375</v>
      </c>
      <c r="G120" s="69"/>
    </row>
    <row r="121" spans="2:7" ht="13.7" customHeight="1" x14ac:dyDescent="0.25">
      <c r="B121" s="6" t="s">
        <v>376</v>
      </c>
      <c r="C121" s="19" t="s">
        <v>377</v>
      </c>
      <c r="D121" s="69">
        <v>6670482</v>
      </c>
      <c r="E121" s="21" t="s">
        <v>378</v>
      </c>
      <c r="F121" s="68" t="s">
        <v>379</v>
      </c>
      <c r="G121" s="69">
        <v>3571759</v>
      </c>
    </row>
    <row r="122" spans="2:7" ht="13.7" customHeight="1" thickBot="1" x14ac:dyDescent="0.3">
      <c r="B122" s="6"/>
      <c r="C122" s="28" t="s">
        <v>380</v>
      </c>
      <c r="D122" s="37">
        <f>SUM(D112:D121)</f>
        <v>159951301</v>
      </c>
      <c r="E122" s="21" t="s">
        <v>381</v>
      </c>
      <c r="F122" s="19" t="s">
        <v>382</v>
      </c>
      <c r="G122" s="20">
        <v>1265017</v>
      </c>
    </row>
    <row r="123" spans="2:7" ht="13.7" customHeight="1" thickBot="1" x14ac:dyDescent="0.3">
      <c r="B123" s="6" t="s">
        <v>383</v>
      </c>
      <c r="C123" s="70" t="s">
        <v>309</v>
      </c>
      <c r="D123" s="67">
        <v>11971047</v>
      </c>
      <c r="E123" s="52"/>
      <c r="F123" s="28" t="s">
        <v>384</v>
      </c>
      <c r="G123" s="37">
        <f>SUM(G112:G122)</f>
        <v>25983933</v>
      </c>
    </row>
    <row r="124" spans="2:7" ht="13.7" customHeight="1" x14ac:dyDescent="0.25">
      <c r="B124" s="6" t="s">
        <v>385</v>
      </c>
      <c r="C124" s="68" t="s">
        <v>313</v>
      </c>
      <c r="D124" s="69">
        <v>6760839</v>
      </c>
      <c r="E124" s="21" t="s">
        <v>386</v>
      </c>
      <c r="F124" s="68" t="s">
        <v>387</v>
      </c>
      <c r="G124" s="69">
        <v>0</v>
      </c>
    </row>
    <row r="125" spans="2:7" ht="13.7" customHeight="1" x14ac:dyDescent="0.25">
      <c r="B125" s="6" t="s">
        <v>388</v>
      </c>
      <c r="C125" s="19" t="s">
        <v>389</v>
      </c>
      <c r="D125" s="69">
        <v>877200</v>
      </c>
      <c r="E125" s="21" t="s">
        <v>390</v>
      </c>
      <c r="F125" s="68" t="s">
        <v>391</v>
      </c>
      <c r="G125" s="69">
        <v>824958</v>
      </c>
    </row>
    <row r="126" spans="2:7" ht="13.7" customHeight="1" thickBot="1" x14ac:dyDescent="0.3">
      <c r="B126" s="6"/>
      <c r="C126" s="28" t="s">
        <v>392</v>
      </c>
      <c r="D126" s="37">
        <f>SUM(D123:D125)</f>
        <v>19609086</v>
      </c>
      <c r="E126" s="21" t="s">
        <v>393</v>
      </c>
      <c r="F126" s="68" t="s">
        <v>394</v>
      </c>
      <c r="G126" s="69">
        <v>7848089</v>
      </c>
    </row>
    <row r="127" spans="2:7" ht="13.7" customHeight="1" x14ac:dyDescent="0.25">
      <c r="B127" s="6" t="s">
        <v>395</v>
      </c>
      <c r="C127" s="66" t="s">
        <v>274</v>
      </c>
      <c r="D127" s="67">
        <v>18365481</v>
      </c>
      <c r="E127" s="21" t="s">
        <v>396</v>
      </c>
      <c r="F127" s="68" t="s">
        <v>397</v>
      </c>
      <c r="G127" s="69">
        <v>0</v>
      </c>
    </row>
    <row r="128" spans="2:7" ht="13.7" customHeight="1" x14ac:dyDescent="0.25">
      <c r="B128" s="6" t="s">
        <v>398</v>
      </c>
      <c r="C128" s="68" t="s">
        <v>399</v>
      </c>
      <c r="D128" s="69">
        <v>1350965</v>
      </c>
      <c r="E128" s="21" t="s">
        <v>400</v>
      </c>
      <c r="F128" s="68" t="s">
        <v>401</v>
      </c>
      <c r="G128" s="69">
        <v>752512</v>
      </c>
    </row>
    <row r="129" spans="2:7" ht="13.7" customHeight="1" x14ac:dyDescent="0.25">
      <c r="B129" s="6" t="s">
        <v>402</v>
      </c>
      <c r="C129" s="68" t="s">
        <v>277</v>
      </c>
      <c r="D129" s="69">
        <v>6750</v>
      </c>
      <c r="E129" s="21" t="s">
        <v>403</v>
      </c>
      <c r="F129" s="68" t="s">
        <v>404</v>
      </c>
      <c r="G129" s="69">
        <v>24818453</v>
      </c>
    </row>
    <row r="130" spans="2:7" ht="13.7" customHeight="1" x14ac:dyDescent="0.25">
      <c r="B130" s="6" t="s">
        <v>405</v>
      </c>
      <c r="C130" s="68" t="s">
        <v>283</v>
      </c>
      <c r="D130" s="69">
        <v>678368</v>
      </c>
      <c r="E130" s="21" t="s">
        <v>406</v>
      </c>
      <c r="F130" s="68" t="s">
        <v>407</v>
      </c>
      <c r="G130" s="69">
        <v>0</v>
      </c>
    </row>
    <row r="131" spans="2:7" ht="13.7" customHeight="1" x14ac:dyDescent="0.25">
      <c r="B131" s="6" t="s">
        <v>408</v>
      </c>
      <c r="C131" s="68" t="s">
        <v>287</v>
      </c>
      <c r="D131" s="69">
        <v>2623155</v>
      </c>
      <c r="E131" s="21" t="s">
        <v>409</v>
      </c>
      <c r="F131" s="68" t="s">
        <v>410</v>
      </c>
      <c r="G131" s="69">
        <v>0</v>
      </c>
    </row>
    <row r="132" spans="2:7" ht="13.7" customHeight="1" x14ac:dyDescent="0.25">
      <c r="B132" s="6" t="s">
        <v>411</v>
      </c>
      <c r="C132" s="68" t="s">
        <v>291</v>
      </c>
      <c r="D132" s="69">
        <v>2096128</v>
      </c>
      <c r="E132" s="21" t="s">
        <v>412</v>
      </c>
      <c r="F132" s="68" t="s">
        <v>413</v>
      </c>
      <c r="G132" s="69">
        <v>10551291</v>
      </c>
    </row>
    <row r="133" spans="2:7" ht="13.7" customHeight="1" x14ac:dyDescent="0.25">
      <c r="B133" s="6" t="s">
        <v>414</v>
      </c>
      <c r="C133" s="68" t="s">
        <v>295</v>
      </c>
      <c r="D133" s="69">
        <v>0</v>
      </c>
      <c r="E133" s="21" t="s">
        <v>415</v>
      </c>
      <c r="F133" s="68" t="s">
        <v>416</v>
      </c>
      <c r="G133" s="69">
        <v>2664142</v>
      </c>
    </row>
    <row r="134" spans="2:7" ht="13.7" customHeight="1" x14ac:dyDescent="0.25">
      <c r="B134" s="6" t="s">
        <v>417</v>
      </c>
      <c r="C134" s="68" t="s">
        <v>418</v>
      </c>
      <c r="D134" s="69">
        <v>20259763</v>
      </c>
      <c r="E134" s="21" t="s">
        <v>419</v>
      </c>
      <c r="F134" s="68" t="s">
        <v>420</v>
      </c>
      <c r="G134" s="69">
        <v>26046568</v>
      </c>
    </row>
    <row r="135" spans="2:7" ht="13.7" customHeight="1" x14ac:dyDescent="0.25">
      <c r="B135" s="6" t="s">
        <v>421</v>
      </c>
      <c r="C135" s="68" t="s">
        <v>422</v>
      </c>
      <c r="D135" s="69">
        <v>27705082</v>
      </c>
      <c r="E135" s="21" t="s">
        <v>423</v>
      </c>
      <c r="F135" s="68" t="s">
        <v>424</v>
      </c>
      <c r="G135" s="69">
        <v>0</v>
      </c>
    </row>
    <row r="136" spans="2:7" ht="13.7" customHeight="1" x14ac:dyDescent="0.25">
      <c r="B136" s="6" t="s">
        <v>425</v>
      </c>
      <c r="C136" s="68" t="s">
        <v>318</v>
      </c>
      <c r="D136" s="69">
        <v>13773372</v>
      </c>
      <c r="E136" s="21" t="s">
        <v>426</v>
      </c>
      <c r="F136" s="68" t="s">
        <v>427</v>
      </c>
      <c r="G136" s="69">
        <v>1452280</v>
      </c>
    </row>
    <row r="137" spans="2:7" ht="13.7" customHeight="1" x14ac:dyDescent="0.25">
      <c r="B137" s="6" t="s">
        <v>428</v>
      </c>
      <c r="C137" s="19" t="s">
        <v>320</v>
      </c>
      <c r="D137" s="71">
        <v>3661685</v>
      </c>
      <c r="E137" s="21" t="s">
        <v>429</v>
      </c>
      <c r="F137" s="68" t="s">
        <v>430</v>
      </c>
      <c r="G137" s="69">
        <v>15633006</v>
      </c>
    </row>
    <row r="138" spans="2:7" ht="13.7" customHeight="1" thickBot="1" x14ac:dyDescent="0.3">
      <c r="B138" s="6"/>
      <c r="C138" s="28" t="s">
        <v>321</v>
      </c>
      <c r="D138" s="37">
        <f>SUM(D127:D137)</f>
        <v>90520749</v>
      </c>
      <c r="E138" s="21" t="s">
        <v>431</v>
      </c>
      <c r="F138" s="19" t="s">
        <v>432</v>
      </c>
      <c r="G138" s="20">
        <v>3212143</v>
      </c>
    </row>
    <row r="139" spans="2:7" ht="13.7" customHeight="1" thickBot="1" x14ac:dyDescent="0.3">
      <c r="B139" s="6" t="s">
        <v>433</v>
      </c>
      <c r="C139" s="66" t="s">
        <v>327</v>
      </c>
      <c r="D139" s="67">
        <v>0</v>
      </c>
      <c r="E139" s="7"/>
      <c r="F139" s="28" t="s">
        <v>434</v>
      </c>
      <c r="G139" s="37">
        <f>SUM(G124:G138)</f>
        <v>93803442</v>
      </c>
    </row>
    <row r="140" spans="2:7" ht="13.7" customHeight="1" thickBot="1" x14ac:dyDescent="0.3">
      <c r="B140" s="6" t="s">
        <v>435</v>
      </c>
      <c r="C140" s="68" t="s">
        <v>329</v>
      </c>
      <c r="D140" s="69">
        <v>5049326</v>
      </c>
      <c r="E140" s="7"/>
      <c r="F140" s="48" t="s">
        <v>436</v>
      </c>
      <c r="G140" s="72">
        <f>G123-G139</f>
        <v>-67819509</v>
      </c>
    </row>
    <row r="141" spans="2:7" ht="13.7" customHeight="1" x14ac:dyDescent="0.25">
      <c r="B141" s="6" t="s">
        <v>437</v>
      </c>
      <c r="C141" s="19" t="s">
        <v>331</v>
      </c>
      <c r="D141" s="71">
        <v>186145.3</v>
      </c>
      <c r="E141" s="73"/>
    </row>
    <row r="142" spans="2:7" ht="13.7" customHeight="1" thickBot="1" x14ac:dyDescent="0.3">
      <c r="B142" s="6"/>
      <c r="C142" s="28" t="s">
        <v>332</v>
      </c>
      <c r="D142" s="37">
        <f>SUM(D139:D141)</f>
        <v>5235471.3</v>
      </c>
      <c r="E142" s="73"/>
    </row>
    <row r="143" spans="2:7" ht="13.7" customHeight="1" thickBot="1" x14ac:dyDescent="0.3">
      <c r="B143" s="6"/>
      <c r="C143" s="59" t="s">
        <v>438</v>
      </c>
      <c r="D143" s="74">
        <f>[4]Amortizaciones!D33</f>
        <v>2815852</v>
      </c>
      <c r="E143" s="21"/>
      <c r="F143" s="48" t="s">
        <v>439</v>
      </c>
      <c r="G143" s="17">
        <f>+[4]E.S.P.!D6</f>
        <v>2020</v>
      </c>
    </row>
    <row r="144" spans="2:7" ht="13.7" customHeight="1" x14ac:dyDescent="0.25">
      <c r="B144" s="6" t="s">
        <v>440</v>
      </c>
      <c r="C144" s="66" t="s">
        <v>441</v>
      </c>
      <c r="D144" s="67">
        <v>8263740</v>
      </c>
      <c r="E144" s="21" t="s">
        <v>442</v>
      </c>
      <c r="F144" s="66" t="s">
        <v>443</v>
      </c>
      <c r="G144" s="67">
        <v>1283939</v>
      </c>
    </row>
    <row r="145" spans="2:7" ht="13.7" customHeight="1" x14ac:dyDescent="0.25">
      <c r="B145" s="6" t="s">
        <v>444</v>
      </c>
      <c r="C145" s="68" t="s">
        <v>445</v>
      </c>
      <c r="D145" s="69"/>
      <c r="E145" s="21" t="s">
        <v>446</v>
      </c>
      <c r="F145" s="68" t="s">
        <v>447</v>
      </c>
      <c r="G145" s="69">
        <v>3480120</v>
      </c>
    </row>
    <row r="146" spans="2:7" ht="13.7" customHeight="1" x14ac:dyDescent="0.25">
      <c r="B146" s="6" t="s">
        <v>448</v>
      </c>
      <c r="C146" s="75" t="s">
        <v>449</v>
      </c>
      <c r="D146" s="69"/>
      <c r="E146" s="21" t="s">
        <v>450</v>
      </c>
      <c r="F146" s="68" t="s">
        <v>451</v>
      </c>
      <c r="G146" s="69">
        <v>2722395</v>
      </c>
    </row>
    <row r="147" spans="2:7" ht="13.7" customHeight="1" x14ac:dyDescent="0.25">
      <c r="B147" s="6" t="s">
        <v>452</v>
      </c>
      <c r="C147" s="19" t="s">
        <v>453</v>
      </c>
      <c r="D147" s="71">
        <v>346874.4</v>
      </c>
      <c r="E147" s="21" t="s">
        <v>454</v>
      </c>
      <c r="F147" s="68" t="s">
        <v>455</v>
      </c>
      <c r="G147" s="69"/>
    </row>
    <row r="148" spans="2:7" ht="13.7" customHeight="1" thickBot="1" x14ac:dyDescent="0.3">
      <c r="B148" s="6"/>
      <c r="C148" s="28" t="s">
        <v>456</v>
      </c>
      <c r="D148" s="37">
        <f>SUM(D144:D147)</f>
        <v>8610614.4000000004</v>
      </c>
      <c r="E148" s="21" t="s">
        <v>457</v>
      </c>
      <c r="F148" s="68" t="s">
        <v>458</v>
      </c>
      <c r="G148" s="69"/>
    </row>
    <row r="149" spans="2:7" ht="13.7" customHeight="1" x14ac:dyDescent="0.25">
      <c r="B149" s="6" t="s">
        <v>459</v>
      </c>
      <c r="C149" s="66" t="s">
        <v>460</v>
      </c>
      <c r="D149" s="67"/>
      <c r="E149" s="21" t="s">
        <v>461</v>
      </c>
      <c r="F149" s="68" t="s">
        <v>462</v>
      </c>
      <c r="G149" s="69"/>
    </row>
    <row r="150" spans="2:7" ht="13.7" customHeight="1" x14ac:dyDescent="0.25">
      <c r="B150" s="6" t="s">
        <v>463</v>
      </c>
      <c r="C150" s="68" t="s">
        <v>464</v>
      </c>
      <c r="D150" s="69"/>
      <c r="E150" s="21" t="s">
        <v>465</v>
      </c>
      <c r="F150" s="68" t="s">
        <v>466</v>
      </c>
      <c r="G150" s="69"/>
    </row>
    <row r="151" spans="2:7" ht="13.7" customHeight="1" x14ac:dyDescent="0.25">
      <c r="B151" s="6" t="s">
        <v>467</v>
      </c>
      <c r="C151" s="19" t="s">
        <v>468</v>
      </c>
      <c r="D151" s="71"/>
      <c r="E151" s="21" t="s">
        <v>469</v>
      </c>
      <c r="F151" s="68" t="s">
        <v>470</v>
      </c>
      <c r="G151" s="69">
        <f>72990401-9609</f>
        <v>72980792</v>
      </c>
    </row>
    <row r="152" spans="2:7" ht="13.7" customHeight="1" thickBot="1" x14ac:dyDescent="0.3">
      <c r="B152" s="6"/>
      <c r="C152" s="28" t="s">
        <v>471</v>
      </c>
      <c r="D152" s="37">
        <f>SUM(D149:D151)</f>
        <v>0</v>
      </c>
      <c r="E152" s="21" t="s">
        <v>472</v>
      </c>
      <c r="F152" s="68" t="s">
        <v>473</v>
      </c>
      <c r="G152" s="69"/>
    </row>
    <row r="153" spans="2:7" ht="13.7" customHeight="1" thickBot="1" x14ac:dyDescent="0.3">
      <c r="B153" s="6"/>
      <c r="C153" s="48" t="s">
        <v>474</v>
      </c>
      <c r="D153" s="76">
        <f>D122+D126+D138+D142+D143+D148+D152</f>
        <v>286743073.69999999</v>
      </c>
      <c r="E153" s="21" t="s">
        <v>475</v>
      </c>
      <c r="F153" s="19" t="s">
        <v>476</v>
      </c>
      <c r="G153" s="20">
        <v>385987</v>
      </c>
    </row>
    <row r="154" spans="2:7" ht="13.7" customHeight="1" thickBot="1" x14ac:dyDescent="0.3">
      <c r="B154" s="6"/>
      <c r="E154" s="21"/>
      <c r="F154" s="28" t="s">
        <v>477</v>
      </c>
      <c r="G154" s="37">
        <f>SUM(G144:G153)</f>
        <v>80853233</v>
      </c>
    </row>
    <row r="155" spans="2:7" ht="13.7" customHeight="1" thickBot="1" x14ac:dyDescent="0.3">
      <c r="B155" s="6"/>
      <c r="C155" s="77" t="s">
        <v>478</v>
      </c>
      <c r="D155" s="65">
        <f>G109-D153</f>
        <v>125913653.70000011</v>
      </c>
      <c r="E155" s="21" t="s">
        <v>479</v>
      </c>
      <c r="F155" s="66" t="s">
        <v>480</v>
      </c>
      <c r="G155" s="67">
        <v>27536867</v>
      </c>
    </row>
    <row r="156" spans="2:7" ht="13.7" customHeight="1" x14ac:dyDescent="0.25">
      <c r="E156" s="21" t="s">
        <v>481</v>
      </c>
      <c r="F156" s="68" t="s">
        <v>482</v>
      </c>
      <c r="G156" s="69">
        <v>32458992</v>
      </c>
    </row>
    <row r="157" spans="2:7" ht="13.7" customHeight="1" x14ac:dyDescent="0.25">
      <c r="E157" s="21" t="s">
        <v>483</v>
      </c>
      <c r="F157" s="68" t="s">
        <v>484</v>
      </c>
      <c r="G157" s="69">
        <v>274340</v>
      </c>
    </row>
    <row r="158" spans="2:7" ht="13.7" customHeight="1" x14ac:dyDescent="0.25">
      <c r="E158" s="21" t="s">
        <v>485</v>
      </c>
      <c r="F158" s="68" t="s">
        <v>486</v>
      </c>
      <c r="G158" s="69">
        <v>0</v>
      </c>
    </row>
    <row r="159" spans="2:7" ht="13.7" customHeight="1" x14ac:dyDescent="0.25">
      <c r="E159" s="21" t="s">
        <v>487</v>
      </c>
      <c r="F159" s="68" t="s">
        <v>488</v>
      </c>
      <c r="G159" s="69">
        <v>0</v>
      </c>
    </row>
    <row r="160" spans="2:7" ht="13.7" customHeight="1" x14ac:dyDescent="0.25">
      <c r="E160" s="21" t="s">
        <v>489</v>
      </c>
      <c r="F160" s="68" t="s">
        <v>490</v>
      </c>
      <c r="G160" s="69">
        <v>261356</v>
      </c>
    </row>
    <row r="161" spans="5:7" ht="13.7" customHeight="1" x14ac:dyDescent="0.25">
      <c r="E161" s="21" t="s">
        <v>491</v>
      </c>
      <c r="F161" s="68" t="s">
        <v>492</v>
      </c>
      <c r="G161" s="69"/>
    </row>
    <row r="162" spans="5:7" ht="13.7" customHeight="1" x14ac:dyDescent="0.25">
      <c r="E162" s="21" t="s">
        <v>493</v>
      </c>
      <c r="F162" s="68" t="s">
        <v>494</v>
      </c>
      <c r="G162" s="69"/>
    </row>
    <row r="163" spans="5:7" ht="13.7" customHeight="1" x14ac:dyDescent="0.25">
      <c r="E163" s="21" t="s">
        <v>495</v>
      </c>
      <c r="F163" s="68" t="s">
        <v>496</v>
      </c>
      <c r="G163" s="69"/>
    </row>
    <row r="164" spans="5:7" ht="13.7" customHeight="1" x14ac:dyDescent="0.25">
      <c r="E164" s="21" t="s">
        <v>497</v>
      </c>
      <c r="F164" s="68" t="s">
        <v>498</v>
      </c>
      <c r="G164" s="69"/>
    </row>
    <row r="165" spans="5:7" ht="13.7" customHeight="1" x14ac:dyDescent="0.25">
      <c r="E165" s="21" t="s">
        <v>499</v>
      </c>
      <c r="F165" s="68" t="s">
        <v>500</v>
      </c>
      <c r="G165" s="69"/>
    </row>
    <row r="166" spans="5:7" ht="13.7" customHeight="1" x14ac:dyDescent="0.25">
      <c r="E166" s="21" t="s">
        <v>501</v>
      </c>
      <c r="F166" s="68" t="s">
        <v>502</v>
      </c>
      <c r="G166" s="69">
        <v>5719831</v>
      </c>
    </row>
    <row r="167" spans="5:7" ht="13.7" customHeight="1" x14ac:dyDescent="0.25">
      <c r="E167" s="21" t="s">
        <v>503</v>
      </c>
      <c r="F167" s="19" t="s">
        <v>504</v>
      </c>
      <c r="G167" s="20">
        <v>2391404.4</v>
      </c>
    </row>
    <row r="168" spans="5:7" ht="13.7" customHeight="1" thickBot="1" x14ac:dyDescent="0.3">
      <c r="E168" s="21"/>
      <c r="F168" s="28" t="s">
        <v>505</v>
      </c>
      <c r="G168" s="37">
        <f>SUM(G155:G167)</f>
        <v>68642790.400000006</v>
      </c>
    </row>
    <row r="169" spans="5:7" ht="13.7" customHeight="1" thickBot="1" x14ac:dyDescent="0.3">
      <c r="E169" s="21"/>
      <c r="F169" s="48" t="s">
        <v>506</v>
      </c>
      <c r="G169" s="72">
        <f>G154-G168</f>
        <v>12210442.599999994</v>
      </c>
    </row>
    <row r="170" spans="5:7" ht="13.7" customHeight="1" thickBot="1" x14ac:dyDescent="0.3">
      <c r="E170" s="21"/>
      <c r="F170" s="78"/>
      <c r="G170" s="78"/>
    </row>
    <row r="171" spans="5:7" ht="13.7" customHeight="1" thickBot="1" x14ac:dyDescent="0.3">
      <c r="E171" s="21"/>
      <c r="F171" s="77" t="s">
        <v>507</v>
      </c>
      <c r="G171" s="79"/>
    </row>
    <row r="172" spans="5:7" ht="13.7" customHeight="1" thickBot="1" x14ac:dyDescent="0.3">
      <c r="E172" s="21"/>
      <c r="F172" s="80"/>
      <c r="G172" s="81">
        <f>+D155+G140+G169</f>
        <v>70304587.300000101</v>
      </c>
    </row>
    <row r="173" spans="5:7" ht="13.7" customHeight="1" thickBot="1" x14ac:dyDescent="0.3">
      <c r="E173" s="21"/>
      <c r="F173" s="5"/>
      <c r="G173" s="5"/>
    </row>
    <row r="174" spans="5:7" ht="13.7" customHeight="1" thickBot="1" x14ac:dyDescent="0.3">
      <c r="E174" s="21"/>
      <c r="F174" s="48" t="s">
        <v>508</v>
      </c>
      <c r="G174" s="17">
        <f>+G143</f>
        <v>2020</v>
      </c>
    </row>
    <row r="175" spans="5:7" ht="13.7" customHeight="1" x14ac:dyDescent="0.25">
      <c r="E175" s="21"/>
      <c r="F175" s="66" t="s">
        <v>509</v>
      </c>
      <c r="G175" s="67"/>
    </row>
    <row r="176" spans="5:7" ht="13.7" customHeight="1" x14ac:dyDescent="0.25">
      <c r="E176" s="21"/>
      <c r="F176" s="68" t="s">
        <v>510</v>
      </c>
      <c r="G176" s="69"/>
    </row>
    <row r="177" spans="1:8" ht="13.7" customHeight="1" thickBot="1" x14ac:dyDescent="0.3">
      <c r="F177" s="68" t="s">
        <v>511</v>
      </c>
      <c r="G177" s="69"/>
    </row>
    <row r="178" spans="1:8" ht="13.7" customHeight="1" thickBot="1" x14ac:dyDescent="0.3">
      <c r="F178" s="48" t="s">
        <v>512</v>
      </c>
      <c r="G178" s="72">
        <f>SUM(G175:G177)</f>
        <v>0</v>
      </c>
    </row>
    <row r="179" spans="1:8" ht="13.7" customHeight="1" thickBot="1" x14ac:dyDescent="0.3"/>
    <row r="180" spans="1:8" ht="13.7" customHeight="1" thickBot="1" x14ac:dyDescent="0.3">
      <c r="F180" s="77" t="s">
        <v>513</v>
      </c>
      <c r="G180" s="79"/>
    </row>
    <row r="181" spans="1:8" ht="13.7" customHeight="1" thickBot="1" x14ac:dyDescent="0.3">
      <c r="F181" s="83"/>
      <c r="G181" s="81">
        <f>+G172+G178</f>
        <v>70304587.300000101</v>
      </c>
    </row>
    <row r="182" spans="1:8" ht="13.7" customHeight="1" x14ac:dyDescent="0.25"/>
    <row r="183" spans="1:8" ht="13.5" customHeight="1" x14ac:dyDescent="0.25"/>
    <row r="184" spans="1:8" ht="13.7" customHeight="1" x14ac:dyDescent="0.25">
      <c r="E184" s="84"/>
      <c r="F184" s="84"/>
      <c r="G184" s="84"/>
      <c r="H184" s="84"/>
    </row>
    <row r="185" spans="1:8" s="84" customFormat="1" ht="13.7" customHeight="1" x14ac:dyDescent="0.25">
      <c r="A185" s="85"/>
      <c r="E185" s="82"/>
      <c r="F185" s="86"/>
      <c r="G185" s="86"/>
    </row>
    <row r="186" spans="1:8" s="84" customFormat="1" ht="12.75" x14ac:dyDescent="0.25">
      <c r="A186" s="85"/>
      <c r="E186" s="82"/>
      <c r="F186" s="86"/>
      <c r="G186" s="86"/>
    </row>
    <row r="187" spans="1:8" s="84" customFormat="1" ht="12.75" hidden="1" x14ac:dyDescent="0.25">
      <c r="A187" s="85"/>
      <c r="E187" s="82"/>
      <c r="F187" s="86"/>
      <c r="G187" s="86"/>
    </row>
    <row r="188" spans="1:8" s="84" customFormat="1" ht="12.75" hidden="1" x14ac:dyDescent="0.25">
      <c r="A188" s="85"/>
      <c r="E188" s="82"/>
      <c r="F188" s="86"/>
      <c r="G188" s="86"/>
    </row>
    <row r="189" spans="1:8" s="84" customFormat="1" ht="12.75" hidden="1" x14ac:dyDescent="0.25">
      <c r="A189" s="85"/>
      <c r="E189" s="82"/>
      <c r="F189" s="86"/>
      <c r="G189" s="86"/>
    </row>
    <row r="190" spans="1:8" s="84" customFormat="1" ht="12.75" hidden="1" x14ac:dyDescent="0.25">
      <c r="A190" s="85"/>
      <c r="E190" s="82"/>
      <c r="F190" s="86"/>
      <c r="G190" s="86"/>
    </row>
    <row r="191" spans="1:8" s="84" customFormat="1" ht="12.75" hidden="1" x14ac:dyDescent="0.25">
      <c r="A191" s="85"/>
      <c r="E191" s="82"/>
      <c r="F191" s="86"/>
      <c r="G191" s="86"/>
    </row>
    <row r="192" spans="1:8" s="84" customFormat="1" ht="12.75" hidden="1" x14ac:dyDescent="0.25">
      <c r="A192" s="85"/>
      <c r="E192" s="82"/>
      <c r="F192" s="86"/>
      <c r="G192" s="86"/>
    </row>
    <row r="193" spans="5:7" s="84" customFormat="1" ht="12.75" hidden="1" x14ac:dyDescent="0.25">
      <c r="E193" s="82"/>
      <c r="F193" s="86"/>
      <c r="G193" s="86"/>
    </row>
    <row r="194" spans="5:7" s="84" customFormat="1" ht="12.75" hidden="1" x14ac:dyDescent="0.25">
      <c r="E194" s="82"/>
      <c r="F194" s="86"/>
      <c r="G194" s="86"/>
    </row>
    <row r="195" spans="5:7" s="84" customFormat="1" ht="12.75" hidden="1" x14ac:dyDescent="0.25">
      <c r="E195" s="82"/>
      <c r="F195" s="86"/>
      <c r="G195" s="86"/>
    </row>
    <row r="196" spans="5:7" s="84" customFormat="1" ht="12.75" hidden="1" x14ac:dyDescent="0.25">
      <c r="E196" s="82"/>
      <c r="F196" s="86"/>
      <c r="G196" s="86"/>
    </row>
    <row r="197" spans="5:7" s="84" customFormat="1" ht="12.75" hidden="1" x14ac:dyDescent="0.25">
      <c r="E197" s="82"/>
      <c r="F197" s="86"/>
      <c r="G197" s="86"/>
    </row>
    <row r="198" spans="5:7" s="84" customFormat="1" ht="12.75" hidden="1" x14ac:dyDescent="0.25">
      <c r="E198" s="82"/>
      <c r="F198" s="86"/>
      <c r="G198" s="86"/>
    </row>
    <row r="199" spans="5:7" s="84" customFormat="1" ht="12.75" hidden="1" x14ac:dyDescent="0.25">
      <c r="E199" s="82"/>
      <c r="F199" s="86"/>
      <c r="G199" s="86"/>
    </row>
    <row r="200" spans="5:7" s="84" customFormat="1" ht="12.75" hidden="1" x14ac:dyDescent="0.25">
      <c r="E200" s="82"/>
      <c r="F200" s="86"/>
      <c r="G200" s="86"/>
    </row>
    <row r="201" spans="5:7" s="84" customFormat="1" ht="12.75" hidden="1" x14ac:dyDescent="0.25">
      <c r="E201" s="82"/>
      <c r="F201" s="86"/>
      <c r="G201" s="86"/>
    </row>
    <row r="202" spans="5:7" s="84" customFormat="1" ht="12.75" hidden="1" x14ac:dyDescent="0.25">
      <c r="E202" s="82"/>
      <c r="F202" s="86"/>
      <c r="G202" s="86"/>
    </row>
    <row r="203" spans="5:7" s="84" customFormat="1" ht="12.75" hidden="1" x14ac:dyDescent="0.25">
      <c r="E203" s="82"/>
      <c r="F203" s="86"/>
      <c r="G203" s="86"/>
    </row>
    <row r="204" spans="5:7" s="84" customFormat="1" ht="12.75" hidden="1" x14ac:dyDescent="0.25">
      <c r="E204" s="82"/>
      <c r="F204" s="86"/>
      <c r="G204" s="86"/>
    </row>
    <row r="205" spans="5:7" s="84" customFormat="1" ht="12.75" hidden="1" x14ac:dyDescent="0.25">
      <c r="E205" s="82"/>
      <c r="F205" s="86"/>
      <c r="G205" s="86"/>
    </row>
    <row r="206" spans="5:7" s="84" customFormat="1" ht="12.75" hidden="1" x14ac:dyDescent="0.25">
      <c r="E206" s="82"/>
      <c r="F206" s="86"/>
      <c r="G206" s="86"/>
    </row>
    <row r="207" spans="5:7" s="84" customFormat="1" ht="12.75" hidden="1" x14ac:dyDescent="0.25">
      <c r="E207" s="82"/>
      <c r="F207" s="86"/>
      <c r="G207" s="86"/>
    </row>
    <row r="208" spans="5:7" s="84" customFormat="1" ht="12.75" hidden="1" x14ac:dyDescent="0.25">
      <c r="E208" s="82"/>
      <c r="F208" s="86"/>
      <c r="G208" s="86"/>
    </row>
    <row r="209" spans="3:8" s="84" customFormat="1" ht="12.75" hidden="1" x14ac:dyDescent="0.25">
      <c r="E209" s="82"/>
      <c r="F209" s="86"/>
      <c r="G209" s="86"/>
    </row>
    <row r="210" spans="3:8" s="84" customFormat="1" ht="12.75" hidden="1" x14ac:dyDescent="0.25">
      <c r="E210" s="82"/>
      <c r="F210" s="86"/>
      <c r="G210" s="86"/>
    </row>
    <row r="211" spans="3:8" s="84" customFormat="1" ht="12.75" hidden="1" x14ac:dyDescent="0.25">
      <c r="E211" s="82"/>
      <c r="F211" s="86"/>
      <c r="G211" s="86"/>
    </row>
    <row r="212" spans="3:8" s="84" customFormat="1" ht="12.75" hidden="1" x14ac:dyDescent="0.25">
      <c r="E212" s="82"/>
      <c r="F212" s="86"/>
      <c r="G212" s="86"/>
    </row>
    <row r="213" spans="3:8" s="84" customFormat="1" ht="12.75" hidden="1" x14ac:dyDescent="0.25">
      <c r="E213" s="82"/>
      <c r="F213" s="86"/>
      <c r="G213" s="86"/>
    </row>
    <row r="214" spans="3:8" s="84" customFormat="1" hidden="1" x14ac:dyDescent="0.25">
      <c r="E214" s="82"/>
      <c r="F214" s="87"/>
      <c r="G214" s="58"/>
      <c r="H214" s="5"/>
    </row>
    <row r="215" spans="3:8" hidden="1" x14ac:dyDescent="0.25">
      <c r="C215" s="86"/>
      <c r="D215" s="86"/>
      <c r="F215" s="87"/>
    </row>
    <row r="216" spans="3:8" hidden="1" x14ac:dyDescent="0.25"/>
    <row r="217" spans="3:8" hidden="1" x14ac:dyDescent="0.25"/>
    <row r="218" spans="3:8" hidden="1" x14ac:dyDescent="0.25"/>
    <row r="219" spans="3:8" hidden="1" x14ac:dyDescent="0.25"/>
    <row r="220" spans="3:8" hidden="1" x14ac:dyDescent="0.25"/>
    <row r="221" spans="3:8" hidden="1" x14ac:dyDescent="0.25"/>
    <row r="222" spans="3:8" hidden="1" x14ac:dyDescent="0.25"/>
    <row r="223" spans="3:8" hidden="1" x14ac:dyDescent="0.25"/>
    <row r="224" spans="3:8"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sheetData>
  <mergeCells count="6">
    <mergeCell ref="C1:D1"/>
    <mergeCell ref="E1:F1"/>
    <mergeCell ref="C2:D2"/>
    <mergeCell ref="E2:F2"/>
    <mergeCell ref="C3:D3"/>
    <mergeCell ref="E3:F3"/>
  </mergeCells>
  <conditionalFormatting sqref="D7:D12">
    <cfRule type="cellIs" dxfId="403" priority="2" stopIfTrue="1" operator="greaterThan">
      <formula>50</formula>
    </cfRule>
    <cfRule type="cellIs" dxfId="402" priority="11" stopIfTrue="1" operator="equal">
      <formula>0</formula>
    </cfRule>
  </conditionalFormatting>
  <conditionalFormatting sqref="D7:D61">
    <cfRule type="cellIs" dxfId="401" priority="9" stopIfTrue="1" operator="between">
      <formula>-0.1</formula>
      <formula>-50</formula>
    </cfRule>
    <cfRule type="cellIs" dxfId="400" priority="10" stopIfTrue="1" operator="between">
      <formula>0.1</formula>
      <formula>50</formula>
    </cfRule>
  </conditionalFormatting>
  <conditionalFormatting sqref="G152:G181 G7:G150">
    <cfRule type="cellIs" dxfId="399" priority="7" stopIfTrue="1" operator="between">
      <formula>-0.1</formula>
      <formula>-50</formula>
    </cfRule>
    <cfRule type="cellIs" dxfId="398" priority="8" stopIfTrue="1" operator="between">
      <formula>0.1</formula>
      <formula>50</formula>
    </cfRule>
  </conditionalFormatting>
  <conditionalFormatting sqref="D111:D155">
    <cfRule type="cellIs" dxfId="397" priority="5" stopIfTrue="1" operator="between">
      <formula>-0.1</formula>
      <formula>-50</formula>
    </cfRule>
    <cfRule type="cellIs" dxfId="396" priority="6" stopIfTrue="1" operator="between">
      <formula>0.1</formula>
      <formula>50</formula>
    </cfRule>
  </conditionalFormatting>
  <conditionalFormatting sqref="G165">
    <cfRule type="expression" dxfId="395" priority="4" stopIfTrue="1">
      <formula>AND($G$165&gt;0,$G$151&gt;0)</formula>
    </cfRule>
  </conditionalFormatting>
  <conditionalFormatting sqref="G151">
    <cfRule type="expression" dxfId="394" priority="1" stopIfTrue="1">
      <formula>AND($G$151&gt;0,$G$165&gt;0)</formula>
    </cfRule>
  </conditionalFormatting>
  <dataValidations count="11">
    <dataValidation type="custom" operator="greaterThan" showInputMessage="1" showErrorMessage="1" errorTitle="RDM" error="No se admite ingresar RDM como ingresos y egresos a la vez. Tampoco se admiten valores menores a $50._x000a_" sqref="G151">
      <formula1>AND(OR(G151=0, G151&gt;50),G165=0)</formula1>
    </dataValidation>
    <dataValidation type="whole" operator="greaterThan" allowBlank="1" showInputMessage="1" showErrorMessage="1" sqref="D8:D12">
      <formula1>50</formula1>
    </dataValidation>
    <dataValidation type="whole" operator="greaterThan" showInputMessage="1" showErrorMessage="1" errorTitle="eee" error="Valores mayores a $50" sqref="D7">
      <formula1>50</formula1>
    </dataValidation>
    <dataValidation type="custom" operator="greaterThan" showInputMessage="1" showErrorMessage="1" errorTitle="eee" sqref="D56">
      <formula1>OR(D56=0, D56&lt;50)</formula1>
    </dataValidation>
    <dataValidation type="custom" operator="greaterThan" showInputMessage="1" showErrorMessage="1" errorTitle="eee" sqref="D57:D61">
      <formula1>OR(D57=0, D57&lt;0)</formula1>
    </dataValidation>
    <dataValidation type="custom" operator="greaterThan" showInputMessage="1" showErrorMessage="1" errorTitle="eee" sqref="G7:G140 D62:D155 G152:G164 G166:G181 G144:G150 D13:D55">
      <formula1>OR(D7=0, D7&gt;50)</formula1>
    </dataValidation>
    <dataValidation type="whole" allowBlank="1" showErrorMessage="1" errorTitle="Error de datos" error="Debe ingresar un valor entre 1 y 12" sqref="G1:G3">
      <formula1>1</formula1>
      <formula2>12</formula2>
    </dataValidation>
    <dataValidation allowBlank="1" errorTitle="Error de datos" error="Debe introducir una fecha válida" sqref="E3"/>
    <dataValidation allowBlank="1" sqref="G204"/>
    <dataValidation operator="greaterThanOrEqual" allowBlank="1" errorTitle="Error de datos" error="Debe ingresar un valor entero positivo" sqref="F6:F107 F203 C13:C47 C106:C153 F171 F174:F178 F180 F111:F119 C7:C10 F121:F140 F143:F169 C49:C62 C155 F109"/>
    <dataValidation type="custom" operator="greaterThan" showInputMessage="1" showErrorMessage="1" errorTitle="rdm2" error="No se admite ingresar a la vez RDM como ingresos y como egresos. Tampoco se admiten valores negattivos o positivos menores de 50" sqref="G165">
      <formula1>AND(OR(G165=0, G165&gt;50),G151=0)</formula1>
    </dataValidation>
  </dataValidations>
  <pageMargins left="0.7" right="0.7" top="0.75" bottom="0.75" header="0.3" footer="0.3"/>
  <ignoredErrors>
    <ignoredError sqref="E7:E181" numberStoredAsText="1"/>
    <ignoredError sqref="G46 G151" unlockedFormula="1"/>
  </ignoredErrors>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206"/>
  <sheetViews>
    <sheetView showGridLines="0" workbookViewId="0">
      <selection activeCell="F4" sqref="F4"/>
    </sheetView>
  </sheetViews>
  <sheetFormatPr baseColWidth="10" defaultColWidth="0" defaultRowHeight="15" zeroHeight="1" x14ac:dyDescent="0.25"/>
  <cols>
    <col min="1" max="1" width="3.7109375" style="1" customWidth="1"/>
    <col min="2" max="2" width="14.28515625" style="91" hidden="1" customWidth="1"/>
    <col min="3" max="3" width="58.42578125" style="132" customWidth="1"/>
    <col min="4" max="4" width="25.140625" style="132" customWidth="1"/>
    <col min="5" max="5" width="5.85546875" style="146" customWidth="1"/>
    <col min="6" max="6" width="57.28515625" style="132" customWidth="1"/>
    <col min="7" max="7" width="24.7109375" style="132" customWidth="1"/>
    <col min="8" max="8" width="8" style="5" customWidth="1"/>
    <col min="9" max="1023" width="0" style="5" hidden="1" customWidth="1"/>
    <col min="1024" max="16384" width="9.140625" hidden="1"/>
  </cols>
  <sheetData>
    <row r="1" spans="2:9" ht="15.75" x14ac:dyDescent="0.25">
      <c r="B1" s="88"/>
      <c r="C1" s="318" t="s">
        <v>0</v>
      </c>
      <c r="D1" s="318"/>
      <c r="E1" s="319" t="str">
        <f>[5]Presentacion!C2</f>
        <v>CUDAM</v>
      </c>
      <c r="F1" s="319"/>
      <c r="G1" s="89"/>
    </row>
    <row r="2" spans="2:9" ht="15.75" x14ac:dyDescent="0.25">
      <c r="B2" s="90"/>
      <c r="C2" s="318" t="s">
        <v>1</v>
      </c>
      <c r="D2" s="318"/>
      <c r="E2" s="319" t="str">
        <f>[5]Presentacion!C3</f>
        <v>Montevideo</v>
      </c>
      <c r="F2" s="319"/>
      <c r="G2" s="89"/>
    </row>
    <row r="3" spans="2:9" ht="15.75" x14ac:dyDescent="0.25">
      <c r="B3" s="90"/>
      <c r="C3" s="318" t="s">
        <v>2</v>
      </c>
      <c r="D3" s="318"/>
      <c r="E3" s="320" t="s">
        <v>3</v>
      </c>
      <c r="F3" s="320"/>
      <c r="G3" s="89"/>
    </row>
    <row r="4" spans="2:9" ht="15.75" thickBot="1" x14ac:dyDescent="0.3">
      <c r="C4" s="289"/>
      <c r="D4" s="92"/>
      <c r="E4" s="93"/>
      <c r="F4" s="94"/>
      <c r="G4" s="95"/>
    </row>
    <row r="5" spans="2:9" ht="16.5" thickBot="1" x14ac:dyDescent="0.3">
      <c r="B5" s="96"/>
      <c r="C5" s="294" t="s">
        <v>4</v>
      </c>
      <c r="D5" s="295" t="s">
        <v>5</v>
      </c>
      <c r="E5" s="98"/>
      <c r="F5" s="294" t="s">
        <v>6</v>
      </c>
      <c r="G5" s="295" t="s">
        <v>5</v>
      </c>
      <c r="I5" s="15"/>
    </row>
    <row r="6" spans="2:9" ht="16.5" thickBot="1" x14ac:dyDescent="0.3">
      <c r="B6" s="96"/>
      <c r="C6" s="99" t="s">
        <v>7</v>
      </c>
      <c r="D6" s="293">
        <f>+[5]E.S.P.!D6</f>
        <v>2020</v>
      </c>
      <c r="E6" s="101"/>
      <c r="F6" s="99" t="s">
        <v>8</v>
      </c>
      <c r="G6" s="293">
        <f>+D6</f>
        <v>2020</v>
      </c>
      <c r="H6" s="15"/>
    </row>
    <row r="7" spans="2:9" ht="15.75" thickTop="1" x14ac:dyDescent="0.25">
      <c r="B7" s="90" t="s">
        <v>9</v>
      </c>
      <c r="C7" s="296" t="s">
        <v>10</v>
      </c>
      <c r="D7" s="297">
        <v>6320293</v>
      </c>
      <c r="E7" s="102" t="s">
        <v>11</v>
      </c>
      <c r="F7" s="296" t="s">
        <v>12</v>
      </c>
      <c r="G7" s="297">
        <v>13492562</v>
      </c>
    </row>
    <row r="8" spans="2:9" x14ac:dyDescent="0.25">
      <c r="B8" s="90" t="s">
        <v>13</v>
      </c>
      <c r="C8" s="298" t="s">
        <v>14</v>
      </c>
      <c r="D8" s="299">
        <v>1529842</v>
      </c>
      <c r="E8" s="102" t="s">
        <v>15</v>
      </c>
      <c r="F8" s="298" t="s">
        <v>16</v>
      </c>
      <c r="G8" s="299">
        <v>10486833</v>
      </c>
    </row>
    <row r="9" spans="2:9" x14ac:dyDescent="0.25">
      <c r="B9" s="90" t="s">
        <v>17</v>
      </c>
      <c r="C9" s="298" t="s">
        <v>18</v>
      </c>
      <c r="D9" s="299">
        <f>1340674634+812648</f>
        <v>1341487282</v>
      </c>
      <c r="E9" s="102" t="s">
        <v>19</v>
      </c>
      <c r="F9" s="298" t="s">
        <v>20</v>
      </c>
      <c r="G9" s="299">
        <v>21678103</v>
      </c>
    </row>
    <row r="10" spans="2:9" x14ac:dyDescent="0.25">
      <c r="B10" s="90" t="s">
        <v>21</v>
      </c>
      <c r="C10" s="298" t="s">
        <v>22</v>
      </c>
      <c r="D10" s="299">
        <v>154445803</v>
      </c>
      <c r="E10" s="102" t="s">
        <v>23</v>
      </c>
      <c r="F10" s="298" t="s">
        <v>24</v>
      </c>
      <c r="G10" s="299">
        <v>53912333</v>
      </c>
    </row>
    <row r="11" spans="2:9" x14ac:dyDescent="0.25">
      <c r="B11" s="90" t="s">
        <v>25</v>
      </c>
      <c r="C11" s="298" t="s">
        <v>26</v>
      </c>
      <c r="D11" s="299">
        <v>17229197</v>
      </c>
      <c r="E11" s="102" t="s">
        <v>27</v>
      </c>
      <c r="F11" s="298" t="s">
        <v>28</v>
      </c>
      <c r="G11" s="299">
        <v>122766474</v>
      </c>
    </row>
    <row r="12" spans="2:9" x14ac:dyDescent="0.25">
      <c r="B12" s="90" t="s">
        <v>29</v>
      </c>
      <c r="C12" s="298" t="s">
        <v>30</v>
      </c>
      <c r="D12" s="299">
        <v>4801923</v>
      </c>
      <c r="E12" s="102" t="s">
        <v>31</v>
      </c>
      <c r="F12" s="298" t="s">
        <v>32</v>
      </c>
      <c r="G12" s="299">
        <v>112677538</v>
      </c>
    </row>
    <row r="13" spans="2:9" x14ac:dyDescent="0.25">
      <c r="B13" s="90" t="s">
        <v>33</v>
      </c>
      <c r="C13" s="298" t="s">
        <v>34</v>
      </c>
      <c r="D13" s="299"/>
      <c r="E13" s="102" t="s">
        <v>35</v>
      </c>
      <c r="F13" s="298" t="s">
        <v>36</v>
      </c>
      <c r="G13" s="299">
        <v>91644354</v>
      </c>
    </row>
    <row r="14" spans="2:9" x14ac:dyDescent="0.25">
      <c r="B14" s="90" t="s">
        <v>37</v>
      </c>
      <c r="C14" s="298" t="s">
        <v>38</v>
      </c>
      <c r="D14" s="299"/>
      <c r="E14" s="102" t="s">
        <v>39</v>
      </c>
      <c r="F14" s="298" t="s">
        <v>40</v>
      </c>
      <c r="G14" s="299">
        <v>175558109</v>
      </c>
    </row>
    <row r="15" spans="2:9" x14ac:dyDescent="0.25">
      <c r="B15" s="90" t="s">
        <v>41</v>
      </c>
      <c r="C15" s="298" t="s">
        <v>42</v>
      </c>
      <c r="D15" s="299"/>
      <c r="E15" s="102" t="s">
        <v>43</v>
      </c>
      <c r="F15" s="298" t="s">
        <v>44</v>
      </c>
      <c r="G15" s="299">
        <v>35684395</v>
      </c>
    </row>
    <row r="16" spans="2:9" x14ac:dyDescent="0.25">
      <c r="B16" s="90" t="s">
        <v>45</v>
      </c>
      <c r="C16" s="298" t="s">
        <v>46</v>
      </c>
      <c r="D16" s="299"/>
      <c r="E16" s="102" t="s">
        <v>47</v>
      </c>
      <c r="F16" s="298" t="s">
        <v>48</v>
      </c>
      <c r="G16" s="299">
        <v>68982808</v>
      </c>
    </row>
    <row r="17" spans="2:7" x14ac:dyDescent="0.25">
      <c r="B17" s="90" t="s">
        <v>49</v>
      </c>
      <c r="C17" s="298" t="s">
        <v>50</v>
      </c>
      <c r="D17" s="299"/>
      <c r="E17" s="102" t="s">
        <v>51</v>
      </c>
      <c r="F17" s="298" t="s">
        <v>52</v>
      </c>
      <c r="G17" s="299"/>
    </row>
    <row r="18" spans="2:7" x14ac:dyDescent="0.25">
      <c r="B18" s="90" t="s">
        <v>53</v>
      </c>
      <c r="C18" s="298" t="s">
        <v>54</v>
      </c>
      <c r="D18" s="299">
        <v>64041</v>
      </c>
      <c r="E18" s="102" t="s">
        <v>55</v>
      </c>
      <c r="F18" s="300" t="s">
        <v>56</v>
      </c>
      <c r="G18" s="301">
        <v>29663291</v>
      </c>
    </row>
    <row r="19" spans="2:7" ht="15.75" thickBot="1" x14ac:dyDescent="0.3">
      <c r="B19" s="90" t="s">
        <v>57</v>
      </c>
      <c r="C19" s="300" t="s">
        <v>58</v>
      </c>
      <c r="D19" s="301">
        <v>65763083</v>
      </c>
      <c r="E19" s="102"/>
      <c r="F19" s="105" t="s">
        <v>59</v>
      </c>
      <c r="G19" s="106">
        <f>SUM(G7:G18)</f>
        <v>736546800</v>
      </c>
    </row>
    <row r="20" spans="2:7" ht="16.5" thickTop="1" thickBot="1" x14ac:dyDescent="0.3">
      <c r="B20" s="90"/>
      <c r="C20" s="105" t="s">
        <v>60</v>
      </c>
      <c r="D20" s="106">
        <f>SUM(D7:D19)</f>
        <v>1591641464</v>
      </c>
      <c r="E20" s="102" t="s">
        <v>61</v>
      </c>
      <c r="F20" s="296" t="s">
        <v>62</v>
      </c>
      <c r="G20" s="297">
        <v>549478</v>
      </c>
    </row>
    <row r="21" spans="2:7" ht="15.75" thickTop="1" x14ac:dyDescent="0.25">
      <c r="B21" s="90"/>
      <c r="C21" s="107" t="s">
        <v>63</v>
      </c>
      <c r="D21" s="108">
        <f>SUM(D22:D28)</f>
        <v>618093</v>
      </c>
      <c r="E21" s="102" t="s">
        <v>64</v>
      </c>
      <c r="F21" s="298" t="s">
        <v>65</v>
      </c>
      <c r="G21" s="299">
        <v>8857015</v>
      </c>
    </row>
    <row r="22" spans="2:7" x14ac:dyDescent="0.25">
      <c r="B22" s="90" t="s">
        <v>66</v>
      </c>
      <c r="C22" s="302" t="s">
        <v>67</v>
      </c>
      <c r="D22" s="303">
        <v>66916</v>
      </c>
      <c r="E22" s="102" t="s">
        <v>68</v>
      </c>
      <c r="F22" s="298" t="s">
        <v>69</v>
      </c>
      <c r="G22" s="299">
        <v>8813132</v>
      </c>
    </row>
    <row r="23" spans="2:7" x14ac:dyDescent="0.25">
      <c r="B23" s="90" t="s">
        <v>70</v>
      </c>
      <c r="C23" s="298" t="s">
        <v>71</v>
      </c>
      <c r="D23" s="299"/>
      <c r="E23" s="102" t="s">
        <v>72</v>
      </c>
      <c r="F23" s="298" t="s">
        <v>73</v>
      </c>
      <c r="G23" s="299">
        <v>12308560</v>
      </c>
    </row>
    <row r="24" spans="2:7" x14ac:dyDescent="0.25">
      <c r="B24" s="90" t="s">
        <v>74</v>
      </c>
      <c r="C24" s="298" t="s">
        <v>75</v>
      </c>
      <c r="D24" s="299"/>
      <c r="E24" s="102" t="s">
        <v>76</v>
      </c>
      <c r="F24" s="298" t="s">
        <v>77</v>
      </c>
      <c r="G24" s="299">
        <v>2004951</v>
      </c>
    </row>
    <row r="25" spans="2:7" x14ac:dyDescent="0.25">
      <c r="B25" s="90" t="s">
        <v>78</v>
      </c>
      <c r="C25" s="298" t="s">
        <v>79</v>
      </c>
      <c r="D25" s="299"/>
      <c r="E25" s="102" t="s">
        <v>80</v>
      </c>
      <c r="F25" s="298" t="s">
        <v>81</v>
      </c>
      <c r="G25" s="299">
        <v>5472356</v>
      </c>
    </row>
    <row r="26" spans="2:7" x14ac:dyDescent="0.25">
      <c r="B26" s="90" t="s">
        <v>82</v>
      </c>
      <c r="C26" s="298" t="s">
        <v>83</v>
      </c>
      <c r="D26" s="299"/>
      <c r="E26" s="102" t="s">
        <v>84</v>
      </c>
      <c r="F26" s="300" t="s">
        <v>85</v>
      </c>
      <c r="G26" s="301">
        <v>1591975</v>
      </c>
    </row>
    <row r="27" spans="2:7" ht="15.75" thickBot="1" x14ac:dyDescent="0.3">
      <c r="B27" s="90" t="s">
        <v>86</v>
      </c>
      <c r="C27" s="298" t="s">
        <v>87</v>
      </c>
      <c r="D27" s="299">
        <v>518288</v>
      </c>
      <c r="E27" s="102"/>
      <c r="F27" s="105" t="s">
        <v>88</v>
      </c>
      <c r="G27" s="106">
        <f>SUM(G20:G26)</f>
        <v>39597467</v>
      </c>
    </row>
    <row r="28" spans="2:7" ht="15.75" thickTop="1" x14ac:dyDescent="0.25">
      <c r="B28" s="90" t="s">
        <v>89</v>
      </c>
      <c r="C28" s="300" t="s">
        <v>90</v>
      </c>
      <c r="D28" s="301">
        <v>32889</v>
      </c>
      <c r="E28" s="102" t="s">
        <v>91</v>
      </c>
      <c r="F28" s="296" t="s">
        <v>92</v>
      </c>
      <c r="G28" s="297">
        <v>84826887</v>
      </c>
    </row>
    <row r="29" spans="2:7" x14ac:dyDescent="0.25">
      <c r="B29" s="90"/>
      <c r="C29" s="109" t="s">
        <v>93</v>
      </c>
      <c r="D29" s="108">
        <f>SUM(D30:D34)</f>
        <v>45052617</v>
      </c>
      <c r="E29" s="102" t="s">
        <v>94</v>
      </c>
      <c r="F29" s="298" t="s">
        <v>95</v>
      </c>
      <c r="G29" s="299">
        <v>100574024</v>
      </c>
    </row>
    <row r="30" spans="2:7" x14ac:dyDescent="0.25">
      <c r="B30" s="90" t="s">
        <v>96</v>
      </c>
      <c r="C30" s="302" t="s">
        <v>97</v>
      </c>
      <c r="D30" s="303">
        <v>38041921</v>
      </c>
      <c r="E30" s="102" t="s">
        <v>98</v>
      </c>
      <c r="F30" s="298" t="s">
        <v>99</v>
      </c>
      <c r="G30" s="299">
        <v>6643430</v>
      </c>
    </row>
    <row r="31" spans="2:7" x14ac:dyDescent="0.25">
      <c r="B31" s="90" t="s">
        <v>100</v>
      </c>
      <c r="C31" s="298" t="s">
        <v>101</v>
      </c>
      <c r="D31" s="299">
        <v>464004</v>
      </c>
      <c r="E31" s="102" t="s">
        <v>102</v>
      </c>
      <c r="F31" s="300" t="s">
        <v>103</v>
      </c>
      <c r="G31" s="301">
        <v>8190574</v>
      </c>
    </row>
    <row r="32" spans="2:7" ht="15.75" thickBot="1" x14ac:dyDescent="0.3">
      <c r="B32" s="90" t="s">
        <v>104</v>
      </c>
      <c r="C32" s="298" t="s">
        <v>105</v>
      </c>
      <c r="D32" s="299">
        <v>3966232</v>
      </c>
      <c r="E32" s="102"/>
      <c r="F32" s="105" t="s">
        <v>106</v>
      </c>
      <c r="G32" s="106">
        <f>SUM(G28:G31)</f>
        <v>200234915</v>
      </c>
    </row>
    <row r="33" spans="2:7" ht="15.75" thickTop="1" x14ac:dyDescent="0.25">
      <c r="B33" s="90" t="s">
        <v>107</v>
      </c>
      <c r="C33" s="298" t="s">
        <v>108</v>
      </c>
      <c r="D33" s="299">
        <v>744379</v>
      </c>
      <c r="E33" s="102"/>
      <c r="F33" s="109" t="s">
        <v>109</v>
      </c>
      <c r="G33" s="108">
        <f>SUM(G34:G39)</f>
        <v>77730178</v>
      </c>
    </row>
    <row r="34" spans="2:7" x14ac:dyDescent="0.25">
      <c r="B34" s="90" t="s">
        <v>110</v>
      </c>
      <c r="C34" s="300" t="s">
        <v>111</v>
      </c>
      <c r="D34" s="301">
        <v>1836081</v>
      </c>
      <c r="E34" s="102" t="s">
        <v>112</v>
      </c>
      <c r="F34" s="302" t="s">
        <v>113</v>
      </c>
      <c r="G34" s="303">
        <v>7607181</v>
      </c>
    </row>
    <row r="35" spans="2:7" ht="15.75" thickBot="1" x14ac:dyDescent="0.3">
      <c r="B35" s="90"/>
      <c r="C35" s="105" t="s">
        <v>114</v>
      </c>
      <c r="D35" s="106">
        <f>+D21+D29</f>
        <v>45670710</v>
      </c>
      <c r="E35" s="102" t="s">
        <v>115</v>
      </c>
      <c r="F35" s="298" t="s">
        <v>116</v>
      </c>
      <c r="G35" s="299">
        <v>4564308</v>
      </c>
    </row>
    <row r="36" spans="2:7" ht="15.75" thickTop="1" x14ac:dyDescent="0.25">
      <c r="B36" s="90" t="s">
        <v>117</v>
      </c>
      <c r="C36" s="296" t="s">
        <v>118</v>
      </c>
      <c r="D36" s="297">
        <v>17082437</v>
      </c>
      <c r="E36" s="102" t="s">
        <v>119</v>
      </c>
      <c r="F36" s="298" t="s">
        <v>120</v>
      </c>
      <c r="G36" s="299">
        <v>3042872</v>
      </c>
    </row>
    <row r="37" spans="2:7" x14ac:dyDescent="0.25">
      <c r="B37" s="90" t="s">
        <v>121</v>
      </c>
      <c r="C37" s="298" t="s">
        <v>122</v>
      </c>
      <c r="D37" s="299">
        <v>3426448</v>
      </c>
      <c r="E37" s="102" t="s">
        <v>123</v>
      </c>
      <c r="F37" s="298" t="s">
        <v>124</v>
      </c>
      <c r="G37" s="299">
        <v>6085745</v>
      </c>
    </row>
    <row r="38" spans="2:7" x14ac:dyDescent="0.25">
      <c r="B38" s="90" t="s">
        <v>125</v>
      </c>
      <c r="C38" s="298" t="s">
        <v>126</v>
      </c>
      <c r="D38" s="299"/>
      <c r="E38" s="102" t="s">
        <v>127</v>
      </c>
      <c r="F38" s="298" t="s">
        <v>128</v>
      </c>
      <c r="G38" s="299">
        <v>5325026</v>
      </c>
    </row>
    <row r="39" spans="2:7" x14ac:dyDescent="0.25">
      <c r="B39" s="90" t="s">
        <v>129</v>
      </c>
      <c r="C39" s="298" t="s">
        <v>130</v>
      </c>
      <c r="D39" s="299">
        <v>14404665</v>
      </c>
      <c r="E39" s="102" t="s">
        <v>131</v>
      </c>
      <c r="F39" s="300" t="s">
        <v>132</v>
      </c>
      <c r="G39" s="301">
        <v>51105046</v>
      </c>
    </row>
    <row r="40" spans="2:7" x14ac:dyDescent="0.25">
      <c r="B40" s="90" t="s">
        <v>133</v>
      </c>
      <c r="C40" s="298" t="s">
        <v>134</v>
      </c>
      <c r="D40" s="299"/>
      <c r="E40" s="102"/>
      <c r="F40" s="110" t="s">
        <v>135</v>
      </c>
      <c r="G40" s="111">
        <f>SUM(G41:G46)</f>
        <v>17571081</v>
      </c>
    </row>
    <row r="41" spans="2:7" x14ac:dyDescent="0.25">
      <c r="B41" s="90" t="s">
        <v>136</v>
      </c>
      <c r="C41" s="298" t="s">
        <v>137</v>
      </c>
      <c r="D41" s="299"/>
      <c r="E41" s="102" t="s">
        <v>138</v>
      </c>
      <c r="F41" s="302" t="s">
        <v>139</v>
      </c>
      <c r="G41" s="303">
        <v>3423231</v>
      </c>
    </row>
    <row r="42" spans="2:7" x14ac:dyDescent="0.25">
      <c r="B42" s="90" t="s">
        <v>140</v>
      </c>
      <c r="C42" s="298" t="s">
        <v>141</v>
      </c>
      <c r="D42" s="299">
        <v>4861356</v>
      </c>
      <c r="E42" s="102" t="s">
        <v>142</v>
      </c>
      <c r="F42" s="298" t="s">
        <v>143</v>
      </c>
      <c r="G42" s="299">
        <v>1711616</v>
      </c>
    </row>
    <row r="43" spans="2:7" x14ac:dyDescent="0.25">
      <c r="B43" s="90" t="s">
        <v>144</v>
      </c>
      <c r="C43" s="298" t="s">
        <v>145</v>
      </c>
      <c r="D43" s="299">
        <v>57455</v>
      </c>
      <c r="E43" s="102" t="s">
        <v>146</v>
      </c>
      <c r="F43" s="298" t="s">
        <v>147</v>
      </c>
      <c r="G43" s="299">
        <v>1521436</v>
      </c>
    </row>
    <row r="44" spans="2:7" x14ac:dyDescent="0.25">
      <c r="B44" s="90" t="s">
        <v>148</v>
      </c>
      <c r="C44" s="298" t="s">
        <v>149</v>
      </c>
      <c r="D44" s="299"/>
      <c r="E44" s="102" t="s">
        <v>150</v>
      </c>
      <c r="F44" s="298" t="s">
        <v>151</v>
      </c>
      <c r="G44" s="299">
        <v>1141077</v>
      </c>
    </row>
    <row r="45" spans="2:7" x14ac:dyDescent="0.25">
      <c r="B45" s="90" t="s">
        <v>152</v>
      </c>
      <c r="C45" s="298" t="s">
        <v>153</v>
      </c>
      <c r="D45" s="299"/>
      <c r="E45" s="102" t="s">
        <v>154</v>
      </c>
      <c r="F45" s="298" t="s">
        <v>155</v>
      </c>
      <c r="G45" s="299">
        <v>3042872</v>
      </c>
    </row>
    <row r="46" spans="2:7" x14ac:dyDescent="0.25">
      <c r="B46" s="90" t="s">
        <v>156</v>
      </c>
      <c r="C46" s="300" t="s">
        <v>157</v>
      </c>
      <c r="D46" s="301">
        <v>1692567</v>
      </c>
      <c r="E46" s="102" t="s">
        <v>158</v>
      </c>
      <c r="F46" s="298" t="s">
        <v>159</v>
      </c>
      <c r="G46" s="299">
        <v>6730849</v>
      </c>
    </row>
    <row r="47" spans="2:7" ht="15.75" thickBot="1" x14ac:dyDescent="0.3">
      <c r="B47" s="90"/>
      <c r="C47" s="105" t="s">
        <v>160</v>
      </c>
      <c r="D47" s="106">
        <f>SUM(D36:D46)</f>
        <v>41524928</v>
      </c>
      <c r="E47" s="102" t="s">
        <v>161</v>
      </c>
      <c r="F47" s="300" t="s">
        <v>162</v>
      </c>
      <c r="G47" s="301">
        <v>4237018</v>
      </c>
    </row>
    <row r="48" spans="2:7" ht="16.5" thickTop="1" thickBot="1" x14ac:dyDescent="0.3">
      <c r="B48" s="90"/>
      <c r="C48" s="112" t="s">
        <v>163</v>
      </c>
      <c r="D48" s="113"/>
      <c r="E48" s="102"/>
      <c r="F48" s="105" t="s">
        <v>164</v>
      </c>
      <c r="G48" s="114">
        <f>+G33+G40+G47</f>
        <v>99538277</v>
      </c>
    </row>
    <row r="49" spans="2:7" ht="15.75" thickTop="1" x14ac:dyDescent="0.25">
      <c r="B49" s="90" t="s">
        <v>165</v>
      </c>
      <c r="C49" s="302" t="s">
        <v>166</v>
      </c>
      <c r="D49" s="303">
        <v>423872</v>
      </c>
      <c r="E49" s="102" t="s">
        <v>167</v>
      </c>
      <c r="F49" s="296" t="s">
        <v>168</v>
      </c>
      <c r="G49" s="297">
        <v>34127642</v>
      </c>
    </row>
    <row r="50" spans="2:7" x14ac:dyDescent="0.25">
      <c r="B50" s="90" t="s">
        <v>169</v>
      </c>
      <c r="C50" s="298" t="s">
        <v>163</v>
      </c>
      <c r="D50" s="299"/>
      <c r="E50" s="102" t="s">
        <v>170</v>
      </c>
      <c r="F50" s="298" t="s">
        <v>171</v>
      </c>
      <c r="G50" s="299">
        <v>38120315</v>
      </c>
    </row>
    <row r="51" spans="2:7" x14ac:dyDescent="0.25">
      <c r="B51" s="90" t="s">
        <v>172</v>
      </c>
      <c r="C51" s="300" t="s">
        <v>173</v>
      </c>
      <c r="D51" s="301">
        <v>18269</v>
      </c>
      <c r="E51" s="102" t="s">
        <v>174</v>
      </c>
      <c r="F51" s="298" t="s">
        <v>175</v>
      </c>
      <c r="G51" s="299"/>
    </row>
    <row r="52" spans="2:7" ht="15.75" thickBot="1" x14ac:dyDescent="0.3">
      <c r="B52" s="96"/>
      <c r="C52" s="105" t="s">
        <v>176</v>
      </c>
      <c r="D52" s="106">
        <f>SUM(D49:D51)</f>
        <v>442141</v>
      </c>
      <c r="E52" s="102" t="s">
        <v>177</v>
      </c>
      <c r="F52" s="298" t="s">
        <v>178</v>
      </c>
      <c r="G52" s="299">
        <v>12086747</v>
      </c>
    </row>
    <row r="53" spans="2:7" ht="16.5" thickTop="1" thickBot="1" x14ac:dyDescent="0.3">
      <c r="B53" s="90"/>
      <c r="C53" s="115" t="s">
        <v>179</v>
      </c>
      <c r="D53" s="116">
        <f>D20+D35+D47+D52</f>
        <v>1679279243</v>
      </c>
      <c r="E53" s="102" t="s">
        <v>180</v>
      </c>
      <c r="F53" s="298" t="s">
        <v>181</v>
      </c>
      <c r="G53" s="299">
        <v>6542077</v>
      </c>
    </row>
    <row r="54" spans="2:7" ht="15.75" thickTop="1" x14ac:dyDescent="0.25">
      <c r="C54" s="117"/>
      <c r="D54" s="118"/>
      <c r="E54" s="102" t="s">
        <v>182</v>
      </c>
      <c r="F54" s="298" t="s">
        <v>183</v>
      </c>
      <c r="G54" s="299">
        <v>3232940</v>
      </c>
    </row>
    <row r="55" spans="2:7" x14ac:dyDescent="0.25">
      <c r="C55" s="119" t="s">
        <v>184</v>
      </c>
      <c r="D55" s="120"/>
      <c r="E55" s="102" t="s">
        <v>185</v>
      </c>
      <c r="F55" s="298" t="s">
        <v>186</v>
      </c>
      <c r="G55" s="299">
        <v>1619031</v>
      </c>
    </row>
    <row r="56" spans="2:7" x14ac:dyDescent="0.25">
      <c r="B56" s="90" t="s">
        <v>187</v>
      </c>
      <c r="C56" s="302" t="s">
        <v>188</v>
      </c>
      <c r="D56" s="303"/>
      <c r="E56" s="102" t="s">
        <v>189</v>
      </c>
      <c r="F56" s="300" t="s">
        <v>190</v>
      </c>
      <c r="G56" s="301">
        <v>4138168</v>
      </c>
    </row>
    <row r="57" spans="2:7" ht="15.75" thickBot="1" x14ac:dyDescent="0.3">
      <c r="B57" s="90" t="s">
        <v>191</v>
      </c>
      <c r="C57" s="298" t="s">
        <v>192</v>
      </c>
      <c r="D57" s="299">
        <v>-529636</v>
      </c>
      <c r="E57" s="102"/>
      <c r="F57" s="105" t="s">
        <v>193</v>
      </c>
      <c r="G57" s="106">
        <f>SUM(G49:G56)</f>
        <v>99866920</v>
      </c>
    </row>
    <row r="58" spans="2:7" ht="15.75" thickTop="1" x14ac:dyDescent="0.25">
      <c r="B58" s="90" t="s">
        <v>194</v>
      </c>
      <c r="C58" s="298" t="s">
        <v>195</v>
      </c>
      <c r="D58" s="299">
        <v>-43325</v>
      </c>
      <c r="E58" s="102" t="s">
        <v>196</v>
      </c>
      <c r="F58" s="103" t="s">
        <v>197</v>
      </c>
      <c r="G58" s="104"/>
    </row>
    <row r="59" spans="2:7" x14ac:dyDescent="0.25">
      <c r="B59" s="90" t="s">
        <v>198</v>
      </c>
      <c r="C59" s="300" t="s">
        <v>199</v>
      </c>
      <c r="D59" s="301">
        <v>-25315</v>
      </c>
      <c r="E59" s="102" t="s">
        <v>200</v>
      </c>
      <c r="F59" s="302" t="s">
        <v>201</v>
      </c>
      <c r="G59" s="303">
        <v>47900178</v>
      </c>
    </row>
    <row r="60" spans="2:7" ht="15.75" thickBot="1" x14ac:dyDescent="0.3">
      <c r="B60" s="90"/>
      <c r="C60" s="105" t="s">
        <v>202</v>
      </c>
      <c r="D60" s="106">
        <f>SUM(D56:D59)</f>
        <v>-598276</v>
      </c>
      <c r="E60" s="102" t="s">
        <v>203</v>
      </c>
      <c r="F60" s="298" t="s">
        <v>204</v>
      </c>
      <c r="G60" s="299">
        <v>1542299</v>
      </c>
    </row>
    <row r="61" spans="2:7" ht="17.25" thickTop="1" thickBot="1" x14ac:dyDescent="0.3">
      <c r="B61" s="121"/>
      <c r="C61" s="122" t="s">
        <v>205</v>
      </c>
      <c r="D61" s="123">
        <f>D53+D60</f>
        <v>1678680967</v>
      </c>
      <c r="E61" s="102" t="s">
        <v>206</v>
      </c>
      <c r="F61" s="298" t="s">
        <v>207</v>
      </c>
      <c r="G61" s="299">
        <v>2954607</v>
      </c>
    </row>
    <row r="62" spans="2:7" ht="15.75" thickTop="1" x14ac:dyDescent="0.25">
      <c r="B62" s="124"/>
      <c r="C62" s="125"/>
      <c r="D62" s="125"/>
      <c r="E62" s="102" t="s">
        <v>208</v>
      </c>
      <c r="F62" s="298" t="s">
        <v>209</v>
      </c>
      <c r="G62" s="299">
        <v>9136920</v>
      </c>
    </row>
    <row r="63" spans="2:7" x14ac:dyDescent="0.25">
      <c r="B63" s="126"/>
      <c r="C63" s="127" t="s">
        <v>8</v>
      </c>
      <c r="D63" s="127"/>
      <c r="E63" s="102" t="s">
        <v>210</v>
      </c>
      <c r="F63" s="298" t="s">
        <v>211</v>
      </c>
      <c r="G63" s="299">
        <v>4506096</v>
      </c>
    </row>
    <row r="64" spans="2:7" x14ac:dyDescent="0.25">
      <c r="B64" s="128" t="s">
        <v>212</v>
      </c>
      <c r="C64" s="129" t="s">
        <v>213</v>
      </c>
      <c r="D64" s="129">
        <f>[5]Amortizaciones!D6</f>
        <v>10902746</v>
      </c>
      <c r="E64" s="102" t="s">
        <v>214</v>
      </c>
      <c r="F64" s="298" t="s">
        <v>215</v>
      </c>
      <c r="G64" s="299">
        <v>6682262</v>
      </c>
    </row>
    <row r="65" spans="2:7" x14ac:dyDescent="0.25">
      <c r="B65" s="128" t="s">
        <v>216</v>
      </c>
      <c r="C65" s="129" t="s">
        <v>217</v>
      </c>
      <c r="D65" s="129">
        <f>[5]Amortizaciones!D7</f>
        <v>0</v>
      </c>
      <c r="E65" s="102" t="s">
        <v>218</v>
      </c>
      <c r="F65" s="298" t="s">
        <v>219</v>
      </c>
      <c r="G65" s="299">
        <v>22127892</v>
      </c>
    </row>
    <row r="66" spans="2:7" x14ac:dyDescent="0.25">
      <c r="B66" s="128" t="s">
        <v>220</v>
      </c>
      <c r="C66" s="129" t="s">
        <v>221</v>
      </c>
      <c r="D66" s="129">
        <f>[5]Amortizaciones!D8</f>
        <v>6504972</v>
      </c>
      <c r="E66" s="102" t="s">
        <v>222</v>
      </c>
      <c r="F66" s="298" t="s">
        <v>223</v>
      </c>
      <c r="G66" s="299">
        <v>7238568</v>
      </c>
    </row>
    <row r="67" spans="2:7" x14ac:dyDescent="0.25">
      <c r="B67" s="128" t="s">
        <v>224</v>
      </c>
      <c r="C67" s="129" t="s">
        <v>225</v>
      </c>
      <c r="D67" s="129">
        <f>[5]Amortizaciones!D9</f>
        <v>0</v>
      </c>
      <c r="E67" s="102" t="s">
        <v>226</v>
      </c>
      <c r="F67" s="298" t="s">
        <v>227</v>
      </c>
      <c r="G67" s="299">
        <v>10869173</v>
      </c>
    </row>
    <row r="68" spans="2:7" x14ac:dyDescent="0.25">
      <c r="B68" s="128" t="s">
        <v>228</v>
      </c>
      <c r="C68" s="129" t="s">
        <v>229</v>
      </c>
      <c r="D68" s="129">
        <f>[5]Amortizaciones!D10</f>
        <v>159776</v>
      </c>
      <c r="E68" s="102" t="s">
        <v>230</v>
      </c>
      <c r="F68" s="298" t="s">
        <v>231</v>
      </c>
      <c r="G68" s="299"/>
    </row>
    <row r="69" spans="2:7" x14ac:dyDescent="0.25">
      <c r="B69" s="128" t="s">
        <v>232</v>
      </c>
      <c r="C69" s="129" t="s">
        <v>233</v>
      </c>
      <c r="D69" s="129">
        <f>[5]Amortizaciones!D11</f>
        <v>152743</v>
      </c>
      <c r="E69" s="102" t="s">
        <v>234</v>
      </c>
      <c r="F69" s="298" t="s">
        <v>235</v>
      </c>
      <c r="G69" s="299">
        <v>1792688</v>
      </c>
    </row>
    <row r="70" spans="2:7" x14ac:dyDescent="0.25">
      <c r="B70" s="128" t="s">
        <v>236</v>
      </c>
      <c r="C70" s="129" t="s">
        <v>237</v>
      </c>
      <c r="D70" s="129">
        <f>[5]Amortizaciones!D12</f>
        <v>955145</v>
      </c>
      <c r="E70" s="102" t="s">
        <v>238</v>
      </c>
      <c r="F70" s="298" t="s">
        <v>239</v>
      </c>
      <c r="G70" s="299">
        <v>3046142</v>
      </c>
    </row>
    <row r="71" spans="2:7" x14ac:dyDescent="0.25">
      <c r="B71" s="128" t="s">
        <v>240</v>
      </c>
      <c r="C71" s="129" t="s">
        <v>241</v>
      </c>
      <c r="D71" s="129">
        <f>[5]Amortizaciones!D13</f>
        <v>1401618</v>
      </c>
      <c r="E71" s="102" t="s">
        <v>242</v>
      </c>
      <c r="F71" s="298" t="s">
        <v>243</v>
      </c>
      <c r="G71" s="299"/>
    </row>
    <row r="72" spans="2:7" x14ac:dyDescent="0.25">
      <c r="B72" s="128" t="s">
        <v>244</v>
      </c>
      <c r="C72" s="129" t="s">
        <v>245</v>
      </c>
      <c r="D72" s="129">
        <f>[5]Amortizaciones!D14</f>
        <v>1861637</v>
      </c>
      <c r="E72" s="102" t="s">
        <v>246</v>
      </c>
      <c r="F72" s="298" t="s">
        <v>247</v>
      </c>
      <c r="G72" s="299">
        <v>7187320</v>
      </c>
    </row>
    <row r="73" spans="2:7" x14ac:dyDescent="0.25">
      <c r="B73" s="128" t="s">
        <v>248</v>
      </c>
      <c r="C73" s="129" t="s">
        <v>249</v>
      </c>
      <c r="D73" s="129">
        <f>[5]Amortizaciones!D15</f>
        <v>0</v>
      </c>
      <c r="E73" s="102" t="s">
        <v>250</v>
      </c>
      <c r="F73" s="298" t="s">
        <v>251</v>
      </c>
      <c r="G73" s="299">
        <v>327952</v>
      </c>
    </row>
    <row r="74" spans="2:7" x14ac:dyDescent="0.25">
      <c r="B74" s="128" t="s">
        <v>252</v>
      </c>
      <c r="C74" s="129" t="s">
        <v>253</v>
      </c>
      <c r="D74" s="129">
        <f>[5]Amortizaciones!D16</f>
        <v>690231</v>
      </c>
      <c r="E74" s="102" t="s">
        <v>254</v>
      </c>
      <c r="F74" s="298" t="s">
        <v>255</v>
      </c>
      <c r="G74" s="299"/>
    </row>
    <row r="75" spans="2:7" x14ac:dyDescent="0.25">
      <c r="B75" s="128" t="s">
        <v>256</v>
      </c>
      <c r="C75" s="129" t="s">
        <v>257</v>
      </c>
      <c r="D75" s="129">
        <f>[5]Amortizaciones!D17</f>
        <v>0</v>
      </c>
      <c r="E75" s="102" t="s">
        <v>258</v>
      </c>
      <c r="F75" s="298" t="s">
        <v>259</v>
      </c>
      <c r="G75" s="299">
        <v>4017944</v>
      </c>
    </row>
    <row r="76" spans="2:7" x14ac:dyDescent="0.25">
      <c r="B76" s="128" t="s">
        <v>260</v>
      </c>
      <c r="C76" s="129" t="s">
        <v>261</v>
      </c>
      <c r="D76" s="129">
        <f>[5]Amortizaciones!D18</f>
        <v>0</v>
      </c>
      <c r="E76" s="102" t="s">
        <v>262</v>
      </c>
      <c r="F76" s="298" t="s">
        <v>263</v>
      </c>
      <c r="G76" s="299">
        <v>9349739</v>
      </c>
    </row>
    <row r="77" spans="2:7" x14ac:dyDescent="0.25">
      <c r="B77" s="128" t="s">
        <v>264</v>
      </c>
      <c r="C77" s="129" t="s">
        <v>265</v>
      </c>
      <c r="D77" s="129">
        <f>SUM(D64:D76)</f>
        <v>22628868</v>
      </c>
      <c r="E77" s="102" t="s">
        <v>266</v>
      </c>
      <c r="F77" s="298" t="s">
        <v>267</v>
      </c>
      <c r="G77" s="299">
        <v>60337837</v>
      </c>
    </row>
    <row r="78" spans="2:7" x14ac:dyDescent="0.25">
      <c r="B78" s="128"/>
      <c r="C78" s="129"/>
      <c r="D78" s="129"/>
      <c r="E78" s="102" t="s">
        <v>268</v>
      </c>
      <c r="F78" s="300" t="s">
        <v>269</v>
      </c>
      <c r="G78" s="301">
        <v>8527871</v>
      </c>
    </row>
    <row r="79" spans="2:7" ht="15.75" thickBot="1" x14ac:dyDescent="0.3">
      <c r="B79" s="128"/>
      <c r="C79" s="127" t="s">
        <v>270</v>
      </c>
      <c r="D79" s="130"/>
      <c r="E79" s="102"/>
      <c r="F79" s="105" t="s">
        <v>271</v>
      </c>
      <c r="G79" s="106">
        <f>SUM(G58:G78)</f>
        <v>207545488</v>
      </c>
    </row>
    <row r="80" spans="2:7" ht="15.75" thickTop="1" x14ac:dyDescent="0.25">
      <c r="B80" s="128" t="s">
        <v>272</v>
      </c>
      <c r="C80" s="129" t="s">
        <v>237</v>
      </c>
      <c r="D80" s="129">
        <f>[5]Amortizaciones!D22</f>
        <v>238786</v>
      </c>
      <c r="E80" s="102" t="s">
        <v>273</v>
      </c>
      <c r="F80" s="296" t="s">
        <v>274</v>
      </c>
      <c r="G80" s="297">
        <v>2182701</v>
      </c>
    </row>
    <row r="81" spans="2:7" x14ac:dyDescent="0.25">
      <c r="B81" s="128" t="s">
        <v>275</v>
      </c>
      <c r="C81" s="129" t="s">
        <v>241</v>
      </c>
      <c r="D81" s="129">
        <f>[5]Amortizaciones!D23</f>
        <v>155735</v>
      </c>
      <c r="E81" s="102" t="s">
        <v>276</v>
      </c>
      <c r="F81" s="298" t="s">
        <v>277</v>
      </c>
      <c r="G81" s="299">
        <v>5504685</v>
      </c>
    </row>
    <row r="82" spans="2:7" x14ac:dyDescent="0.25">
      <c r="B82" s="128" t="s">
        <v>278</v>
      </c>
      <c r="C82" s="129" t="s">
        <v>245</v>
      </c>
      <c r="D82" s="129">
        <f>[5]Amortizaciones!D24</f>
        <v>37993</v>
      </c>
      <c r="E82" s="102" t="s">
        <v>279</v>
      </c>
      <c r="F82" s="298" t="s">
        <v>280</v>
      </c>
      <c r="G82" s="299">
        <v>2658452</v>
      </c>
    </row>
    <row r="83" spans="2:7" x14ac:dyDescent="0.25">
      <c r="B83" s="128" t="s">
        <v>281</v>
      </c>
      <c r="C83" s="129" t="s">
        <v>249</v>
      </c>
      <c r="D83" s="129">
        <f>[5]Amortizaciones!D25</f>
        <v>0</v>
      </c>
      <c r="E83" s="102" t="s">
        <v>282</v>
      </c>
      <c r="F83" s="298" t="s">
        <v>283</v>
      </c>
      <c r="G83" s="299">
        <v>3444690</v>
      </c>
    </row>
    <row r="84" spans="2:7" x14ac:dyDescent="0.25">
      <c r="B84" s="128" t="s">
        <v>284</v>
      </c>
      <c r="C84" s="129" t="s">
        <v>285</v>
      </c>
      <c r="D84" s="129">
        <v>0</v>
      </c>
      <c r="E84" s="102" t="s">
        <v>286</v>
      </c>
      <c r="F84" s="298" t="s">
        <v>287</v>
      </c>
      <c r="G84" s="299">
        <v>7045514</v>
      </c>
    </row>
    <row r="85" spans="2:7" x14ac:dyDescent="0.25">
      <c r="B85" s="128" t="s">
        <v>288</v>
      </c>
      <c r="C85" s="129" t="s">
        <v>289</v>
      </c>
      <c r="D85" s="129">
        <f>[5]Amortizaciones!D27</f>
        <v>0</v>
      </c>
      <c r="E85" s="102" t="s">
        <v>290</v>
      </c>
      <c r="F85" s="298" t="s">
        <v>291</v>
      </c>
      <c r="G85" s="299">
        <v>2681430</v>
      </c>
    </row>
    <row r="86" spans="2:7" x14ac:dyDescent="0.25">
      <c r="B86" s="128" t="s">
        <v>292</v>
      </c>
      <c r="C86" s="129" t="s">
        <v>293</v>
      </c>
      <c r="D86" s="129">
        <f>[5]Amortizaciones!D28</f>
        <v>0</v>
      </c>
      <c r="E86" s="102" t="s">
        <v>294</v>
      </c>
      <c r="F86" s="298" t="s">
        <v>295</v>
      </c>
      <c r="G86" s="299">
        <v>306734</v>
      </c>
    </row>
    <row r="87" spans="2:7" x14ac:dyDescent="0.25">
      <c r="B87" s="128" t="s">
        <v>296</v>
      </c>
      <c r="C87" s="129" t="s">
        <v>297</v>
      </c>
      <c r="D87" s="129">
        <f>[5]Amortizaciones!D29</f>
        <v>0</v>
      </c>
      <c r="E87" s="102" t="s">
        <v>298</v>
      </c>
      <c r="F87" s="298" t="s">
        <v>299</v>
      </c>
      <c r="G87" s="299">
        <v>63899</v>
      </c>
    </row>
    <row r="88" spans="2:7" x14ac:dyDescent="0.25">
      <c r="B88" s="128" t="s">
        <v>300</v>
      </c>
      <c r="C88" s="129" t="s">
        <v>301</v>
      </c>
      <c r="D88" s="129">
        <f>[5]Amortizaciones!D30</f>
        <v>172558</v>
      </c>
      <c r="E88" s="102" t="s">
        <v>302</v>
      </c>
      <c r="F88" s="298" t="s">
        <v>303</v>
      </c>
      <c r="G88" s="299">
        <v>71271</v>
      </c>
    </row>
    <row r="89" spans="2:7" x14ac:dyDescent="0.25">
      <c r="B89" s="128" t="s">
        <v>304</v>
      </c>
      <c r="C89" s="129" t="s">
        <v>213</v>
      </c>
      <c r="D89" s="129">
        <f>[5]Amortizaciones!D31</f>
        <v>222505</v>
      </c>
      <c r="E89" s="102" t="s">
        <v>305</v>
      </c>
      <c r="F89" s="298" t="s">
        <v>306</v>
      </c>
      <c r="G89" s="299">
        <v>33625621</v>
      </c>
    </row>
    <row r="90" spans="2:7" x14ac:dyDescent="0.25">
      <c r="B90" s="128" t="s">
        <v>307</v>
      </c>
      <c r="C90" s="129" t="s">
        <v>229</v>
      </c>
      <c r="D90" s="129">
        <f>[5]Amortizaciones!D32</f>
        <v>39944</v>
      </c>
      <c r="E90" s="102" t="s">
        <v>308</v>
      </c>
      <c r="F90" s="298" t="s">
        <v>309</v>
      </c>
      <c r="G90" s="299"/>
    </row>
    <row r="91" spans="2:7" x14ac:dyDescent="0.25">
      <c r="B91" s="128" t="s">
        <v>310</v>
      </c>
      <c r="C91" s="129" t="s">
        <v>311</v>
      </c>
      <c r="D91" s="129">
        <f>SUM(D80:D90)</f>
        <v>867521</v>
      </c>
      <c r="E91" s="102" t="s">
        <v>312</v>
      </c>
      <c r="F91" s="298" t="s">
        <v>313</v>
      </c>
      <c r="G91" s="299"/>
    </row>
    <row r="92" spans="2:7" x14ac:dyDescent="0.25">
      <c r="B92" s="128"/>
      <c r="C92" s="131" t="s">
        <v>314</v>
      </c>
      <c r="D92" s="129">
        <f>D77+D91</f>
        <v>23496389</v>
      </c>
      <c r="E92" s="102" t="s">
        <v>315</v>
      </c>
      <c r="F92" s="298" t="s">
        <v>316</v>
      </c>
      <c r="G92" s="299"/>
    </row>
    <row r="93" spans="2:7" x14ac:dyDescent="0.25">
      <c r="E93" s="102" t="s">
        <v>317</v>
      </c>
      <c r="F93" s="298" t="s">
        <v>318</v>
      </c>
      <c r="G93" s="299">
        <v>109756</v>
      </c>
    </row>
    <row r="94" spans="2:7" x14ac:dyDescent="0.25">
      <c r="E94" s="102" t="s">
        <v>319</v>
      </c>
      <c r="F94" s="300" t="s">
        <v>320</v>
      </c>
      <c r="G94" s="301">
        <v>2336346</v>
      </c>
    </row>
    <row r="95" spans="2:7" ht="13.5" customHeight="1" thickBot="1" x14ac:dyDescent="0.3">
      <c r="E95" s="102"/>
      <c r="F95" s="105" t="s">
        <v>321</v>
      </c>
      <c r="G95" s="106">
        <f>SUM(G80:G94)</f>
        <v>60031099</v>
      </c>
    </row>
    <row r="96" spans="2:7" ht="15.75" thickTop="1" x14ac:dyDescent="0.25">
      <c r="E96" s="102" t="s">
        <v>322</v>
      </c>
      <c r="F96" s="296" t="s">
        <v>323</v>
      </c>
      <c r="G96" s="297">
        <v>1405279</v>
      </c>
    </row>
    <row r="97" spans="2:7" x14ac:dyDescent="0.25">
      <c r="E97" s="102" t="s">
        <v>324</v>
      </c>
      <c r="F97" s="298" t="s">
        <v>325</v>
      </c>
      <c r="G97" s="299">
        <v>4095690</v>
      </c>
    </row>
    <row r="98" spans="2:7" x14ac:dyDescent="0.25">
      <c r="E98" s="102" t="s">
        <v>326</v>
      </c>
      <c r="F98" s="298" t="s">
        <v>327</v>
      </c>
      <c r="G98" s="299">
        <v>952080</v>
      </c>
    </row>
    <row r="99" spans="2:7" x14ac:dyDescent="0.25">
      <c r="E99" s="102" t="s">
        <v>328</v>
      </c>
      <c r="F99" s="298" t="s">
        <v>329</v>
      </c>
      <c r="G99" s="299">
        <v>1847919</v>
      </c>
    </row>
    <row r="100" spans="2:7" x14ac:dyDescent="0.25">
      <c r="E100" s="102" t="s">
        <v>330</v>
      </c>
      <c r="F100" s="300" t="s">
        <v>331</v>
      </c>
      <c r="G100" s="301">
        <v>332040</v>
      </c>
    </row>
    <row r="101" spans="2:7" ht="15.75" thickBot="1" x14ac:dyDescent="0.3">
      <c r="E101" s="102"/>
      <c r="F101" s="105" t="s">
        <v>332</v>
      </c>
      <c r="G101" s="106">
        <f>SUM(G96:G100)</f>
        <v>8633008</v>
      </c>
    </row>
    <row r="102" spans="2:7" ht="16.5" thickTop="1" thickBot="1" x14ac:dyDescent="0.3">
      <c r="E102" s="102"/>
      <c r="F102" s="133" t="s">
        <v>333</v>
      </c>
      <c r="G102" s="134">
        <f>[5]Amortizaciones!D19</f>
        <v>22628868</v>
      </c>
    </row>
    <row r="103" spans="2:7" ht="15.75" thickTop="1" x14ac:dyDescent="0.25">
      <c r="E103" s="102" t="s">
        <v>334</v>
      </c>
      <c r="F103" s="296" t="s">
        <v>335</v>
      </c>
      <c r="G103" s="297"/>
    </row>
    <row r="104" spans="2:7" x14ac:dyDescent="0.25">
      <c r="E104" s="102" t="s">
        <v>336</v>
      </c>
      <c r="F104" s="300" t="s">
        <v>337</v>
      </c>
      <c r="G104" s="301"/>
    </row>
    <row r="105" spans="2:7" ht="15.75" thickBot="1" x14ac:dyDescent="0.3">
      <c r="E105" s="102"/>
      <c r="F105" s="105" t="s">
        <v>338</v>
      </c>
      <c r="G105" s="106">
        <f>SUM(G103:G104)</f>
        <v>0</v>
      </c>
    </row>
    <row r="106" spans="2:7" ht="13.7" customHeight="1" thickTop="1" thickBot="1" x14ac:dyDescent="0.3">
      <c r="B106" s="90"/>
      <c r="C106" s="135"/>
      <c r="D106" s="135"/>
      <c r="E106" s="102"/>
      <c r="F106" s="122" t="s">
        <v>339</v>
      </c>
      <c r="G106" s="123">
        <f>G19+G27+G32+G48+G57+G79+G95+G101+G102+G105</f>
        <v>1474622842</v>
      </c>
    </row>
    <row r="107" spans="2:7" ht="13.7" customHeight="1" thickTop="1" x14ac:dyDescent="0.25">
      <c r="B107" s="90"/>
      <c r="C107" s="135"/>
      <c r="D107" s="135"/>
      <c r="E107" s="102"/>
      <c r="F107" s="136"/>
      <c r="G107" s="137"/>
    </row>
    <row r="108" spans="2:7" ht="13.7" customHeight="1" thickBot="1" x14ac:dyDescent="0.3">
      <c r="B108" s="90"/>
      <c r="C108" s="135"/>
      <c r="D108" s="135"/>
      <c r="E108" s="102"/>
    </row>
    <row r="109" spans="2:7" ht="13.7" customHeight="1" thickTop="1" thickBot="1" x14ac:dyDescent="0.3">
      <c r="B109" s="90"/>
      <c r="C109" s="135"/>
      <c r="D109" s="135"/>
      <c r="E109" s="102"/>
      <c r="F109" s="97" t="s">
        <v>340</v>
      </c>
      <c r="G109" s="138">
        <f>D61-G106</f>
        <v>204058125</v>
      </c>
    </row>
    <row r="110" spans="2:7" ht="13.7" customHeight="1" thickTop="1" thickBot="1" x14ac:dyDescent="0.3">
      <c r="B110" s="90"/>
      <c r="C110" s="135"/>
      <c r="D110" s="135"/>
      <c r="E110" s="102"/>
    </row>
    <row r="111" spans="2:7" ht="13.7" customHeight="1" thickTop="1" thickBot="1" x14ac:dyDescent="0.3">
      <c r="C111" s="122" t="s">
        <v>270</v>
      </c>
      <c r="D111" s="100">
        <f>+[5]E.S.P.!D6</f>
        <v>2020</v>
      </c>
      <c r="E111" s="102"/>
      <c r="F111" s="122" t="s">
        <v>341</v>
      </c>
      <c r="G111" s="100">
        <f>+[5]E.S.P.!D6</f>
        <v>2020</v>
      </c>
    </row>
    <row r="112" spans="2:7" ht="13.7" customHeight="1" thickTop="1" x14ac:dyDescent="0.25">
      <c r="B112" s="90" t="s">
        <v>342</v>
      </c>
      <c r="C112" s="304" t="s">
        <v>343</v>
      </c>
      <c r="D112" s="305">
        <v>7823403</v>
      </c>
      <c r="E112" s="102" t="s">
        <v>344</v>
      </c>
      <c r="F112" s="304" t="s">
        <v>309</v>
      </c>
      <c r="G112" s="305">
        <v>249974</v>
      </c>
    </row>
    <row r="113" spans="2:7" ht="13.7" customHeight="1" x14ac:dyDescent="0.25">
      <c r="B113" s="90" t="s">
        <v>345</v>
      </c>
      <c r="C113" s="306" t="s">
        <v>346</v>
      </c>
      <c r="D113" s="307">
        <v>124786088</v>
      </c>
      <c r="E113" s="102" t="s">
        <v>347</v>
      </c>
      <c r="F113" s="306" t="s">
        <v>348</v>
      </c>
      <c r="G113" s="307"/>
    </row>
    <row r="114" spans="2:7" ht="13.7" customHeight="1" x14ac:dyDescent="0.25">
      <c r="B114" s="90" t="s">
        <v>349</v>
      </c>
      <c r="C114" s="306" t="s">
        <v>48</v>
      </c>
      <c r="D114" s="307">
        <v>10363588</v>
      </c>
      <c r="E114" s="102" t="s">
        <v>350</v>
      </c>
      <c r="F114" s="306" t="s">
        <v>351</v>
      </c>
      <c r="G114" s="307"/>
    </row>
    <row r="115" spans="2:7" ht="13.7" customHeight="1" x14ac:dyDescent="0.25">
      <c r="B115" s="90" t="s">
        <v>352</v>
      </c>
      <c r="C115" s="306" t="s">
        <v>353</v>
      </c>
      <c r="D115" s="307">
        <v>303563</v>
      </c>
      <c r="E115" s="102" t="s">
        <v>354</v>
      </c>
      <c r="F115" s="306" t="s">
        <v>355</v>
      </c>
      <c r="G115" s="307"/>
    </row>
    <row r="116" spans="2:7" ht="13.7" customHeight="1" x14ac:dyDescent="0.25">
      <c r="B116" s="90" t="s">
        <v>356</v>
      </c>
      <c r="C116" s="306" t="s">
        <v>357</v>
      </c>
      <c r="D116" s="307">
        <v>5080955</v>
      </c>
      <c r="E116" s="102" t="s">
        <v>358</v>
      </c>
      <c r="F116" s="306" t="s">
        <v>359</v>
      </c>
      <c r="G116" s="307"/>
    </row>
    <row r="117" spans="2:7" ht="13.7" customHeight="1" x14ac:dyDescent="0.25">
      <c r="B117" s="90" t="s">
        <v>360</v>
      </c>
      <c r="C117" s="306" t="s">
        <v>361</v>
      </c>
      <c r="D117" s="307">
        <v>978017</v>
      </c>
      <c r="E117" s="102" t="s">
        <v>362</v>
      </c>
      <c r="F117" s="306" t="s">
        <v>363</v>
      </c>
      <c r="G117" s="307"/>
    </row>
    <row r="118" spans="2:7" ht="13.7" customHeight="1" x14ac:dyDescent="0.25">
      <c r="B118" s="90" t="s">
        <v>364</v>
      </c>
      <c r="C118" s="306" t="s">
        <v>365</v>
      </c>
      <c r="D118" s="307"/>
      <c r="E118" s="102" t="s">
        <v>366</v>
      </c>
      <c r="F118" s="306" t="s">
        <v>367</v>
      </c>
      <c r="G118" s="307"/>
    </row>
    <row r="119" spans="2:7" ht="13.7" customHeight="1" x14ac:dyDescent="0.25">
      <c r="B119" s="90" t="s">
        <v>368</v>
      </c>
      <c r="C119" s="306" t="s">
        <v>369</v>
      </c>
      <c r="D119" s="307">
        <v>1602125</v>
      </c>
      <c r="E119" s="102" t="s">
        <v>370</v>
      </c>
      <c r="F119" s="306" t="s">
        <v>371</v>
      </c>
      <c r="G119" s="307"/>
    </row>
    <row r="120" spans="2:7" ht="13.7" customHeight="1" x14ac:dyDescent="0.25">
      <c r="B120" s="90" t="s">
        <v>372</v>
      </c>
      <c r="C120" s="306" t="s">
        <v>373</v>
      </c>
      <c r="D120" s="307"/>
      <c r="E120" s="102" t="s">
        <v>374</v>
      </c>
      <c r="F120" s="306" t="s">
        <v>375</v>
      </c>
      <c r="G120" s="307"/>
    </row>
    <row r="121" spans="2:7" ht="13.7" customHeight="1" x14ac:dyDescent="0.25">
      <c r="B121" s="90" t="s">
        <v>376</v>
      </c>
      <c r="C121" s="300" t="s">
        <v>377</v>
      </c>
      <c r="D121" s="308">
        <v>6784693</v>
      </c>
      <c r="E121" s="102" t="s">
        <v>378</v>
      </c>
      <c r="F121" s="306" t="s">
        <v>379</v>
      </c>
      <c r="G121" s="307">
        <v>457930</v>
      </c>
    </row>
    <row r="122" spans="2:7" ht="13.7" customHeight="1" thickBot="1" x14ac:dyDescent="0.3">
      <c r="B122" s="90"/>
      <c r="C122" s="105" t="s">
        <v>380</v>
      </c>
      <c r="D122" s="114">
        <f>SUM(D112:D121)</f>
        <v>157722432</v>
      </c>
      <c r="E122" s="102" t="s">
        <v>381</v>
      </c>
      <c r="F122" s="300" t="s">
        <v>382</v>
      </c>
      <c r="G122" s="301">
        <v>45138</v>
      </c>
    </row>
    <row r="123" spans="2:7" ht="13.7" customHeight="1" thickTop="1" thickBot="1" x14ac:dyDescent="0.3">
      <c r="B123" s="90" t="s">
        <v>383</v>
      </c>
      <c r="C123" s="304" t="s">
        <v>309</v>
      </c>
      <c r="D123" s="305">
        <v>6164849</v>
      </c>
      <c r="E123" s="102"/>
      <c r="F123" s="105" t="s">
        <v>384</v>
      </c>
      <c r="G123" s="114">
        <f>SUM(G112:G122)</f>
        <v>753042</v>
      </c>
    </row>
    <row r="124" spans="2:7" ht="13.7" customHeight="1" thickTop="1" x14ac:dyDescent="0.25">
      <c r="B124" s="90" t="s">
        <v>385</v>
      </c>
      <c r="C124" s="306" t="s">
        <v>313</v>
      </c>
      <c r="D124" s="307">
        <v>4094510</v>
      </c>
      <c r="E124" s="102" t="s">
        <v>386</v>
      </c>
      <c r="F124" s="304" t="s">
        <v>387</v>
      </c>
      <c r="G124" s="305"/>
    </row>
    <row r="125" spans="2:7" ht="13.7" customHeight="1" x14ac:dyDescent="0.25">
      <c r="B125" s="90" t="s">
        <v>388</v>
      </c>
      <c r="C125" s="300" t="s">
        <v>389</v>
      </c>
      <c r="D125" s="308">
        <v>405615</v>
      </c>
      <c r="E125" s="102" t="s">
        <v>390</v>
      </c>
      <c r="F125" s="306" t="s">
        <v>391</v>
      </c>
      <c r="G125" s="307">
        <v>31277</v>
      </c>
    </row>
    <row r="126" spans="2:7" ht="13.7" customHeight="1" thickBot="1" x14ac:dyDescent="0.3">
      <c r="B126" s="90"/>
      <c r="C126" s="105" t="s">
        <v>392</v>
      </c>
      <c r="D126" s="114">
        <f>SUM(D123:D125)</f>
        <v>10664974</v>
      </c>
      <c r="E126" s="102" t="s">
        <v>393</v>
      </c>
      <c r="F126" s="306" t="s">
        <v>394</v>
      </c>
      <c r="G126" s="307"/>
    </row>
    <row r="127" spans="2:7" ht="13.7" customHeight="1" thickTop="1" x14ac:dyDescent="0.25">
      <c r="B127" s="90" t="s">
        <v>395</v>
      </c>
      <c r="C127" s="304" t="s">
        <v>274</v>
      </c>
      <c r="D127" s="305">
        <v>2182701</v>
      </c>
      <c r="E127" s="102" t="s">
        <v>396</v>
      </c>
      <c r="F127" s="306" t="s">
        <v>397</v>
      </c>
      <c r="G127" s="307"/>
    </row>
    <row r="128" spans="2:7" ht="13.7" customHeight="1" x14ac:dyDescent="0.25">
      <c r="B128" s="90" t="s">
        <v>398</v>
      </c>
      <c r="C128" s="306" t="s">
        <v>399</v>
      </c>
      <c r="D128" s="307">
        <v>1876290</v>
      </c>
      <c r="E128" s="102" t="s">
        <v>400</v>
      </c>
      <c r="F128" s="306" t="s">
        <v>401</v>
      </c>
      <c r="G128" s="307"/>
    </row>
    <row r="129" spans="2:7" ht="13.7" customHeight="1" x14ac:dyDescent="0.25">
      <c r="B129" s="90" t="s">
        <v>402</v>
      </c>
      <c r="C129" s="306" t="s">
        <v>277</v>
      </c>
      <c r="D129" s="307">
        <v>3559</v>
      </c>
      <c r="E129" s="102" t="s">
        <v>403</v>
      </c>
      <c r="F129" s="306" t="s">
        <v>404</v>
      </c>
      <c r="G129" s="307">
        <v>126958</v>
      </c>
    </row>
    <row r="130" spans="2:7" ht="13.7" customHeight="1" x14ac:dyDescent="0.25">
      <c r="B130" s="90" t="s">
        <v>405</v>
      </c>
      <c r="C130" s="306" t="s">
        <v>283</v>
      </c>
      <c r="D130" s="307">
        <v>109065</v>
      </c>
      <c r="E130" s="102" t="s">
        <v>406</v>
      </c>
      <c r="F130" s="306" t="s">
        <v>407</v>
      </c>
      <c r="G130" s="307"/>
    </row>
    <row r="131" spans="2:7" ht="13.7" customHeight="1" x14ac:dyDescent="0.25">
      <c r="B131" s="90" t="s">
        <v>408</v>
      </c>
      <c r="C131" s="306" t="s">
        <v>287</v>
      </c>
      <c r="D131" s="307">
        <v>208277</v>
      </c>
      <c r="E131" s="102" t="s">
        <v>409</v>
      </c>
      <c r="F131" s="306" t="s">
        <v>410</v>
      </c>
      <c r="G131" s="307"/>
    </row>
    <row r="132" spans="2:7" ht="13.7" customHeight="1" x14ac:dyDescent="0.25">
      <c r="B132" s="90" t="s">
        <v>411</v>
      </c>
      <c r="C132" s="306" t="s">
        <v>291</v>
      </c>
      <c r="D132" s="307">
        <v>906068</v>
      </c>
      <c r="E132" s="102" t="s">
        <v>412</v>
      </c>
      <c r="F132" s="306" t="s">
        <v>413</v>
      </c>
      <c r="G132" s="307"/>
    </row>
    <row r="133" spans="2:7" ht="13.7" customHeight="1" x14ac:dyDescent="0.25">
      <c r="B133" s="90" t="s">
        <v>414</v>
      </c>
      <c r="C133" s="306" t="s">
        <v>295</v>
      </c>
      <c r="D133" s="307"/>
      <c r="E133" s="102" t="s">
        <v>415</v>
      </c>
      <c r="F133" s="306" t="s">
        <v>416</v>
      </c>
      <c r="G133" s="307">
        <v>520000</v>
      </c>
    </row>
    <row r="134" spans="2:7" ht="13.7" customHeight="1" x14ac:dyDescent="0.25">
      <c r="B134" s="90" t="s">
        <v>417</v>
      </c>
      <c r="C134" s="306" t="s">
        <v>418</v>
      </c>
      <c r="D134" s="307">
        <v>13895095</v>
      </c>
      <c r="E134" s="102" t="s">
        <v>419</v>
      </c>
      <c r="F134" s="306" t="s">
        <v>420</v>
      </c>
      <c r="G134" s="307"/>
    </row>
    <row r="135" spans="2:7" ht="13.7" customHeight="1" x14ac:dyDescent="0.25">
      <c r="B135" s="90" t="s">
        <v>421</v>
      </c>
      <c r="C135" s="306" t="s">
        <v>422</v>
      </c>
      <c r="D135" s="307"/>
      <c r="E135" s="102" t="s">
        <v>423</v>
      </c>
      <c r="F135" s="306" t="s">
        <v>424</v>
      </c>
      <c r="G135" s="307"/>
    </row>
    <row r="136" spans="2:7" ht="13.7" customHeight="1" x14ac:dyDescent="0.25">
      <c r="B136" s="90" t="s">
        <v>425</v>
      </c>
      <c r="C136" s="306" t="s">
        <v>318</v>
      </c>
      <c r="D136" s="307">
        <v>1148781</v>
      </c>
      <c r="E136" s="102" t="s">
        <v>426</v>
      </c>
      <c r="F136" s="306" t="s">
        <v>427</v>
      </c>
      <c r="G136" s="307"/>
    </row>
    <row r="137" spans="2:7" ht="13.7" customHeight="1" x14ac:dyDescent="0.25">
      <c r="B137" s="90" t="s">
        <v>428</v>
      </c>
      <c r="C137" s="300" t="s">
        <v>320</v>
      </c>
      <c r="D137" s="308">
        <v>920820</v>
      </c>
      <c r="E137" s="102" t="s">
        <v>429</v>
      </c>
      <c r="F137" s="306" t="s">
        <v>430</v>
      </c>
      <c r="G137" s="307">
        <v>6111483</v>
      </c>
    </row>
    <row r="138" spans="2:7" ht="13.7" customHeight="1" thickBot="1" x14ac:dyDescent="0.3">
      <c r="B138" s="90"/>
      <c r="C138" s="105" t="s">
        <v>321</v>
      </c>
      <c r="D138" s="114">
        <f>SUM(D127:D137)</f>
        <v>21250656</v>
      </c>
      <c r="E138" s="102" t="s">
        <v>431</v>
      </c>
      <c r="F138" s="300" t="s">
        <v>432</v>
      </c>
      <c r="G138" s="301">
        <v>245829</v>
      </c>
    </row>
    <row r="139" spans="2:7" ht="13.7" customHeight="1" thickTop="1" thickBot="1" x14ac:dyDescent="0.3">
      <c r="B139" s="90" t="s">
        <v>433</v>
      </c>
      <c r="C139" s="304" t="s">
        <v>327</v>
      </c>
      <c r="D139" s="305"/>
      <c r="E139" s="90"/>
      <c r="F139" s="105" t="s">
        <v>434</v>
      </c>
      <c r="G139" s="114">
        <f>SUM(G124:G138)</f>
        <v>7035547</v>
      </c>
    </row>
    <row r="140" spans="2:7" ht="13.7" customHeight="1" thickTop="1" thickBot="1" x14ac:dyDescent="0.3">
      <c r="B140" s="90" t="s">
        <v>435</v>
      </c>
      <c r="C140" s="306" t="s">
        <v>329</v>
      </c>
      <c r="D140" s="307">
        <v>23696</v>
      </c>
      <c r="E140" s="90"/>
      <c r="F140" s="122" t="s">
        <v>436</v>
      </c>
      <c r="G140" s="139">
        <f>G123-G139</f>
        <v>-6282505</v>
      </c>
    </row>
    <row r="141" spans="2:7" ht="13.7" customHeight="1" thickTop="1" x14ac:dyDescent="0.25">
      <c r="B141" s="90" t="s">
        <v>437</v>
      </c>
      <c r="C141" s="300" t="s">
        <v>331</v>
      </c>
      <c r="D141" s="308">
        <v>1384</v>
      </c>
      <c r="E141" s="140"/>
    </row>
    <row r="142" spans="2:7" ht="13.7" customHeight="1" thickBot="1" x14ac:dyDescent="0.3">
      <c r="B142" s="90"/>
      <c r="C142" s="105" t="s">
        <v>332</v>
      </c>
      <c r="D142" s="114">
        <f>SUM(D139:D141)</f>
        <v>25080</v>
      </c>
      <c r="E142" s="140"/>
    </row>
    <row r="143" spans="2:7" ht="13.7" customHeight="1" thickTop="1" thickBot="1" x14ac:dyDescent="0.3">
      <c r="B143" s="90"/>
      <c r="C143" s="133" t="s">
        <v>438</v>
      </c>
      <c r="D143" s="141">
        <f>[5]Amortizaciones!D33</f>
        <v>867521</v>
      </c>
      <c r="E143" s="102"/>
      <c r="F143" s="122" t="s">
        <v>439</v>
      </c>
      <c r="G143" s="100">
        <f>+[5]E.S.P.!D6</f>
        <v>2020</v>
      </c>
    </row>
    <row r="144" spans="2:7" ht="13.7" customHeight="1" thickTop="1" x14ac:dyDescent="0.25">
      <c r="B144" s="90" t="s">
        <v>440</v>
      </c>
      <c r="C144" s="304" t="s">
        <v>441</v>
      </c>
      <c r="D144" s="305">
        <v>1828061</v>
      </c>
      <c r="E144" s="102" t="s">
        <v>442</v>
      </c>
      <c r="F144" s="304" t="s">
        <v>443</v>
      </c>
      <c r="G144" s="305">
        <v>2019835</v>
      </c>
    </row>
    <row r="145" spans="2:7" ht="13.7" customHeight="1" x14ac:dyDescent="0.25">
      <c r="B145" s="90" t="s">
        <v>444</v>
      </c>
      <c r="C145" s="306" t="s">
        <v>445</v>
      </c>
      <c r="D145" s="307">
        <v>241374</v>
      </c>
      <c r="E145" s="102" t="s">
        <v>446</v>
      </c>
      <c r="F145" s="306" t="s">
        <v>447</v>
      </c>
      <c r="G145" s="307">
        <v>13906717</v>
      </c>
    </row>
    <row r="146" spans="2:7" ht="13.7" customHeight="1" x14ac:dyDescent="0.25">
      <c r="B146" s="90" t="s">
        <v>448</v>
      </c>
      <c r="C146" s="306" t="s">
        <v>449</v>
      </c>
      <c r="D146" s="307"/>
      <c r="E146" s="102" t="s">
        <v>450</v>
      </c>
      <c r="F146" s="306" t="s">
        <v>451</v>
      </c>
      <c r="G146" s="307">
        <v>533632</v>
      </c>
    </row>
    <row r="147" spans="2:7" ht="13.7" customHeight="1" x14ac:dyDescent="0.25">
      <c r="B147" s="90" t="s">
        <v>452</v>
      </c>
      <c r="C147" s="300" t="s">
        <v>453</v>
      </c>
      <c r="D147" s="308">
        <v>108124</v>
      </c>
      <c r="E147" s="102" t="s">
        <v>454</v>
      </c>
      <c r="F147" s="306" t="s">
        <v>455</v>
      </c>
      <c r="G147" s="307"/>
    </row>
    <row r="148" spans="2:7" ht="13.7" customHeight="1" thickBot="1" x14ac:dyDescent="0.3">
      <c r="B148" s="90"/>
      <c r="C148" s="105" t="s">
        <v>456</v>
      </c>
      <c r="D148" s="114">
        <f>SUM(D144:D147)</f>
        <v>2177559</v>
      </c>
      <c r="E148" s="102" t="s">
        <v>457</v>
      </c>
      <c r="F148" s="306" t="s">
        <v>458</v>
      </c>
      <c r="G148" s="307"/>
    </row>
    <row r="149" spans="2:7" ht="13.7" customHeight="1" thickTop="1" x14ac:dyDescent="0.25">
      <c r="B149" s="90" t="s">
        <v>459</v>
      </c>
      <c r="C149" s="304" t="s">
        <v>460</v>
      </c>
      <c r="D149" s="305"/>
      <c r="E149" s="102" t="s">
        <v>461</v>
      </c>
      <c r="F149" s="306" t="s">
        <v>462</v>
      </c>
      <c r="G149" s="307"/>
    </row>
    <row r="150" spans="2:7" ht="13.7" customHeight="1" x14ac:dyDescent="0.25">
      <c r="B150" s="90" t="s">
        <v>463</v>
      </c>
      <c r="C150" s="306" t="s">
        <v>464</v>
      </c>
      <c r="D150" s="307"/>
      <c r="E150" s="102" t="s">
        <v>465</v>
      </c>
      <c r="F150" s="306" t="s">
        <v>466</v>
      </c>
      <c r="G150" s="307"/>
    </row>
    <row r="151" spans="2:7" ht="13.7" customHeight="1" x14ac:dyDescent="0.25">
      <c r="B151" s="90" t="s">
        <v>467</v>
      </c>
      <c r="C151" s="300" t="s">
        <v>468</v>
      </c>
      <c r="D151" s="308"/>
      <c r="E151" s="102" t="s">
        <v>469</v>
      </c>
      <c r="F151" s="306" t="s">
        <v>470</v>
      </c>
      <c r="G151" s="307">
        <v>7038167</v>
      </c>
    </row>
    <row r="152" spans="2:7" ht="13.7" customHeight="1" thickBot="1" x14ac:dyDescent="0.3">
      <c r="B152" s="90"/>
      <c r="C152" s="105" t="s">
        <v>471</v>
      </c>
      <c r="D152" s="114">
        <f>SUM(D149:D151)</f>
        <v>0</v>
      </c>
      <c r="E152" s="102" t="s">
        <v>472</v>
      </c>
      <c r="F152" s="306" t="s">
        <v>473</v>
      </c>
      <c r="G152" s="307">
        <v>483970</v>
      </c>
    </row>
    <row r="153" spans="2:7" ht="13.7" customHeight="1" thickTop="1" thickBot="1" x14ac:dyDescent="0.3">
      <c r="B153" s="90"/>
      <c r="C153" s="122" t="s">
        <v>474</v>
      </c>
      <c r="D153" s="123">
        <f>D122+D126+D138+D142+D143+D148+D152</f>
        <v>192708222</v>
      </c>
      <c r="E153" s="102" t="s">
        <v>475</v>
      </c>
      <c r="F153" s="300" t="s">
        <v>476</v>
      </c>
      <c r="G153" s="301">
        <v>562241</v>
      </c>
    </row>
    <row r="154" spans="2:7" ht="13.7" customHeight="1" thickTop="1" thickBot="1" x14ac:dyDescent="0.3">
      <c r="B154" s="90"/>
      <c r="E154" s="102"/>
      <c r="F154" s="105" t="s">
        <v>477</v>
      </c>
      <c r="G154" s="114">
        <f>SUM(G144:G153)</f>
        <v>24544562</v>
      </c>
    </row>
    <row r="155" spans="2:7" ht="13.7" customHeight="1" thickTop="1" thickBot="1" x14ac:dyDescent="0.3">
      <c r="B155" s="90"/>
      <c r="C155" s="97" t="s">
        <v>478</v>
      </c>
      <c r="D155" s="138">
        <f>G109-D153</f>
        <v>11349903</v>
      </c>
      <c r="E155" s="102" t="s">
        <v>479</v>
      </c>
      <c r="F155" s="304" t="s">
        <v>480</v>
      </c>
      <c r="G155" s="305">
        <v>2173450</v>
      </c>
    </row>
    <row r="156" spans="2:7" ht="13.7" customHeight="1" thickTop="1" x14ac:dyDescent="0.25">
      <c r="E156" s="102" t="s">
        <v>481</v>
      </c>
      <c r="F156" s="306" t="s">
        <v>482</v>
      </c>
      <c r="G156" s="307">
        <v>11610583</v>
      </c>
    </row>
    <row r="157" spans="2:7" ht="13.7" customHeight="1" x14ac:dyDescent="0.25">
      <c r="E157" s="102" t="s">
        <v>483</v>
      </c>
      <c r="F157" s="306" t="s">
        <v>484</v>
      </c>
      <c r="G157" s="307">
        <v>6997</v>
      </c>
    </row>
    <row r="158" spans="2:7" ht="13.7" customHeight="1" x14ac:dyDescent="0.25">
      <c r="E158" s="102" t="s">
        <v>485</v>
      </c>
      <c r="F158" s="306" t="s">
        <v>486</v>
      </c>
      <c r="G158" s="307"/>
    </row>
    <row r="159" spans="2:7" ht="13.7" customHeight="1" x14ac:dyDescent="0.25">
      <c r="E159" s="102" t="s">
        <v>487</v>
      </c>
      <c r="F159" s="306" t="s">
        <v>488</v>
      </c>
      <c r="G159" s="307"/>
    </row>
    <row r="160" spans="2:7" ht="13.7" customHeight="1" x14ac:dyDescent="0.25">
      <c r="E160" s="102" t="s">
        <v>489</v>
      </c>
      <c r="F160" s="306" t="s">
        <v>490</v>
      </c>
      <c r="G160" s="307">
        <v>29493</v>
      </c>
    </row>
    <row r="161" spans="5:7" ht="13.7" customHeight="1" x14ac:dyDescent="0.25">
      <c r="E161" s="102" t="s">
        <v>491</v>
      </c>
      <c r="F161" s="306" t="s">
        <v>492</v>
      </c>
      <c r="G161" s="307"/>
    </row>
    <row r="162" spans="5:7" ht="13.7" customHeight="1" x14ac:dyDescent="0.25">
      <c r="E162" s="102" t="s">
        <v>493</v>
      </c>
      <c r="F162" s="306" t="s">
        <v>494</v>
      </c>
      <c r="G162" s="307"/>
    </row>
    <row r="163" spans="5:7" ht="13.7" customHeight="1" x14ac:dyDescent="0.25">
      <c r="E163" s="102" t="s">
        <v>495</v>
      </c>
      <c r="F163" s="306" t="s">
        <v>496</v>
      </c>
      <c r="G163" s="307"/>
    </row>
    <row r="164" spans="5:7" ht="13.7" customHeight="1" x14ac:dyDescent="0.25">
      <c r="E164" s="102" t="s">
        <v>497</v>
      </c>
      <c r="F164" s="306" t="s">
        <v>498</v>
      </c>
      <c r="G164" s="307"/>
    </row>
    <row r="165" spans="5:7" ht="13.7" customHeight="1" x14ac:dyDescent="0.25">
      <c r="E165" s="102" t="s">
        <v>499</v>
      </c>
      <c r="F165" s="306" t="s">
        <v>500</v>
      </c>
      <c r="G165" s="307"/>
    </row>
    <row r="166" spans="5:7" ht="13.7" customHeight="1" x14ac:dyDescent="0.25">
      <c r="E166" s="102" t="s">
        <v>501</v>
      </c>
      <c r="F166" s="306" t="s">
        <v>502</v>
      </c>
      <c r="G166" s="307">
        <v>296056</v>
      </c>
    </row>
    <row r="167" spans="5:7" ht="13.7" customHeight="1" x14ac:dyDescent="0.25">
      <c r="E167" s="102" t="s">
        <v>503</v>
      </c>
      <c r="F167" s="300" t="s">
        <v>504</v>
      </c>
      <c r="G167" s="301">
        <v>387784</v>
      </c>
    </row>
    <row r="168" spans="5:7" ht="13.7" customHeight="1" thickBot="1" x14ac:dyDescent="0.3">
      <c r="E168" s="102"/>
      <c r="F168" s="105" t="s">
        <v>505</v>
      </c>
      <c r="G168" s="114">
        <f>SUM(G155:G167)</f>
        <v>14504363</v>
      </c>
    </row>
    <row r="169" spans="5:7" ht="13.7" customHeight="1" thickTop="1" thickBot="1" x14ac:dyDescent="0.3">
      <c r="E169" s="102"/>
      <c r="F169" s="122" t="s">
        <v>506</v>
      </c>
      <c r="G169" s="139">
        <f>G154-G168</f>
        <v>10040199</v>
      </c>
    </row>
    <row r="170" spans="5:7" ht="13.7" customHeight="1" thickTop="1" thickBot="1" x14ac:dyDescent="0.3">
      <c r="E170" s="102"/>
      <c r="F170" s="142"/>
      <c r="G170" s="142"/>
    </row>
    <row r="171" spans="5:7" ht="13.7" customHeight="1" thickTop="1" thickBot="1" x14ac:dyDescent="0.3">
      <c r="E171" s="102"/>
      <c r="F171" s="97" t="s">
        <v>507</v>
      </c>
      <c r="G171" s="143"/>
    </row>
    <row r="172" spans="5:7" ht="13.7" customHeight="1" thickTop="1" thickBot="1" x14ac:dyDescent="0.3">
      <c r="E172" s="102"/>
      <c r="F172" s="144"/>
      <c r="G172" s="145">
        <f>+D155+G140+G169</f>
        <v>15107597</v>
      </c>
    </row>
    <row r="173" spans="5:7" ht="13.7" customHeight="1" thickTop="1" thickBot="1" x14ac:dyDescent="0.3">
      <c r="E173" s="102"/>
    </row>
    <row r="174" spans="5:7" ht="13.7" customHeight="1" thickTop="1" thickBot="1" x14ac:dyDescent="0.3">
      <c r="E174" s="102"/>
      <c r="F174" s="122" t="s">
        <v>508</v>
      </c>
      <c r="G174" s="100">
        <f>+G143</f>
        <v>2020</v>
      </c>
    </row>
    <row r="175" spans="5:7" ht="13.7" customHeight="1" thickTop="1" x14ac:dyDescent="0.25">
      <c r="E175" s="102"/>
      <c r="F175" s="304" t="s">
        <v>509</v>
      </c>
      <c r="G175" s="305"/>
    </row>
    <row r="176" spans="5:7" ht="13.7" customHeight="1" x14ac:dyDescent="0.25">
      <c r="E176" s="102"/>
      <c r="F176" s="306" t="s">
        <v>510</v>
      </c>
      <c r="G176" s="307"/>
    </row>
    <row r="177" spans="1:8" ht="13.7" customHeight="1" thickBot="1" x14ac:dyDescent="0.3">
      <c r="F177" s="309" t="s">
        <v>511</v>
      </c>
      <c r="G177" s="310"/>
    </row>
    <row r="178" spans="1:8" ht="13.7" customHeight="1" thickTop="1" thickBot="1" x14ac:dyDescent="0.3">
      <c r="F178" s="122" t="s">
        <v>512</v>
      </c>
      <c r="G178" s="139">
        <f>SUM(G175:G177)</f>
        <v>0</v>
      </c>
    </row>
    <row r="179" spans="1:8" ht="13.7" customHeight="1" thickTop="1" thickBot="1" x14ac:dyDescent="0.3"/>
    <row r="180" spans="1:8" ht="13.7" customHeight="1" thickTop="1" thickBot="1" x14ac:dyDescent="0.3">
      <c r="F180" s="97" t="s">
        <v>513</v>
      </c>
      <c r="G180" s="143"/>
    </row>
    <row r="181" spans="1:8" ht="13.7" customHeight="1" thickTop="1" thickBot="1" x14ac:dyDescent="0.3">
      <c r="F181" s="147"/>
      <c r="G181" s="145">
        <f>+G172+G178</f>
        <v>15107597</v>
      </c>
    </row>
    <row r="182" spans="1:8" ht="13.7" customHeight="1" thickTop="1" x14ac:dyDescent="0.25"/>
    <row r="183" spans="1:8" ht="13.5" customHeight="1" x14ac:dyDescent="0.25"/>
    <row r="184" spans="1:8" ht="13.7" customHeight="1" x14ac:dyDescent="0.25">
      <c r="F184" s="125"/>
      <c r="G184" s="125"/>
      <c r="H184" s="148"/>
    </row>
    <row r="185" spans="1:8" s="148" customFormat="1" ht="13.7" customHeight="1" x14ac:dyDescent="0.25">
      <c r="A185" s="149"/>
      <c r="B185" s="150"/>
      <c r="C185" s="125"/>
      <c r="D185" s="125"/>
      <c r="E185" s="146"/>
      <c r="F185" s="125"/>
      <c r="G185" s="125"/>
    </row>
    <row r="186" spans="1:8" s="148" customFormat="1" ht="12.75" x14ac:dyDescent="0.25">
      <c r="A186" s="149"/>
      <c r="B186" s="150"/>
      <c r="C186" s="125"/>
      <c r="D186" s="125"/>
      <c r="E186" s="146"/>
      <c r="F186" s="125"/>
      <c r="G186" s="125"/>
    </row>
    <row r="187" spans="1:8" s="148" customFormat="1" ht="12.75" hidden="1" x14ac:dyDescent="0.25">
      <c r="A187" s="149"/>
      <c r="B187" s="150"/>
      <c r="C187" s="125"/>
      <c r="D187" s="125"/>
      <c r="E187" s="146"/>
      <c r="F187" s="125"/>
      <c r="G187" s="125"/>
    </row>
    <row r="188" spans="1:8" s="148" customFormat="1" ht="12.75" hidden="1" x14ac:dyDescent="0.25">
      <c r="A188" s="149"/>
      <c r="B188" s="150"/>
      <c r="C188" s="125"/>
      <c r="D188" s="125"/>
      <c r="E188" s="146"/>
      <c r="F188" s="125"/>
      <c r="G188" s="125"/>
    </row>
    <row r="189" spans="1:8" s="148" customFormat="1" ht="12.75" hidden="1" x14ac:dyDescent="0.25">
      <c r="A189" s="149"/>
      <c r="B189" s="150"/>
      <c r="C189" s="125"/>
      <c r="D189" s="125"/>
      <c r="E189" s="146"/>
      <c r="F189" s="125"/>
      <c r="G189" s="125"/>
    </row>
    <row r="190" spans="1:8" s="148" customFormat="1" ht="12.75" hidden="1" x14ac:dyDescent="0.25">
      <c r="A190" s="149"/>
      <c r="B190" s="150"/>
      <c r="C190" s="125"/>
      <c r="D190" s="125"/>
      <c r="E190" s="146"/>
      <c r="F190" s="125"/>
      <c r="G190" s="125"/>
    </row>
    <row r="191" spans="1:8" s="148" customFormat="1" ht="12.75" hidden="1" x14ac:dyDescent="0.25">
      <c r="A191" s="149"/>
      <c r="B191" s="150"/>
      <c r="C191" s="125"/>
      <c r="D191" s="125"/>
      <c r="E191" s="146"/>
      <c r="F191" s="125"/>
      <c r="G191" s="125"/>
    </row>
    <row r="192" spans="1:8" s="148" customFormat="1" ht="12.75" hidden="1" x14ac:dyDescent="0.25">
      <c r="A192" s="149"/>
      <c r="B192" s="150"/>
      <c r="C192" s="125"/>
      <c r="D192" s="125"/>
      <c r="E192" s="146"/>
      <c r="F192" s="125"/>
      <c r="G192" s="125"/>
    </row>
    <row r="193" spans="2:7" s="148" customFormat="1" ht="12.75" hidden="1" x14ac:dyDescent="0.25">
      <c r="B193" s="150"/>
      <c r="C193" s="125"/>
      <c r="D193" s="125"/>
      <c r="E193" s="146"/>
      <c r="F193" s="125"/>
      <c r="G193" s="125"/>
    </row>
    <row r="194" spans="2:7" s="148" customFormat="1" ht="12.75" hidden="1" x14ac:dyDescent="0.25">
      <c r="B194" s="150"/>
      <c r="C194" s="125"/>
      <c r="D194" s="125"/>
      <c r="E194" s="146"/>
      <c r="F194" s="125"/>
      <c r="G194" s="125"/>
    </row>
    <row r="195" spans="2:7" s="148" customFormat="1" ht="12.75" hidden="1" x14ac:dyDescent="0.25">
      <c r="B195" s="150"/>
      <c r="C195" s="125"/>
      <c r="D195" s="125"/>
      <c r="E195" s="146"/>
      <c r="F195" s="125"/>
      <c r="G195" s="125"/>
    </row>
    <row r="196" spans="2:7" s="148" customFormat="1" ht="12.75" hidden="1" x14ac:dyDescent="0.25">
      <c r="B196" s="150"/>
      <c r="C196" s="125"/>
      <c r="D196" s="125"/>
      <c r="E196" s="146"/>
      <c r="F196" s="125"/>
      <c r="G196" s="125"/>
    </row>
    <row r="197" spans="2:7" s="148" customFormat="1" ht="12.75" hidden="1" x14ac:dyDescent="0.25">
      <c r="B197" s="150"/>
      <c r="C197" s="125"/>
      <c r="D197" s="125"/>
      <c r="E197" s="146"/>
      <c r="F197" s="125"/>
      <c r="G197" s="125"/>
    </row>
    <row r="198" spans="2:7" s="148" customFormat="1" ht="12.75" hidden="1" x14ac:dyDescent="0.25">
      <c r="B198" s="150"/>
      <c r="C198" s="125"/>
      <c r="D198" s="125"/>
      <c r="E198" s="146"/>
      <c r="F198" s="125"/>
      <c r="G198" s="125"/>
    </row>
    <row r="199" spans="2:7" s="148" customFormat="1" ht="12.75" hidden="1" x14ac:dyDescent="0.25">
      <c r="B199" s="150"/>
      <c r="C199" s="125"/>
      <c r="D199" s="125"/>
      <c r="E199" s="146"/>
      <c r="F199" s="125"/>
      <c r="G199" s="125"/>
    </row>
    <row r="200" spans="2:7" s="148" customFormat="1" ht="12.75" hidden="1" x14ac:dyDescent="0.25">
      <c r="B200" s="150"/>
      <c r="C200" s="125"/>
      <c r="D200" s="125"/>
      <c r="E200" s="146"/>
      <c r="F200" s="125"/>
      <c r="G200" s="125"/>
    </row>
    <row r="201" spans="2:7" s="148" customFormat="1" ht="12.75" hidden="1" x14ac:dyDescent="0.25">
      <c r="B201" s="150"/>
      <c r="C201" s="125"/>
      <c r="D201" s="125"/>
      <c r="E201" s="146"/>
      <c r="F201" s="125"/>
      <c r="G201" s="125"/>
    </row>
    <row r="202" spans="2:7" s="148" customFormat="1" ht="12.75" hidden="1" x14ac:dyDescent="0.25">
      <c r="B202" s="150"/>
      <c r="C202" s="125"/>
      <c r="D202" s="125"/>
      <c r="E202" s="146"/>
      <c r="F202" s="125"/>
      <c r="G202" s="125"/>
    </row>
    <row r="203" spans="2:7" s="148" customFormat="1" ht="12.75" hidden="1" x14ac:dyDescent="0.25">
      <c r="B203" s="150"/>
      <c r="C203" s="125"/>
      <c r="D203" s="125"/>
      <c r="E203" s="146"/>
      <c r="F203" s="125"/>
      <c r="G203" s="125"/>
    </row>
    <row r="204" spans="2:7" s="148" customFormat="1" ht="12.75" hidden="1" x14ac:dyDescent="0.25">
      <c r="B204" s="150"/>
      <c r="C204" s="125"/>
      <c r="D204" s="125"/>
      <c r="E204" s="146"/>
      <c r="F204" s="125"/>
      <c r="G204" s="125"/>
    </row>
    <row r="205" spans="2:7" s="148" customFormat="1" ht="12.75" hidden="1" x14ac:dyDescent="0.25">
      <c r="B205" s="150"/>
      <c r="C205" s="125"/>
      <c r="D205" s="125"/>
      <c r="E205" s="146"/>
      <c r="F205" s="125"/>
      <c r="G205" s="125"/>
    </row>
    <row r="206" spans="2:7" s="148" customFormat="1" ht="12.75" hidden="1" x14ac:dyDescent="0.25">
      <c r="B206" s="150"/>
      <c r="C206" s="125"/>
      <c r="D206" s="125"/>
      <c r="E206" s="146"/>
      <c r="F206" s="125"/>
      <c r="G206" s="125"/>
    </row>
  </sheetData>
  <mergeCells count="6">
    <mergeCell ref="C1:D1"/>
    <mergeCell ref="E1:F1"/>
    <mergeCell ref="C2:D2"/>
    <mergeCell ref="E2:F2"/>
    <mergeCell ref="C3:D3"/>
    <mergeCell ref="E3:F3"/>
  </mergeCells>
  <conditionalFormatting sqref="D7:D61">
    <cfRule type="cellIs" dxfId="393" priority="1" operator="between">
      <formula>-0.1</formula>
      <formula>-50</formula>
    </cfRule>
    <cfRule type="cellIs" dxfId="392" priority="2" operator="between">
      <formula>0.1</formula>
      <formula>50</formula>
    </cfRule>
  </conditionalFormatting>
  <conditionalFormatting sqref="D111:D155">
    <cfRule type="cellIs" dxfId="391" priority="3" operator="between">
      <formula>-0.1</formula>
      <formula>-50</formula>
    </cfRule>
    <cfRule type="cellIs" dxfId="390" priority="4" operator="between">
      <formula>0.1</formula>
      <formula>50</formula>
    </cfRule>
  </conditionalFormatting>
  <conditionalFormatting sqref="G7:G150 G152:G164 G166:G181">
    <cfRule type="cellIs" dxfId="389" priority="5" operator="between">
      <formula>-0.1</formula>
      <formula>-50</formula>
    </cfRule>
    <cfRule type="cellIs" dxfId="388" priority="6" operator="between">
      <formula>0.1</formula>
      <formula>50</formula>
    </cfRule>
  </conditionalFormatting>
  <conditionalFormatting sqref="G151">
    <cfRule type="expression" dxfId="387" priority="7">
      <formula>AND($G$151&gt;0,$G$165&gt;0)</formula>
    </cfRule>
  </conditionalFormatting>
  <conditionalFormatting sqref="G165">
    <cfRule type="cellIs" dxfId="386" priority="8" operator="between">
      <formula>-0.1</formula>
      <formula>-50</formula>
    </cfRule>
    <cfRule type="cellIs" dxfId="385" priority="9" operator="between">
      <formula>0.1</formula>
      <formula>50</formula>
    </cfRule>
    <cfRule type="expression" dxfId="384" priority="10">
      <formula>AND($G$165&gt;0,$G$151&gt;0)</formula>
    </cfRule>
  </conditionalFormatting>
  <dataValidations count="8">
    <dataValidation operator="equal" showInputMessage="1" showErrorMessage="1" errorTitle="rdm2" error="No se admite ingresar a la vez RDM como ingresos y como egresos. Tampoco se admiten valores negattivos o positivos menores de 50" sqref="G165">
      <formula1>0</formula1>
      <formula2>0</formula2>
    </dataValidation>
    <dataValidation operator="equal" showInputMessage="1" showErrorMessage="1" errorTitle="RDM" error="No se admite ingresar RDM como ingresos y egresos a la vez. Tampoco se admiten valores menores a $50." sqref="G151">
      <formula1>0</formula1>
      <formula2>0</formula2>
    </dataValidation>
    <dataValidation type="whole" operator="greaterThan" allowBlank="1" showInputMessage="1" showErrorMessage="1" sqref="D8:D12">
      <formula1>50</formula1>
      <formula2>0</formula2>
    </dataValidation>
    <dataValidation type="whole" operator="greaterThan" showInputMessage="1" showErrorMessage="1" errorTitle="eee" error="Valores mayores a $50" sqref="D7">
      <formula1>50</formula1>
      <formula2>0</formula2>
    </dataValidation>
    <dataValidation operator="equal" allowBlank="1" errorTitle="Error de datos" error="Debe ingresar un valor entero positivo" sqref="F6:F107 C7:C10 C13:C47 C49:C62 C106:C153 F109 F111:F119 F121:F140 F143:F169 C155 F171 F174:F178 F180 F203">
      <formula1>0</formula1>
      <formula2>0</formula2>
    </dataValidation>
    <dataValidation operator="equal" allowBlank="1" errorTitle="Error de datos" error="Debe introducir una fecha válida" sqref="E3">
      <formula1>0</formula1>
      <formula2>0</formula2>
    </dataValidation>
    <dataValidation type="whole" allowBlank="1" showErrorMessage="1" errorTitle="Error de datos" error="Debe ingresar un valor entre 1 y 12" sqref="G1:G3">
      <formula1>1</formula1>
      <formula2>12</formula2>
    </dataValidation>
    <dataValidation operator="equal" showInputMessage="1" showErrorMessage="1" errorTitle="eee" sqref="G7:G140 D13:D155 G144:G150 G152:G164 G166:G181">
      <formula1>0</formula1>
      <formula2>0</formula2>
    </dataValidation>
  </dataValidations>
  <pageMargins left="0.7" right="0.7" top="0.75" bottom="0.75" header="0.3" footer="0.3"/>
  <pageSetup paperSize="9" orientation="portrait" horizontalDpi="0" verticalDpi="0" r:id="rId1"/>
  <ignoredErrors>
    <ignoredError sqref="E7:E181" numberStoredAsText="1"/>
    <ignoredError sqref="D9" unlockedFormula="1"/>
    <ignoredError sqref="G40" formulaRange="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26"/>
  <sheetViews>
    <sheetView showGridLines="0" workbookViewId="0">
      <selection activeCell="F4" sqref="F4"/>
    </sheetView>
  </sheetViews>
  <sheetFormatPr baseColWidth="10" defaultColWidth="0" defaultRowHeight="15" zeroHeight="1" x14ac:dyDescent="0.25"/>
  <cols>
    <col min="1" max="1" width="3.7109375" style="1" customWidth="1"/>
    <col min="2" max="2" width="14.28515625" style="7" hidden="1" customWidth="1"/>
    <col min="3" max="3" width="58.28515625" style="58" customWidth="1"/>
    <col min="4" max="4" width="25.140625" style="58" customWidth="1"/>
    <col min="5" max="5" width="5.85546875" style="82" customWidth="1"/>
    <col min="6" max="6" width="57.28515625" style="58" customWidth="1"/>
    <col min="7" max="7" width="24.7109375" style="58" customWidth="1"/>
    <col min="8" max="8" width="5.42578125" style="5" customWidth="1"/>
    <col min="9" max="16384" width="0" style="5" hidden="1"/>
  </cols>
  <sheetData>
    <row r="1" spans="1:9" ht="15.75" x14ac:dyDescent="0.25">
      <c r="B1" s="2"/>
      <c r="C1" s="313" t="s">
        <v>0</v>
      </c>
      <c r="D1" s="314"/>
      <c r="E1" s="315" t="str">
        <f>[6]Presentacion!C2</f>
        <v>COSEM</v>
      </c>
      <c r="F1" s="315"/>
      <c r="G1" s="3"/>
      <c r="H1" s="4"/>
    </row>
    <row r="2" spans="1:9" ht="15.75" x14ac:dyDescent="0.25">
      <c r="B2" s="6"/>
      <c r="C2" s="313" t="s">
        <v>1</v>
      </c>
      <c r="D2" s="314"/>
      <c r="E2" s="315" t="str">
        <f>[6]Presentacion!C3</f>
        <v>Montevideo</v>
      </c>
      <c r="F2" s="315"/>
      <c r="G2" s="3"/>
      <c r="H2" s="4"/>
    </row>
    <row r="3" spans="1:9" ht="15.75" x14ac:dyDescent="0.25">
      <c r="B3" s="6"/>
      <c r="C3" s="313" t="s">
        <v>2</v>
      </c>
      <c r="D3" s="316"/>
      <c r="E3" s="317" t="s">
        <v>3</v>
      </c>
      <c r="F3" s="317"/>
      <c r="G3" s="3"/>
      <c r="H3" s="4"/>
    </row>
    <row r="4" spans="1:9" ht="15.75" thickBot="1" x14ac:dyDescent="0.3">
      <c r="C4" s="287"/>
      <c r="D4" s="8"/>
      <c r="E4" s="9"/>
      <c r="F4" s="10"/>
      <c r="G4" s="11"/>
    </row>
    <row r="5" spans="1:9" ht="16.5" thickBot="1" x14ac:dyDescent="0.3">
      <c r="B5" s="12"/>
      <c r="C5" s="13" t="s">
        <v>4</v>
      </c>
      <c r="D5" s="284" t="s">
        <v>5</v>
      </c>
      <c r="E5" s="14"/>
      <c r="F5" s="13" t="s">
        <v>6</v>
      </c>
      <c r="G5" s="284" t="s">
        <v>5</v>
      </c>
      <c r="I5" s="15"/>
    </row>
    <row r="6" spans="1:9" ht="16.5" thickBot="1" x14ac:dyDescent="0.3">
      <c r="B6" s="12"/>
      <c r="C6" s="16" t="s">
        <v>7</v>
      </c>
      <c r="D6" s="290">
        <f>+[6]E.S.P.!D6</f>
        <v>2020</v>
      </c>
      <c r="E6" s="18"/>
      <c r="F6" s="16" t="s">
        <v>8</v>
      </c>
      <c r="G6" s="290">
        <f>+D6</f>
        <v>2020</v>
      </c>
      <c r="H6" s="15"/>
    </row>
    <row r="7" spans="1:9" x14ac:dyDescent="0.25">
      <c r="B7" s="6" t="s">
        <v>9</v>
      </c>
      <c r="C7" s="19" t="s">
        <v>10</v>
      </c>
      <c r="D7" s="20">
        <v>161276907</v>
      </c>
      <c r="E7" s="21" t="s">
        <v>11</v>
      </c>
      <c r="F7" s="22" t="s">
        <v>12</v>
      </c>
      <c r="G7" s="23">
        <f>5778025+502358+354422</f>
        <v>6634805</v>
      </c>
    </row>
    <row r="8" spans="1:9" x14ac:dyDescent="0.25">
      <c r="B8" s="6" t="s">
        <v>13</v>
      </c>
      <c r="C8" s="19" t="s">
        <v>14</v>
      </c>
      <c r="D8" s="20">
        <v>25543802</v>
      </c>
      <c r="E8" s="21" t="s">
        <v>15</v>
      </c>
      <c r="F8" s="19" t="s">
        <v>16</v>
      </c>
      <c r="G8" s="24">
        <v>5729825</v>
      </c>
    </row>
    <row r="9" spans="1:9" x14ac:dyDescent="0.25">
      <c r="B9" s="6" t="s">
        <v>17</v>
      </c>
      <c r="C9" s="19" t="s">
        <v>18</v>
      </c>
      <c r="D9" s="20">
        <f>2498320654+27425711</f>
        <v>2525746365</v>
      </c>
      <c r="E9" s="21" t="s">
        <v>19</v>
      </c>
      <c r="F9" s="19" t="s">
        <v>20</v>
      </c>
      <c r="G9" s="20">
        <f>57521156+4998102+4403500+3526247</f>
        <v>70449005</v>
      </c>
    </row>
    <row r="10" spans="1:9" x14ac:dyDescent="0.25">
      <c r="B10" s="6" t="s">
        <v>21</v>
      </c>
      <c r="C10" s="19" t="s">
        <v>22</v>
      </c>
      <c r="D10" s="20">
        <v>248476696</v>
      </c>
      <c r="E10" s="21" t="s">
        <v>23</v>
      </c>
      <c r="F10" s="19" t="s">
        <v>24</v>
      </c>
      <c r="G10" s="20">
        <f>40051554+6423+3484485+2458364+3612-5729825</f>
        <v>40274613</v>
      </c>
    </row>
    <row r="11" spans="1:9" x14ac:dyDescent="0.25">
      <c r="B11" s="6" t="s">
        <v>25</v>
      </c>
      <c r="C11" s="19" t="s">
        <v>26</v>
      </c>
      <c r="D11" s="20">
        <v>30160398</v>
      </c>
      <c r="E11" s="21" t="s">
        <v>27</v>
      </c>
      <c r="F11" s="19" t="s">
        <v>28</v>
      </c>
      <c r="G11" s="20">
        <f>7908+305227342+27724365+20266557+15562595+218900</f>
        <v>369007667</v>
      </c>
    </row>
    <row r="12" spans="1:9" x14ac:dyDescent="0.25">
      <c r="B12" s="6" t="s">
        <v>29</v>
      </c>
      <c r="C12" s="19" t="s">
        <v>30</v>
      </c>
      <c r="D12" s="20">
        <v>125222151</v>
      </c>
      <c r="E12" s="21" t="s">
        <v>31</v>
      </c>
      <c r="F12" s="19" t="s">
        <v>32</v>
      </c>
      <c r="G12" s="20"/>
    </row>
    <row r="13" spans="1:9" x14ac:dyDescent="0.25">
      <c r="B13" s="6" t="s">
        <v>33</v>
      </c>
      <c r="C13" s="19" t="s">
        <v>34</v>
      </c>
      <c r="D13" s="20"/>
      <c r="E13" s="21" t="s">
        <v>35</v>
      </c>
      <c r="F13" s="19" t="s">
        <v>36</v>
      </c>
      <c r="G13" s="20">
        <f>13176046+1130375+995900+797499</f>
        <v>16099820</v>
      </c>
    </row>
    <row r="14" spans="1:9" x14ac:dyDescent="0.25">
      <c r="A14" s="25"/>
      <c r="B14" s="6" t="s">
        <v>37</v>
      </c>
      <c r="C14" s="19" t="s">
        <v>38</v>
      </c>
      <c r="D14" s="20"/>
      <c r="E14" s="21" t="s">
        <v>39</v>
      </c>
      <c r="F14" s="19" t="s">
        <v>40</v>
      </c>
      <c r="G14" s="20">
        <f>66635148+5560891+162262+4066395</f>
        <v>76424696</v>
      </c>
    </row>
    <row r="15" spans="1:9" x14ac:dyDescent="0.25">
      <c r="B15" s="6" t="s">
        <v>41</v>
      </c>
      <c r="C15" s="26" t="s">
        <v>42</v>
      </c>
      <c r="D15" s="20"/>
      <c r="E15" s="21" t="s">
        <v>43</v>
      </c>
      <c r="F15" s="19" t="s">
        <v>44</v>
      </c>
      <c r="G15" s="20">
        <f>27952431+46066383+2324158+3811601+39579+72659+1705814+2804017+168974400-19231254</f>
        <v>234519788</v>
      </c>
    </row>
    <row r="16" spans="1:9" x14ac:dyDescent="0.25">
      <c r="B16" s="6" t="s">
        <v>45</v>
      </c>
      <c r="C16" s="19" t="s">
        <v>46</v>
      </c>
      <c r="D16" s="20"/>
      <c r="E16" s="21" t="s">
        <v>47</v>
      </c>
      <c r="F16" s="19" t="s">
        <v>48</v>
      </c>
      <c r="G16" s="20">
        <f>16870815+1327057+1033382</f>
        <v>19231254</v>
      </c>
    </row>
    <row r="17" spans="1:7" x14ac:dyDescent="0.25">
      <c r="B17" s="6" t="s">
        <v>49</v>
      </c>
      <c r="C17" s="19" t="s">
        <v>50</v>
      </c>
      <c r="D17" s="20"/>
      <c r="E17" s="21" t="s">
        <v>51</v>
      </c>
      <c r="F17" s="19" t="s">
        <v>52</v>
      </c>
      <c r="G17" s="20"/>
    </row>
    <row r="18" spans="1:7" x14ac:dyDescent="0.25">
      <c r="A18" s="25"/>
      <c r="B18" s="6" t="s">
        <v>53</v>
      </c>
      <c r="C18" s="19" t="s">
        <v>54</v>
      </c>
      <c r="D18" s="20">
        <f>21885301+5270563+3994341+2846877+64545249+10230230+389655</f>
        <v>109162216</v>
      </c>
      <c r="E18" s="21" t="s">
        <v>55</v>
      </c>
      <c r="F18" s="19" t="s">
        <v>56</v>
      </c>
      <c r="G18" s="27">
        <f>28846625+7662559</f>
        <v>36509184</v>
      </c>
    </row>
    <row r="19" spans="1:7" ht="15.75" thickBot="1" x14ac:dyDescent="0.3">
      <c r="A19" s="25"/>
      <c r="B19" s="6" t="s">
        <v>57</v>
      </c>
      <c r="C19" s="19" t="s">
        <v>58</v>
      </c>
      <c r="D19" s="20">
        <f>129646439+3608404</f>
        <v>133254843</v>
      </c>
      <c r="E19" s="21"/>
      <c r="F19" s="28" t="s">
        <v>59</v>
      </c>
      <c r="G19" s="29">
        <f>SUM(G7:G18)</f>
        <v>874880657</v>
      </c>
    </row>
    <row r="20" spans="1:7" ht="15.75" thickBot="1" x14ac:dyDescent="0.3">
      <c r="B20" s="6"/>
      <c r="C20" s="28" t="s">
        <v>60</v>
      </c>
      <c r="D20" s="29">
        <f>SUM(D7:D19)</f>
        <v>3358843378</v>
      </c>
      <c r="E20" s="21" t="s">
        <v>61</v>
      </c>
      <c r="F20" s="22" t="s">
        <v>62</v>
      </c>
      <c r="G20" s="23">
        <v>289571</v>
      </c>
    </row>
    <row r="21" spans="1:7" x14ac:dyDescent="0.25">
      <c r="B21" s="6"/>
      <c r="C21" s="30" t="s">
        <v>63</v>
      </c>
      <c r="D21" s="31">
        <f>SUM(D22:D28)</f>
        <v>63907801</v>
      </c>
      <c r="E21" s="21" t="s">
        <v>64</v>
      </c>
      <c r="F21" s="19" t="s">
        <v>65</v>
      </c>
      <c r="G21" s="20">
        <f>2008289+4888492+2881231+15283098</f>
        <v>25061110</v>
      </c>
    </row>
    <row r="22" spans="1:7" x14ac:dyDescent="0.25">
      <c r="B22" s="6" t="s">
        <v>66</v>
      </c>
      <c r="C22" s="19" t="s">
        <v>67</v>
      </c>
      <c r="D22" s="20">
        <v>50541192</v>
      </c>
      <c r="E22" s="21" t="s">
        <v>68</v>
      </c>
      <c r="F22" s="19" t="s">
        <v>69</v>
      </c>
      <c r="G22" s="20">
        <v>651656</v>
      </c>
    </row>
    <row r="23" spans="1:7" x14ac:dyDescent="0.25">
      <c r="B23" s="6" t="s">
        <v>70</v>
      </c>
      <c r="C23" s="19" t="s">
        <v>71</v>
      </c>
      <c r="D23" s="20">
        <v>2066239</v>
      </c>
      <c r="E23" s="21" t="s">
        <v>72</v>
      </c>
      <c r="F23" s="19" t="s">
        <v>73</v>
      </c>
      <c r="G23" s="20">
        <f>3205436+1339688+2197046+7014609</f>
        <v>13756779</v>
      </c>
    </row>
    <row r="24" spans="1:7" x14ac:dyDescent="0.25">
      <c r="B24" s="6" t="s">
        <v>74</v>
      </c>
      <c r="C24" s="19" t="s">
        <v>75</v>
      </c>
      <c r="D24" s="20">
        <v>1927910</v>
      </c>
      <c r="E24" s="21" t="s">
        <v>76</v>
      </c>
      <c r="F24" s="19" t="s">
        <v>77</v>
      </c>
      <c r="G24" s="20"/>
    </row>
    <row r="25" spans="1:7" x14ac:dyDescent="0.25">
      <c r="B25" s="6" t="s">
        <v>78</v>
      </c>
      <c r="C25" s="19" t="s">
        <v>79</v>
      </c>
      <c r="D25" s="20"/>
      <c r="E25" s="21" t="s">
        <v>80</v>
      </c>
      <c r="F25" s="19" t="s">
        <v>81</v>
      </c>
      <c r="G25" s="20">
        <f>5787157-733067</f>
        <v>5054090</v>
      </c>
    </row>
    <row r="26" spans="1:7" x14ac:dyDescent="0.25">
      <c r="B26" s="6" t="s">
        <v>82</v>
      </c>
      <c r="C26" s="19" t="s">
        <v>83</v>
      </c>
      <c r="D26" s="20"/>
      <c r="E26" s="21" t="s">
        <v>84</v>
      </c>
      <c r="F26" s="19" t="s">
        <v>85</v>
      </c>
      <c r="G26" s="27">
        <f>1673030+365435</f>
        <v>2038465</v>
      </c>
    </row>
    <row r="27" spans="1:7" ht="15.75" thickBot="1" x14ac:dyDescent="0.3">
      <c r="B27" s="6" t="s">
        <v>86</v>
      </c>
      <c r="C27" s="19" t="s">
        <v>87</v>
      </c>
      <c r="D27" s="20">
        <v>6748129</v>
      </c>
      <c r="E27" s="21"/>
      <c r="F27" s="28" t="s">
        <v>88</v>
      </c>
      <c r="G27" s="29">
        <f>SUM(G20:G26)</f>
        <v>46851671</v>
      </c>
    </row>
    <row r="28" spans="1:7" x14ac:dyDescent="0.25">
      <c r="B28" s="6" t="s">
        <v>89</v>
      </c>
      <c r="C28" s="19" t="s">
        <v>90</v>
      </c>
      <c r="D28" s="20">
        <v>2624331</v>
      </c>
      <c r="E28" s="21" t="s">
        <v>91</v>
      </c>
      <c r="F28" s="22" t="s">
        <v>92</v>
      </c>
      <c r="G28" s="23">
        <v>63672482</v>
      </c>
    </row>
    <row r="29" spans="1:7" x14ac:dyDescent="0.25">
      <c r="B29" s="6"/>
      <c r="C29" s="32" t="s">
        <v>93</v>
      </c>
      <c r="D29" s="31">
        <f>SUM(D30:D34)</f>
        <v>325621581</v>
      </c>
      <c r="E29" s="21" t="s">
        <v>94</v>
      </c>
      <c r="F29" s="19" t="s">
        <v>95</v>
      </c>
      <c r="G29" s="20">
        <v>230055220</v>
      </c>
    </row>
    <row r="30" spans="1:7" x14ac:dyDescent="0.25">
      <c r="B30" s="6" t="s">
        <v>96</v>
      </c>
      <c r="C30" s="19" t="s">
        <v>97</v>
      </c>
      <c r="D30" s="20">
        <v>186926391</v>
      </c>
      <c r="E30" s="21" t="s">
        <v>98</v>
      </c>
      <c r="F30" s="19" t="s">
        <v>99</v>
      </c>
      <c r="G30" s="20">
        <v>5798065</v>
      </c>
    </row>
    <row r="31" spans="1:7" x14ac:dyDescent="0.25">
      <c r="B31" s="6" t="s">
        <v>100</v>
      </c>
      <c r="C31" s="19" t="s">
        <v>101</v>
      </c>
      <c r="D31" s="20">
        <v>49860796</v>
      </c>
      <c r="E31" s="21" t="s">
        <v>102</v>
      </c>
      <c r="F31" s="19" t="s">
        <v>103</v>
      </c>
      <c r="G31" s="27">
        <v>13672902</v>
      </c>
    </row>
    <row r="32" spans="1:7" ht="15.75" thickBot="1" x14ac:dyDescent="0.3">
      <c r="B32" s="6" t="s">
        <v>104</v>
      </c>
      <c r="C32" s="19" t="s">
        <v>105</v>
      </c>
      <c r="D32" s="20">
        <v>39899423</v>
      </c>
      <c r="E32" s="21"/>
      <c r="F32" s="28" t="s">
        <v>106</v>
      </c>
      <c r="G32" s="29">
        <f>SUM(G28:G31)</f>
        <v>313198669</v>
      </c>
    </row>
    <row r="33" spans="2:7" x14ac:dyDescent="0.25">
      <c r="B33" s="6" t="s">
        <v>107</v>
      </c>
      <c r="C33" s="19" t="s">
        <v>108</v>
      </c>
      <c r="D33" s="20">
        <v>35801012</v>
      </c>
      <c r="E33" s="21"/>
      <c r="F33" s="32" t="s">
        <v>109</v>
      </c>
      <c r="G33" s="31">
        <f>SUM(G34:G39)</f>
        <v>189404543</v>
      </c>
    </row>
    <row r="34" spans="2:7" x14ac:dyDescent="0.25">
      <c r="B34" s="6" t="s">
        <v>110</v>
      </c>
      <c r="C34" s="19" t="s">
        <v>111</v>
      </c>
      <c r="D34" s="20">
        <v>13133959</v>
      </c>
      <c r="E34" s="21" t="s">
        <v>112</v>
      </c>
      <c r="F34" s="19" t="s">
        <v>113</v>
      </c>
      <c r="G34" s="20"/>
    </row>
    <row r="35" spans="2:7" ht="15.75" thickBot="1" x14ac:dyDescent="0.3">
      <c r="B35" s="6"/>
      <c r="C35" s="28" t="s">
        <v>114</v>
      </c>
      <c r="D35" s="29">
        <f>+D21+D29</f>
        <v>389529382</v>
      </c>
      <c r="E35" s="21" t="s">
        <v>115</v>
      </c>
      <c r="F35" s="19" t="s">
        <v>116</v>
      </c>
      <c r="G35" s="20"/>
    </row>
    <row r="36" spans="2:7" x14ac:dyDescent="0.25">
      <c r="B36" s="6" t="s">
        <v>117</v>
      </c>
      <c r="C36" s="19" t="s">
        <v>118</v>
      </c>
      <c r="D36" s="20"/>
      <c r="E36" s="21" t="s">
        <v>119</v>
      </c>
      <c r="F36" s="19" t="s">
        <v>120</v>
      </c>
      <c r="G36" s="20"/>
    </row>
    <row r="37" spans="2:7" x14ac:dyDescent="0.25">
      <c r="B37" s="6" t="s">
        <v>121</v>
      </c>
      <c r="C37" s="19" t="s">
        <v>122</v>
      </c>
      <c r="D37" s="20"/>
      <c r="E37" s="21" t="s">
        <v>123</v>
      </c>
      <c r="F37" s="19" t="s">
        <v>124</v>
      </c>
      <c r="G37" s="20"/>
    </row>
    <row r="38" spans="2:7" x14ac:dyDescent="0.25">
      <c r="B38" s="6" t="s">
        <v>125</v>
      </c>
      <c r="C38" s="19" t="s">
        <v>126</v>
      </c>
      <c r="D38" s="20"/>
      <c r="E38" s="21" t="s">
        <v>127</v>
      </c>
      <c r="F38" s="19" t="s">
        <v>128</v>
      </c>
      <c r="G38" s="20"/>
    </row>
    <row r="39" spans="2:7" x14ac:dyDescent="0.25">
      <c r="B39" s="6" t="s">
        <v>129</v>
      </c>
      <c r="C39" s="19" t="s">
        <v>130</v>
      </c>
      <c r="D39" s="20"/>
      <c r="E39" s="21" t="s">
        <v>131</v>
      </c>
      <c r="F39" s="19" t="s">
        <v>132</v>
      </c>
      <c r="G39" s="20">
        <f>44113-9726+189370156</f>
        <v>189404543</v>
      </c>
    </row>
    <row r="40" spans="2:7" x14ac:dyDescent="0.25">
      <c r="B40" s="6" t="s">
        <v>133</v>
      </c>
      <c r="C40" s="19" t="s">
        <v>134</v>
      </c>
      <c r="D40" s="20"/>
      <c r="E40" s="21"/>
      <c r="F40" s="33" t="s">
        <v>135</v>
      </c>
      <c r="G40" s="34">
        <f>SUM(G41:G46)</f>
        <v>0</v>
      </c>
    </row>
    <row r="41" spans="2:7" x14ac:dyDescent="0.25">
      <c r="B41" s="6" t="s">
        <v>136</v>
      </c>
      <c r="C41" s="19" t="s">
        <v>137</v>
      </c>
      <c r="D41" s="20"/>
      <c r="E41" s="21" t="s">
        <v>138</v>
      </c>
      <c r="F41" s="19" t="s">
        <v>139</v>
      </c>
      <c r="G41" s="20"/>
    </row>
    <row r="42" spans="2:7" x14ac:dyDescent="0.25">
      <c r="B42" s="6" t="s">
        <v>140</v>
      </c>
      <c r="C42" s="19" t="s">
        <v>141</v>
      </c>
      <c r="D42" s="20">
        <f>19867776+15123866+1353703-1447144</f>
        <v>34898201</v>
      </c>
      <c r="E42" s="21" t="s">
        <v>142</v>
      </c>
      <c r="F42" s="19" t="s">
        <v>143</v>
      </c>
      <c r="G42" s="20"/>
    </row>
    <row r="43" spans="2:7" x14ac:dyDescent="0.25">
      <c r="B43" s="6" t="s">
        <v>144</v>
      </c>
      <c r="C43" s="19" t="s">
        <v>145</v>
      </c>
      <c r="D43" s="20"/>
      <c r="E43" s="21" t="s">
        <v>146</v>
      </c>
      <c r="F43" s="19" t="s">
        <v>147</v>
      </c>
      <c r="G43" s="20"/>
    </row>
    <row r="44" spans="2:7" x14ac:dyDescent="0.25">
      <c r="B44" s="6" t="s">
        <v>148</v>
      </c>
      <c r="C44" s="19" t="s">
        <v>149</v>
      </c>
      <c r="D44" s="20"/>
      <c r="E44" s="21" t="s">
        <v>150</v>
      </c>
      <c r="F44" s="19" t="s">
        <v>151</v>
      </c>
      <c r="G44" s="20"/>
    </row>
    <row r="45" spans="2:7" x14ac:dyDescent="0.25">
      <c r="B45" s="6" t="s">
        <v>152</v>
      </c>
      <c r="C45" s="19" t="s">
        <v>153</v>
      </c>
      <c r="D45" s="20"/>
      <c r="E45" s="21" t="s">
        <v>154</v>
      </c>
      <c r="F45" s="19" t="s">
        <v>155</v>
      </c>
      <c r="G45" s="20"/>
    </row>
    <row r="46" spans="2:7" x14ac:dyDescent="0.25">
      <c r="B46" s="6" t="s">
        <v>156</v>
      </c>
      <c r="C46" s="19" t="s">
        <v>157</v>
      </c>
      <c r="D46" s="20">
        <v>1668686</v>
      </c>
      <c r="E46" s="21" t="s">
        <v>158</v>
      </c>
      <c r="F46" s="19" t="s">
        <v>159</v>
      </c>
      <c r="G46" s="20"/>
    </row>
    <row r="47" spans="2:7" ht="15.75" thickBot="1" x14ac:dyDescent="0.3">
      <c r="B47" s="6"/>
      <c r="C47" s="28" t="s">
        <v>160</v>
      </c>
      <c r="D47" s="29">
        <f>SUM(D36:D46)</f>
        <v>36566887</v>
      </c>
      <c r="E47" s="21" t="s">
        <v>161</v>
      </c>
      <c r="F47" s="19" t="s">
        <v>162</v>
      </c>
      <c r="G47" s="27">
        <v>7921292</v>
      </c>
    </row>
    <row r="48" spans="2:7" ht="15.75" thickBot="1" x14ac:dyDescent="0.3">
      <c r="B48" s="6"/>
      <c r="C48" s="35" t="s">
        <v>163</v>
      </c>
      <c r="D48" s="36"/>
      <c r="E48" s="21"/>
      <c r="F48" s="28" t="s">
        <v>164</v>
      </c>
      <c r="G48" s="37">
        <f>+G33+G40+G47</f>
        <v>197325835</v>
      </c>
    </row>
    <row r="49" spans="2:7" x14ac:dyDescent="0.25">
      <c r="B49" s="6" t="s">
        <v>165</v>
      </c>
      <c r="C49" s="38" t="s">
        <v>166</v>
      </c>
      <c r="D49" s="39"/>
      <c r="E49" s="21" t="s">
        <v>167</v>
      </c>
      <c r="F49" s="22" t="s">
        <v>168</v>
      </c>
      <c r="G49" s="23"/>
    </row>
    <row r="50" spans="2:7" x14ac:dyDescent="0.25">
      <c r="B50" s="6" t="s">
        <v>169</v>
      </c>
      <c r="C50" s="19" t="s">
        <v>163</v>
      </c>
      <c r="D50" s="20">
        <f>960360+1447144+7619542</f>
        <v>10027046</v>
      </c>
      <c r="E50" s="21" t="s">
        <v>170</v>
      </c>
      <c r="F50" s="19" t="s">
        <v>171</v>
      </c>
      <c r="G50" s="20">
        <f>73338+10418577-1028335+3118950+9737795+1236438</f>
        <v>23556763</v>
      </c>
    </row>
    <row r="51" spans="2:7" x14ac:dyDescent="0.25">
      <c r="B51" s="6" t="s">
        <v>172</v>
      </c>
      <c r="C51" s="19" t="s">
        <v>173</v>
      </c>
      <c r="D51" s="27">
        <v>40587</v>
      </c>
      <c r="E51" s="21" t="s">
        <v>174</v>
      </c>
      <c r="F51" s="19" t="s">
        <v>175</v>
      </c>
      <c r="G51" s="20"/>
    </row>
    <row r="52" spans="2:7" ht="15.75" thickBot="1" x14ac:dyDescent="0.3">
      <c r="B52" s="12"/>
      <c r="C52" s="28" t="s">
        <v>176</v>
      </c>
      <c r="D52" s="29">
        <f>SUM(D49:D51)</f>
        <v>10067633</v>
      </c>
      <c r="E52" s="21" t="s">
        <v>177</v>
      </c>
      <c r="F52" s="19" t="s">
        <v>178</v>
      </c>
      <c r="G52" s="20"/>
    </row>
    <row r="53" spans="2:7" ht="15.75" thickBot="1" x14ac:dyDescent="0.3">
      <c r="B53" s="6"/>
      <c r="C53" s="40" t="s">
        <v>179</v>
      </c>
      <c r="D53" s="41">
        <f>D20+D35+D47+D52</f>
        <v>3795007280</v>
      </c>
      <c r="E53" s="21" t="s">
        <v>180</v>
      </c>
      <c r="F53" s="19" t="s">
        <v>181</v>
      </c>
      <c r="G53" s="20"/>
    </row>
    <row r="54" spans="2:7" x14ac:dyDescent="0.25">
      <c r="C54" s="42"/>
      <c r="D54" s="43"/>
      <c r="E54" s="21" t="s">
        <v>182</v>
      </c>
      <c r="F54" s="19" t="s">
        <v>183</v>
      </c>
      <c r="G54" s="20">
        <v>1567396</v>
      </c>
    </row>
    <row r="55" spans="2:7" x14ac:dyDescent="0.25">
      <c r="C55" s="44" t="s">
        <v>184</v>
      </c>
      <c r="D55" s="45"/>
      <c r="E55" s="21" t="s">
        <v>185</v>
      </c>
      <c r="F55" s="19" t="s">
        <v>186</v>
      </c>
      <c r="G55" s="20"/>
    </row>
    <row r="56" spans="2:7" x14ac:dyDescent="0.25">
      <c r="B56" s="6" t="s">
        <v>187</v>
      </c>
      <c r="C56" s="46" t="s">
        <v>188</v>
      </c>
      <c r="D56" s="20"/>
      <c r="E56" s="21" t="s">
        <v>189</v>
      </c>
      <c r="F56" s="19" t="s">
        <v>190</v>
      </c>
      <c r="G56" s="27">
        <v>2536377</v>
      </c>
    </row>
    <row r="57" spans="2:7" ht="15.75" thickBot="1" x14ac:dyDescent="0.3">
      <c r="B57" s="6" t="s">
        <v>191</v>
      </c>
      <c r="C57" s="46" t="s">
        <v>192</v>
      </c>
      <c r="D57" s="20">
        <v>-2098209</v>
      </c>
      <c r="E57" s="21"/>
      <c r="F57" s="28" t="s">
        <v>193</v>
      </c>
      <c r="G57" s="29">
        <f>SUM(G49:G56)</f>
        <v>27660536</v>
      </c>
    </row>
    <row r="58" spans="2:7" x14ac:dyDescent="0.25">
      <c r="B58" s="6" t="s">
        <v>194</v>
      </c>
      <c r="C58" s="46" t="s">
        <v>195</v>
      </c>
      <c r="D58" s="20"/>
      <c r="E58" s="21" t="s">
        <v>196</v>
      </c>
      <c r="F58" s="22" t="s">
        <v>197</v>
      </c>
      <c r="G58" s="23">
        <f>446301494+451630+18847434+4762912+7367083+1175392+7459805</f>
        <v>486365750</v>
      </c>
    </row>
    <row r="59" spans="2:7" x14ac:dyDescent="0.25">
      <c r="B59" s="6" t="s">
        <v>198</v>
      </c>
      <c r="C59" s="19" t="s">
        <v>199</v>
      </c>
      <c r="D59" s="27">
        <v>-78036</v>
      </c>
      <c r="E59" s="21" t="s">
        <v>200</v>
      </c>
      <c r="F59" s="19" t="s">
        <v>201</v>
      </c>
      <c r="G59" s="20">
        <f>61227035+11596863+116436295+19597686+37012003+593083+5198325+153010643+5374+50967+17674118+62271253+29404771+103086674+30308810</f>
        <v>647473900</v>
      </c>
    </row>
    <row r="60" spans="2:7" ht="15.75" thickBot="1" x14ac:dyDescent="0.3">
      <c r="B60" s="6"/>
      <c r="C60" s="28" t="s">
        <v>202</v>
      </c>
      <c r="D60" s="29">
        <f>SUM(D56:D59)</f>
        <v>-2176245</v>
      </c>
      <c r="E60" s="21" t="s">
        <v>203</v>
      </c>
      <c r="F60" s="19" t="s">
        <v>204</v>
      </c>
      <c r="G60" s="20">
        <f>8843732+5325952+56260434+33686406</f>
        <v>104116524</v>
      </c>
    </row>
    <row r="61" spans="2:7" ht="16.5" thickBot="1" x14ac:dyDescent="0.3">
      <c r="B61" s="47"/>
      <c r="C61" s="48" t="s">
        <v>205</v>
      </c>
      <c r="D61" s="49">
        <f>D53+D60</f>
        <v>3792831035</v>
      </c>
      <c r="E61" s="21" t="s">
        <v>206</v>
      </c>
      <c r="F61" s="19" t="s">
        <v>207</v>
      </c>
      <c r="G61" s="20">
        <f>2860394+2003467+35494244+5081118-31785310</f>
        <v>13653913</v>
      </c>
    </row>
    <row r="62" spans="2:7" x14ac:dyDescent="0.25">
      <c r="B62" s="50"/>
      <c r="C62" s="51"/>
      <c r="D62" s="51"/>
      <c r="E62" s="21" t="s">
        <v>208</v>
      </c>
      <c r="F62" s="19" t="s">
        <v>209</v>
      </c>
      <c r="G62" s="20">
        <v>31785310</v>
      </c>
    </row>
    <row r="63" spans="2:7" x14ac:dyDescent="0.25">
      <c r="B63" s="52"/>
      <c r="C63" s="53" t="s">
        <v>8</v>
      </c>
      <c r="D63" s="53"/>
      <c r="E63" s="21" t="s">
        <v>210</v>
      </c>
      <c r="F63" s="19" t="s">
        <v>211</v>
      </c>
      <c r="G63" s="20">
        <f>175057195-48800869+9717309+9789412</f>
        <v>145763047</v>
      </c>
    </row>
    <row r="64" spans="2:7" x14ac:dyDescent="0.25">
      <c r="B64" s="54" t="s">
        <v>212</v>
      </c>
      <c r="C64" s="55" t="s">
        <v>213</v>
      </c>
      <c r="D64" s="55">
        <f>[6]Amortizaciones!D6</f>
        <v>22315585</v>
      </c>
      <c r="E64" s="21" t="s">
        <v>214</v>
      </c>
      <c r="F64" s="19" t="s">
        <v>215</v>
      </c>
      <c r="G64" s="20">
        <v>37460783</v>
      </c>
    </row>
    <row r="65" spans="2:7" x14ac:dyDescent="0.25">
      <c r="B65" s="54" t="s">
        <v>216</v>
      </c>
      <c r="C65" s="55" t="s">
        <v>217</v>
      </c>
      <c r="D65" s="55">
        <f>[6]Amortizaciones!D7</f>
        <v>0</v>
      </c>
      <c r="E65" s="21" t="s">
        <v>218</v>
      </c>
      <c r="F65" s="19" t="s">
        <v>219</v>
      </c>
      <c r="G65" s="20">
        <v>15594868</v>
      </c>
    </row>
    <row r="66" spans="2:7" x14ac:dyDescent="0.25">
      <c r="B66" s="54" t="s">
        <v>220</v>
      </c>
      <c r="C66" s="55" t="s">
        <v>221</v>
      </c>
      <c r="D66" s="55">
        <f>[6]Amortizaciones!D8</f>
        <v>3655141</v>
      </c>
      <c r="E66" s="21" t="s">
        <v>222</v>
      </c>
      <c r="F66" s="19" t="s">
        <v>223</v>
      </c>
      <c r="G66" s="20">
        <v>43147034</v>
      </c>
    </row>
    <row r="67" spans="2:7" x14ac:dyDescent="0.25">
      <c r="B67" s="54" t="s">
        <v>224</v>
      </c>
      <c r="C67" s="55" t="s">
        <v>225</v>
      </c>
      <c r="D67" s="55">
        <f>[6]Amortizaciones!D9</f>
        <v>0</v>
      </c>
      <c r="E67" s="21" t="s">
        <v>226</v>
      </c>
      <c r="F67" s="19" t="s">
        <v>227</v>
      </c>
      <c r="G67" s="20">
        <v>13371454</v>
      </c>
    </row>
    <row r="68" spans="2:7" x14ac:dyDescent="0.25">
      <c r="B68" s="54" t="s">
        <v>228</v>
      </c>
      <c r="C68" s="55" t="s">
        <v>229</v>
      </c>
      <c r="D68" s="55">
        <f>[6]Amortizaciones!D10</f>
        <v>0</v>
      </c>
      <c r="E68" s="21" t="s">
        <v>230</v>
      </c>
      <c r="F68" s="19" t="s">
        <v>231</v>
      </c>
      <c r="G68" s="20"/>
    </row>
    <row r="69" spans="2:7" x14ac:dyDescent="0.25">
      <c r="B69" s="54" t="s">
        <v>232</v>
      </c>
      <c r="C69" s="55" t="s">
        <v>233</v>
      </c>
      <c r="D69" s="55">
        <f>[6]Amortizaciones!D11</f>
        <v>0</v>
      </c>
      <c r="E69" s="21" t="s">
        <v>234</v>
      </c>
      <c r="F69" s="19" t="s">
        <v>235</v>
      </c>
      <c r="G69" s="20">
        <v>15952701</v>
      </c>
    </row>
    <row r="70" spans="2:7" x14ac:dyDescent="0.25">
      <c r="B70" s="54" t="s">
        <v>236</v>
      </c>
      <c r="C70" s="55" t="s">
        <v>237</v>
      </c>
      <c r="D70" s="55">
        <f>[6]Amortizaciones!D12</f>
        <v>16810475</v>
      </c>
      <c r="E70" s="21" t="s">
        <v>238</v>
      </c>
      <c r="F70" s="19" t="s">
        <v>239</v>
      </c>
      <c r="G70" s="20">
        <v>21349956</v>
      </c>
    </row>
    <row r="71" spans="2:7" x14ac:dyDescent="0.25">
      <c r="B71" s="54" t="s">
        <v>240</v>
      </c>
      <c r="C71" s="55" t="s">
        <v>241</v>
      </c>
      <c r="D71" s="55">
        <f>[6]Amortizaciones!D13</f>
        <v>0</v>
      </c>
      <c r="E71" s="21" t="s">
        <v>242</v>
      </c>
      <c r="F71" s="19" t="s">
        <v>243</v>
      </c>
      <c r="G71" s="20"/>
    </row>
    <row r="72" spans="2:7" x14ac:dyDescent="0.25">
      <c r="B72" s="54" t="s">
        <v>244</v>
      </c>
      <c r="C72" s="55" t="s">
        <v>245</v>
      </c>
      <c r="D72" s="55">
        <f>[6]Amortizaciones!D14</f>
        <v>0</v>
      </c>
      <c r="E72" s="21" t="s">
        <v>246</v>
      </c>
      <c r="F72" s="19" t="s">
        <v>247</v>
      </c>
      <c r="G72" s="20"/>
    </row>
    <row r="73" spans="2:7" x14ac:dyDescent="0.25">
      <c r="B73" s="54" t="s">
        <v>248</v>
      </c>
      <c r="C73" s="55" t="s">
        <v>249</v>
      </c>
      <c r="D73" s="55">
        <f>[6]Amortizaciones!D15</f>
        <v>0</v>
      </c>
      <c r="E73" s="21" t="s">
        <v>250</v>
      </c>
      <c r="F73" s="19" t="s">
        <v>251</v>
      </c>
      <c r="G73" s="20">
        <v>58699625</v>
      </c>
    </row>
    <row r="74" spans="2:7" x14ac:dyDescent="0.25">
      <c r="B74" s="54" t="s">
        <v>252</v>
      </c>
      <c r="C74" s="55" t="s">
        <v>253</v>
      </c>
      <c r="D74" s="55">
        <f>[6]Amortizaciones!D16</f>
        <v>0</v>
      </c>
      <c r="E74" s="21" t="s">
        <v>254</v>
      </c>
      <c r="F74" s="19" t="s">
        <v>255</v>
      </c>
      <c r="G74" s="20">
        <v>3700095</v>
      </c>
    </row>
    <row r="75" spans="2:7" x14ac:dyDescent="0.25">
      <c r="B75" s="54" t="s">
        <v>256</v>
      </c>
      <c r="C75" s="55" t="s">
        <v>257</v>
      </c>
      <c r="D75" s="55">
        <f>[6]Amortizaciones!D17</f>
        <v>0</v>
      </c>
      <c r="E75" s="21" t="s">
        <v>258</v>
      </c>
      <c r="F75" s="19" t="s">
        <v>259</v>
      </c>
      <c r="G75" s="20">
        <v>11293960</v>
      </c>
    </row>
    <row r="76" spans="2:7" x14ac:dyDescent="0.25">
      <c r="B76" s="54" t="s">
        <v>260</v>
      </c>
      <c r="C76" s="55" t="s">
        <v>261</v>
      </c>
      <c r="D76" s="55">
        <f>[6]Amortizaciones!D18</f>
        <v>0</v>
      </c>
      <c r="E76" s="21" t="s">
        <v>262</v>
      </c>
      <c r="F76" s="19" t="s">
        <v>263</v>
      </c>
      <c r="G76" s="20">
        <v>1415255</v>
      </c>
    </row>
    <row r="77" spans="2:7" x14ac:dyDescent="0.25">
      <c r="B77" s="54" t="s">
        <v>264</v>
      </c>
      <c r="C77" s="55" t="s">
        <v>265</v>
      </c>
      <c r="D77" s="55">
        <f>SUM(D64:D76)</f>
        <v>42781201</v>
      </c>
      <c r="E77" s="21" t="s">
        <v>266</v>
      </c>
      <c r="F77" s="19" t="s">
        <v>267</v>
      </c>
      <c r="G77" s="20">
        <f>168482+30232762+8249598+27398406+6368896+77833549</f>
        <v>150251693</v>
      </c>
    </row>
    <row r="78" spans="2:7" x14ac:dyDescent="0.25">
      <c r="B78" s="54"/>
      <c r="C78" s="55"/>
      <c r="D78" s="55"/>
      <c r="E78" s="21" t="s">
        <v>268</v>
      </c>
      <c r="F78" s="19" t="s">
        <v>269</v>
      </c>
      <c r="G78" s="27">
        <f>3535138+6454890+67258243</f>
        <v>77248271</v>
      </c>
    </row>
    <row r="79" spans="2:7" ht="15.75" thickBot="1" x14ac:dyDescent="0.3">
      <c r="B79" s="54"/>
      <c r="C79" s="53" t="s">
        <v>270</v>
      </c>
      <c r="D79" s="56"/>
      <c r="E79" s="21"/>
      <c r="F79" s="28" t="s">
        <v>271</v>
      </c>
      <c r="G79" s="29">
        <f>SUM(G58:G78)</f>
        <v>1878644139</v>
      </c>
    </row>
    <row r="80" spans="2:7" x14ac:dyDescent="0.25">
      <c r="B80" s="54" t="s">
        <v>272</v>
      </c>
      <c r="C80" s="55" t="s">
        <v>237</v>
      </c>
      <c r="D80" s="55">
        <f>[6]Amortizaciones!D22</f>
        <v>0</v>
      </c>
      <c r="E80" s="21" t="s">
        <v>273</v>
      </c>
      <c r="F80" s="22" t="s">
        <v>274</v>
      </c>
      <c r="G80" s="23"/>
    </row>
    <row r="81" spans="2:7" x14ac:dyDescent="0.25">
      <c r="B81" s="54" t="s">
        <v>275</v>
      </c>
      <c r="C81" s="55" t="s">
        <v>241</v>
      </c>
      <c r="D81" s="55">
        <f>[6]Amortizaciones!D23</f>
        <v>0</v>
      </c>
      <c r="E81" s="21" t="s">
        <v>276</v>
      </c>
      <c r="F81" s="19" t="s">
        <v>277</v>
      </c>
      <c r="G81" s="20">
        <v>2153150</v>
      </c>
    </row>
    <row r="82" spans="2:7" x14ac:dyDescent="0.25">
      <c r="B82" s="54" t="s">
        <v>278</v>
      </c>
      <c r="C82" s="55" t="s">
        <v>245</v>
      </c>
      <c r="D82" s="55">
        <f>[6]Amortizaciones!D24</f>
        <v>2684884</v>
      </c>
      <c r="E82" s="21" t="s">
        <v>279</v>
      </c>
      <c r="F82" s="19" t="s">
        <v>280</v>
      </c>
      <c r="G82" s="20">
        <v>1075788</v>
      </c>
    </row>
    <row r="83" spans="2:7" x14ac:dyDescent="0.25">
      <c r="B83" s="54" t="s">
        <v>281</v>
      </c>
      <c r="C83" s="55" t="s">
        <v>249</v>
      </c>
      <c r="D83" s="55">
        <f>[6]Amortizaciones!D25</f>
        <v>0</v>
      </c>
      <c r="E83" s="21" t="s">
        <v>282</v>
      </c>
      <c r="F83" s="19" t="s">
        <v>283</v>
      </c>
      <c r="G83" s="20">
        <v>809651</v>
      </c>
    </row>
    <row r="84" spans="2:7" x14ac:dyDescent="0.25">
      <c r="B84" s="54" t="s">
        <v>284</v>
      </c>
      <c r="C84" s="55" t="s">
        <v>285</v>
      </c>
      <c r="D84" s="55">
        <v>0</v>
      </c>
      <c r="E84" s="21" t="s">
        <v>286</v>
      </c>
      <c r="F84" s="19" t="s">
        <v>287</v>
      </c>
      <c r="G84" s="20">
        <v>3475070</v>
      </c>
    </row>
    <row r="85" spans="2:7" x14ac:dyDescent="0.25">
      <c r="B85" s="54" t="s">
        <v>288</v>
      </c>
      <c r="C85" s="55" t="s">
        <v>289</v>
      </c>
      <c r="D85" s="55">
        <f>[6]Amortizaciones!D27</f>
        <v>0</v>
      </c>
      <c r="E85" s="21" t="s">
        <v>290</v>
      </c>
      <c r="F85" s="19" t="s">
        <v>291</v>
      </c>
      <c r="G85" s="20">
        <v>2066502</v>
      </c>
    </row>
    <row r="86" spans="2:7" x14ac:dyDescent="0.25">
      <c r="B86" s="54" t="s">
        <v>292</v>
      </c>
      <c r="C86" s="55" t="s">
        <v>293</v>
      </c>
      <c r="D86" s="55">
        <f>[6]Amortizaciones!D28</f>
        <v>0</v>
      </c>
      <c r="E86" s="21" t="s">
        <v>294</v>
      </c>
      <c r="F86" s="19" t="s">
        <v>295</v>
      </c>
      <c r="G86" s="20">
        <v>337196</v>
      </c>
    </row>
    <row r="87" spans="2:7" x14ac:dyDescent="0.25">
      <c r="B87" s="54" t="s">
        <v>296</v>
      </c>
      <c r="C87" s="55" t="s">
        <v>297</v>
      </c>
      <c r="D87" s="55">
        <f>[6]Amortizaciones!D29</f>
        <v>10891</v>
      </c>
      <c r="E87" s="21" t="s">
        <v>298</v>
      </c>
      <c r="F87" s="19" t="s">
        <v>299</v>
      </c>
      <c r="G87" s="20">
        <v>42431031</v>
      </c>
    </row>
    <row r="88" spans="2:7" x14ac:dyDescent="0.25">
      <c r="B88" s="54" t="s">
        <v>300</v>
      </c>
      <c r="C88" s="55" t="s">
        <v>301</v>
      </c>
      <c r="D88" s="55">
        <f>[6]Amortizaciones!D30</f>
        <v>8314992</v>
      </c>
      <c r="E88" s="21" t="s">
        <v>302</v>
      </c>
      <c r="F88" s="19" t="s">
        <v>303</v>
      </c>
      <c r="G88" s="20">
        <v>61644</v>
      </c>
    </row>
    <row r="89" spans="2:7" x14ac:dyDescent="0.25">
      <c r="B89" s="54" t="s">
        <v>304</v>
      </c>
      <c r="C89" s="55" t="s">
        <v>213</v>
      </c>
      <c r="D89" s="55">
        <f>[6]Amortizaciones!D31</f>
        <v>0</v>
      </c>
      <c r="E89" s="21" t="s">
        <v>305</v>
      </c>
      <c r="F89" s="19" t="s">
        <v>306</v>
      </c>
      <c r="G89" s="20">
        <f>18385500+3525978</f>
        <v>21911478</v>
      </c>
    </row>
    <row r="90" spans="2:7" x14ac:dyDescent="0.25">
      <c r="B90" s="54" t="s">
        <v>307</v>
      </c>
      <c r="C90" s="55" t="s">
        <v>229</v>
      </c>
      <c r="D90" s="55">
        <f>[6]Amortizaciones!D32</f>
        <v>0</v>
      </c>
      <c r="E90" s="21" t="s">
        <v>308</v>
      </c>
      <c r="F90" s="19" t="s">
        <v>309</v>
      </c>
      <c r="G90" s="20">
        <v>14594578</v>
      </c>
    </row>
    <row r="91" spans="2:7" x14ac:dyDescent="0.25">
      <c r="B91" s="54" t="s">
        <v>310</v>
      </c>
      <c r="C91" s="55" t="s">
        <v>311</v>
      </c>
      <c r="D91" s="55">
        <f>SUM(D80:D90)</f>
        <v>11010767</v>
      </c>
      <c r="E91" s="52" t="s">
        <v>312</v>
      </c>
      <c r="F91" s="19" t="s">
        <v>313</v>
      </c>
      <c r="G91" s="20">
        <v>2547997</v>
      </c>
    </row>
    <row r="92" spans="2:7" x14ac:dyDescent="0.25">
      <c r="B92" s="54"/>
      <c r="C92" s="57" t="s">
        <v>314</v>
      </c>
      <c r="D92" s="55">
        <f>D77+D91</f>
        <v>53791968</v>
      </c>
      <c r="E92" s="52" t="s">
        <v>315</v>
      </c>
      <c r="F92" s="19" t="s">
        <v>316</v>
      </c>
      <c r="G92" s="20"/>
    </row>
    <row r="93" spans="2:7" x14ac:dyDescent="0.25">
      <c r="E93" s="52" t="s">
        <v>317</v>
      </c>
      <c r="F93" s="19" t="s">
        <v>318</v>
      </c>
      <c r="G93" s="20">
        <v>3045168</v>
      </c>
    </row>
    <row r="94" spans="2:7" x14ac:dyDescent="0.25">
      <c r="E94" s="52" t="s">
        <v>319</v>
      </c>
      <c r="F94" s="19" t="s">
        <v>320</v>
      </c>
      <c r="G94" s="27">
        <f>2283343+2623945</f>
        <v>4907288</v>
      </c>
    </row>
    <row r="95" spans="2:7" ht="13.5" customHeight="1" thickBot="1" x14ac:dyDescent="0.3">
      <c r="E95" s="21"/>
      <c r="F95" s="28" t="s">
        <v>321</v>
      </c>
      <c r="G95" s="29">
        <f>SUM(G80:G94)</f>
        <v>99416541</v>
      </c>
    </row>
    <row r="96" spans="2:7" x14ac:dyDescent="0.25">
      <c r="E96" s="52" t="s">
        <v>322</v>
      </c>
      <c r="F96" s="22" t="s">
        <v>323</v>
      </c>
      <c r="G96" s="23">
        <v>10605868</v>
      </c>
    </row>
    <row r="97" spans="2:7" x14ac:dyDescent="0.25">
      <c r="E97" s="52" t="s">
        <v>324</v>
      </c>
      <c r="F97" s="19" t="s">
        <v>325</v>
      </c>
      <c r="G97" s="20">
        <v>1604754</v>
      </c>
    </row>
    <row r="98" spans="2:7" x14ac:dyDescent="0.25">
      <c r="E98" s="52" t="s">
        <v>326</v>
      </c>
      <c r="F98" s="19" t="s">
        <v>327</v>
      </c>
      <c r="G98" s="20"/>
    </row>
    <row r="99" spans="2:7" x14ac:dyDescent="0.25">
      <c r="E99" s="52" t="s">
        <v>328</v>
      </c>
      <c r="F99" s="19" t="s">
        <v>329</v>
      </c>
      <c r="G99" s="20"/>
    </row>
    <row r="100" spans="2:7" x14ac:dyDescent="0.25">
      <c r="E100" s="52" t="s">
        <v>330</v>
      </c>
      <c r="F100" s="19" t="s">
        <v>331</v>
      </c>
      <c r="G100" s="27">
        <v>583177</v>
      </c>
    </row>
    <row r="101" spans="2:7" ht="15.75" thickBot="1" x14ac:dyDescent="0.3">
      <c r="E101" s="21"/>
      <c r="F101" s="28" t="s">
        <v>332</v>
      </c>
      <c r="G101" s="29">
        <f>SUM(G96:G100)</f>
        <v>12793799</v>
      </c>
    </row>
    <row r="102" spans="2:7" ht="15.75" thickBot="1" x14ac:dyDescent="0.3">
      <c r="E102" s="52"/>
      <c r="F102" s="59" t="s">
        <v>333</v>
      </c>
      <c r="G102" s="60">
        <f>[6]Amortizaciones!D19</f>
        <v>42781201</v>
      </c>
    </row>
    <row r="103" spans="2:7" x14ac:dyDescent="0.25">
      <c r="E103" s="52" t="s">
        <v>334</v>
      </c>
      <c r="F103" s="19" t="s">
        <v>335</v>
      </c>
      <c r="G103" s="23"/>
    </row>
    <row r="104" spans="2:7" x14ac:dyDescent="0.25">
      <c r="E104" s="52" t="s">
        <v>336</v>
      </c>
      <c r="F104" s="61" t="s">
        <v>337</v>
      </c>
      <c r="G104" s="20"/>
    </row>
    <row r="105" spans="2:7" ht="15.75" thickBot="1" x14ac:dyDescent="0.3">
      <c r="E105" s="21"/>
      <c r="F105" s="28" t="s">
        <v>338</v>
      </c>
      <c r="G105" s="29">
        <f>SUM(G103:G104)</f>
        <v>0</v>
      </c>
    </row>
    <row r="106" spans="2:7" ht="13.7" customHeight="1" thickBot="1" x14ac:dyDescent="0.3">
      <c r="B106" s="6"/>
      <c r="C106" s="62"/>
      <c r="D106" s="62"/>
      <c r="E106" s="52"/>
      <c r="F106" s="48" t="s">
        <v>339</v>
      </c>
      <c r="G106" s="49">
        <f>G19+G27+G32+G48+G57+G79+G95+G101+G102+G105</f>
        <v>3493553048</v>
      </c>
    </row>
    <row r="107" spans="2:7" ht="13.7" customHeight="1" x14ac:dyDescent="0.25">
      <c r="B107" s="6"/>
      <c r="C107" s="62"/>
      <c r="D107" s="62"/>
      <c r="E107" s="21"/>
      <c r="F107" s="63"/>
      <c r="G107" s="64"/>
    </row>
    <row r="108" spans="2:7" ht="13.7" customHeight="1" thickBot="1" x14ac:dyDescent="0.3">
      <c r="B108" s="6"/>
      <c r="C108" s="62"/>
      <c r="D108" s="62"/>
      <c r="E108" s="21"/>
    </row>
    <row r="109" spans="2:7" ht="13.7" customHeight="1" thickBot="1" x14ac:dyDescent="0.3">
      <c r="B109" s="6"/>
      <c r="C109" s="62"/>
      <c r="D109" s="62"/>
      <c r="E109" s="21"/>
      <c r="F109" s="13" t="s">
        <v>340</v>
      </c>
      <c r="G109" s="65">
        <f>D61-G106</f>
        <v>299277987</v>
      </c>
    </row>
    <row r="110" spans="2:7" ht="13.7" customHeight="1" thickBot="1" x14ac:dyDescent="0.3">
      <c r="B110" s="6"/>
      <c r="C110" s="62"/>
      <c r="D110" s="62"/>
      <c r="E110" s="21"/>
    </row>
    <row r="111" spans="2:7" ht="13.7" customHeight="1" thickBot="1" x14ac:dyDescent="0.3">
      <c r="C111" s="48" t="s">
        <v>270</v>
      </c>
      <c r="D111" s="17">
        <f>+[6]E.S.P.!D6</f>
        <v>2020</v>
      </c>
      <c r="E111" s="52"/>
      <c r="F111" s="48" t="s">
        <v>341</v>
      </c>
      <c r="G111" s="17">
        <f>+[6]E.S.P.!D6</f>
        <v>2020</v>
      </c>
    </row>
    <row r="112" spans="2:7" ht="13.7" customHeight="1" x14ac:dyDescent="0.25">
      <c r="B112" s="6" t="s">
        <v>342</v>
      </c>
      <c r="C112" s="66" t="s">
        <v>343</v>
      </c>
      <c r="D112" s="67">
        <f>1803288+1644391+21185440</f>
        <v>24633119</v>
      </c>
      <c r="E112" s="21" t="s">
        <v>344</v>
      </c>
      <c r="F112" s="66" t="s">
        <v>309</v>
      </c>
      <c r="G112" s="67"/>
    </row>
    <row r="113" spans="2:7" ht="13.7" customHeight="1" x14ac:dyDescent="0.25">
      <c r="B113" s="6" t="s">
        <v>345</v>
      </c>
      <c r="C113" s="68" t="s">
        <v>346</v>
      </c>
      <c r="D113" s="69">
        <f>8032+7283755+30753+1273860+88371549</f>
        <v>96967949</v>
      </c>
      <c r="E113" s="21" t="s">
        <v>347</v>
      </c>
      <c r="F113" s="68" t="s">
        <v>348</v>
      </c>
      <c r="G113" s="69"/>
    </row>
    <row r="114" spans="2:7" ht="13.7" customHeight="1" x14ac:dyDescent="0.25">
      <c r="B114" s="6" t="s">
        <v>349</v>
      </c>
      <c r="C114" s="68" t="s">
        <v>48</v>
      </c>
      <c r="D114" s="69"/>
      <c r="E114" s="21" t="s">
        <v>350</v>
      </c>
      <c r="F114" s="68" t="s">
        <v>351</v>
      </c>
      <c r="G114" s="69">
        <v>8814927</v>
      </c>
    </row>
    <row r="115" spans="2:7" ht="13.7" customHeight="1" x14ac:dyDescent="0.25">
      <c r="B115" s="6" t="s">
        <v>352</v>
      </c>
      <c r="C115" s="68" t="s">
        <v>353</v>
      </c>
      <c r="D115" s="69">
        <v>1075738</v>
      </c>
      <c r="E115" s="21" t="s">
        <v>354</v>
      </c>
      <c r="F115" s="68" t="s">
        <v>355</v>
      </c>
      <c r="G115" s="69"/>
    </row>
    <row r="116" spans="2:7" ht="13.7" customHeight="1" x14ac:dyDescent="0.25">
      <c r="B116" s="6" t="s">
        <v>356</v>
      </c>
      <c r="C116" s="68" t="s">
        <v>357</v>
      </c>
      <c r="D116" s="69">
        <v>3668555</v>
      </c>
      <c r="E116" s="21" t="s">
        <v>358</v>
      </c>
      <c r="F116" s="68" t="s">
        <v>359</v>
      </c>
      <c r="G116" s="69"/>
    </row>
    <row r="117" spans="2:7" ht="13.7" customHeight="1" x14ac:dyDescent="0.25">
      <c r="B117" s="6" t="s">
        <v>360</v>
      </c>
      <c r="C117" s="68" t="s">
        <v>361</v>
      </c>
      <c r="D117" s="69"/>
      <c r="E117" s="21" t="s">
        <v>362</v>
      </c>
      <c r="F117" s="68" t="s">
        <v>363</v>
      </c>
      <c r="G117" s="69"/>
    </row>
    <row r="118" spans="2:7" ht="13.7" customHeight="1" x14ac:dyDescent="0.25">
      <c r="B118" s="6" t="s">
        <v>364</v>
      </c>
      <c r="C118" s="68" t="s">
        <v>365</v>
      </c>
      <c r="D118" s="69"/>
      <c r="E118" s="21" t="s">
        <v>366</v>
      </c>
      <c r="F118" s="68" t="s">
        <v>367</v>
      </c>
      <c r="G118" s="69"/>
    </row>
    <row r="119" spans="2:7" ht="13.7" customHeight="1" x14ac:dyDescent="0.25">
      <c r="B119" s="6" t="s">
        <v>368</v>
      </c>
      <c r="C119" s="68" t="s">
        <v>369</v>
      </c>
      <c r="D119" s="69">
        <v>733067</v>
      </c>
      <c r="E119" s="21" t="s">
        <v>370</v>
      </c>
      <c r="F119" s="68" t="s">
        <v>371</v>
      </c>
      <c r="G119" s="69"/>
    </row>
    <row r="120" spans="2:7" ht="13.7" customHeight="1" x14ac:dyDescent="0.25">
      <c r="B120" s="6" t="s">
        <v>372</v>
      </c>
      <c r="C120" s="68" t="s">
        <v>373</v>
      </c>
      <c r="D120" s="69"/>
      <c r="E120" s="21" t="s">
        <v>374</v>
      </c>
      <c r="F120" s="68" t="s">
        <v>375</v>
      </c>
      <c r="G120" s="69"/>
    </row>
    <row r="121" spans="2:7" ht="13.7" customHeight="1" x14ac:dyDescent="0.25">
      <c r="B121" s="6" t="s">
        <v>376</v>
      </c>
      <c r="C121" s="19" t="s">
        <v>377</v>
      </c>
      <c r="D121" s="69">
        <f>524390+4774475+159980</f>
        <v>5458845</v>
      </c>
      <c r="E121" s="21" t="s">
        <v>378</v>
      </c>
      <c r="F121" s="68" t="s">
        <v>379</v>
      </c>
      <c r="G121" s="69">
        <v>147420</v>
      </c>
    </row>
    <row r="122" spans="2:7" ht="13.7" customHeight="1" thickBot="1" x14ac:dyDescent="0.3">
      <c r="B122" s="6"/>
      <c r="C122" s="28" t="s">
        <v>380</v>
      </c>
      <c r="D122" s="37">
        <f>SUM(D112:D121)</f>
        <v>132537273</v>
      </c>
      <c r="E122" s="21" t="s">
        <v>381</v>
      </c>
      <c r="F122" s="19" t="s">
        <v>382</v>
      </c>
      <c r="G122" s="20">
        <v>288918</v>
      </c>
    </row>
    <row r="123" spans="2:7" ht="13.7" customHeight="1" thickBot="1" x14ac:dyDescent="0.3">
      <c r="B123" s="6" t="s">
        <v>383</v>
      </c>
      <c r="C123" s="70" t="s">
        <v>309</v>
      </c>
      <c r="D123" s="67">
        <v>7049296</v>
      </c>
      <c r="E123" s="52"/>
      <c r="F123" s="28" t="s">
        <v>384</v>
      </c>
      <c r="G123" s="37">
        <f>SUM(G112:G122)</f>
        <v>9251265</v>
      </c>
    </row>
    <row r="124" spans="2:7" ht="13.7" customHeight="1" x14ac:dyDescent="0.25">
      <c r="B124" s="6" t="s">
        <v>385</v>
      </c>
      <c r="C124" s="68" t="s">
        <v>313</v>
      </c>
      <c r="D124" s="69"/>
      <c r="E124" s="21" t="s">
        <v>386</v>
      </c>
      <c r="F124" s="68" t="s">
        <v>387</v>
      </c>
      <c r="G124" s="69">
        <f>1750013+3808116</f>
        <v>5558129</v>
      </c>
    </row>
    <row r="125" spans="2:7" ht="13.7" customHeight="1" x14ac:dyDescent="0.25">
      <c r="B125" s="6" t="s">
        <v>388</v>
      </c>
      <c r="C125" s="19" t="s">
        <v>389</v>
      </c>
      <c r="D125" s="69">
        <v>286157</v>
      </c>
      <c r="E125" s="21" t="s">
        <v>390</v>
      </c>
      <c r="F125" s="68" t="s">
        <v>391</v>
      </c>
      <c r="G125" s="69">
        <v>451080</v>
      </c>
    </row>
    <row r="126" spans="2:7" ht="13.7" customHeight="1" thickBot="1" x14ac:dyDescent="0.3">
      <c r="B126" s="6"/>
      <c r="C126" s="28" t="s">
        <v>392</v>
      </c>
      <c r="D126" s="37">
        <f>SUM(D123:D125)</f>
        <v>7335453</v>
      </c>
      <c r="E126" s="21" t="s">
        <v>393</v>
      </c>
      <c r="F126" s="68" t="s">
        <v>394</v>
      </c>
      <c r="G126" s="69">
        <v>2542205</v>
      </c>
    </row>
    <row r="127" spans="2:7" ht="13.7" customHeight="1" x14ac:dyDescent="0.25">
      <c r="B127" s="6" t="s">
        <v>395</v>
      </c>
      <c r="C127" s="66" t="s">
        <v>274</v>
      </c>
      <c r="D127" s="67">
        <v>10144243</v>
      </c>
      <c r="E127" s="21" t="s">
        <v>396</v>
      </c>
      <c r="F127" s="68" t="s">
        <v>397</v>
      </c>
      <c r="G127" s="69"/>
    </row>
    <row r="128" spans="2:7" ht="13.7" customHeight="1" x14ac:dyDescent="0.25">
      <c r="B128" s="6" t="s">
        <v>398</v>
      </c>
      <c r="C128" s="68" t="s">
        <v>399</v>
      </c>
      <c r="D128" s="69">
        <v>1049076</v>
      </c>
      <c r="E128" s="21" t="s">
        <v>400</v>
      </c>
      <c r="F128" s="68" t="s">
        <v>401</v>
      </c>
      <c r="G128" s="69"/>
    </row>
    <row r="129" spans="2:7" ht="13.7" customHeight="1" x14ac:dyDescent="0.25">
      <c r="B129" s="6" t="s">
        <v>402</v>
      </c>
      <c r="C129" s="68" t="s">
        <v>277</v>
      </c>
      <c r="D129" s="69">
        <v>2056673</v>
      </c>
      <c r="E129" s="21" t="s">
        <v>403</v>
      </c>
      <c r="F129" s="68" t="s">
        <v>404</v>
      </c>
      <c r="G129" s="69">
        <f>973385+13318948</f>
        <v>14292333</v>
      </c>
    </row>
    <row r="130" spans="2:7" ht="13.7" customHeight="1" x14ac:dyDescent="0.25">
      <c r="B130" s="6" t="s">
        <v>405</v>
      </c>
      <c r="C130" s="68" t="s">
        <v>283</v>
      </c>
      <c r="D130" s="69">
        <v>340210</v>
      </c>
      <c r="E130" s="21" t="s">
        <v>406</v>
      </c>
      <c r="F130" s="68" t="s">
        <v>407</v>
      </c>
      <c r="G130" s="69"/>
    </row>
    <row r="131" spans="2:7" ht="13.7" customHeight="1" x14ac:dyDescent="0.25">
      <c r="B131" s="6" t="s">
        <v>408</v>
      </c>
      <c r="C131" s="68" t="s">
        <v>287</v>
      </c>
      <c r="D131" s="69">
        <v>1389090</v>
      </c>
      <c r="E131" s="21" t="s">
        <v>409</v>
      </c>
      <c r="F131" s="68" t="s">
        <v>410</v>
      </c>
      <c r="G131" s="69"/>
    </row>
    <row r="132" spans="2:7" ht="13.7" customHeight="1" x14ac:dyDescent="0.25">
      <c r="B132" s="6" t="s">
        <v>411</v>
      </c>
      <c r="C132" s="68" t="s">
        <v>291</v>
      </c>
      <c r="D132" s="69">
        <v>3509669</v>
      </c>
      <c r="E132" s="21" t="s">
        <v>412</v>
      </c>
      <c r="F132" s="68" t="s">
        <v>413</v>
      </c>
      <c r="G132" s="69">
        <v>3335094</v>
      </c>
    </row>
    <row r="133" spans="2:7" ht="13.7" customHeight="1" x14ac:dyDescent="0.25">
      <c r="B133" s="6" t="s">
        <v>414</v>
      </c>
      <c r="C133" s="68" t="s">
        <v>295</v>
      </c>
      <c r="D133" s="69"/>
      <c r="E133" s="21" t="s">
        <v>415</v>
      </c>
      <c r="F133" s="68" t="s">
        <v>416</v>
      </c>
      <c r="G133" s="69"/>
    </row>
    <row r="134" spans="2:7" ht="13.7" customHeight="1" x14ac:dyDescent="0.25">
      <c r="B134" s="6" t="s">
        <v>417</v>
      </c>
      <c r="C134" s="68" t="s">
        <v>418</v>
      </c>
      <c r="D134" s="69">
        <v>1764730</v>
      </c>
      <c r="E134" s="21" t="s">
        <v>419</v>
      </c>
      <c r="F134" s="68" t="s">
        <v>420</v>
      </c>
      <c r="G134" s="69"/>
    </row>
    <row r="135" spans="2:7" ht="13.7" customHeight="1" x14ac:dyDescent="0.25">
      <c r="B135" s="6" t="s">
        <v>421</v>
      </c>
      <c r="C135" s="68" t="s">
        <v>422</v>
      </c>
      <c r="D135" s="69">
        <f>2316419+53860+5650814+6921193+3120+135428+241505+1168+26219160</f>
        <v>41542667</v>
      </c>
      <c r="E135" s="21" t="s">
        <v>423</v>
      </c>
      <c r="F135" s="68" t="s">
        <v>424</v>
      </c>
      <c r="G135" s="69"/>
    </row>
    <row r="136" spans="2:7" ht="13.7" customHeight="1" x14ac:dyDescent="0.25">
      <c r="B136" s="6" t="s">
        <v>425</v>
      </c>
      <c r="C136" s="68" t="s">
        <v>318</v>
      </c>
      <c r="D136" s="69">
        <v>6048700</v>
      </c>
      <c r="E136" s="21" t="s">
        <v>426</v>
      </c>
      <c r="F136" s="68" t="s">
        <v>427</v>
      </c>
      <c r="G136" s="69"/>
    </row>
    <row r="137" spans="2:7" ht="13.7" customHeight="1" x14ac:dyDescent="0.25">
      <c r="B137" s="6" t="s">
        <v>428</v>
      </c>
      <c r="C137" s="19" t="s">
        <v>320</v>
      </c>
      <c r="D137" s="71">
        <v>1969091</v>
      </c>
      <c r="E137" s="21" t="s">
        <v>429</v>
      </c>
      <c r="F137" s="68" t="s">
        <v>430</v>
      </c>
      <c r="G137" s="69">
        <f>449408+377316</f>
        <v>826724</v>
      </c>
    </row>
    <row r="138" spans="2:7" ht="13.7" customHeight="1" thickBot="1" x14ac:dyDescent="0.3">
      <c r="B138" s="6"/>
      <c r="C138" s="28" t="s">
        <v>321</v>
      </c>
      <c r="D138" s="37">
        <f>SUM(D127:D137)</f>
        <v>69814149</v>
      </c>
      <c r="E138" s="21" t="s">
        <v>431</v>
      </c>
      <c r="F138" s="19" t="s">
        <v>432</v>
      </c>
      <c r="G138" s="20">
        <v>889146</v>
      </c>
    </row>
    <row r="139" spans="2:7" ht="13.7" customHeight="1" thickBot="1" x14ac:dyDescent="0.3">
      <c r="B139" s="6" t="s">
        <v>433</v>
      </c>
      <c r="C139" s="66" t="s">
        <v>327</v>
      </c>
      <c r="D139" s="67"/>
      <c r="E139" s="7"/>
      <c r="F139" s="28" t="s">
        <v>434</v>
      </c>
      <c r="G139" s="37">
        <f>SUM(G124:G138)</f>
        <v>27894711</v>
      </c>
    </row>
    <row r="140" spans="2:7" ht="13.7" customHeight="1" thickBot="1" x14ac:dyDescent="0.3">
      <c r="B140" s="6" t="s">
        <v>435</v>
      </c>
      <c r="C140" s="68" t="s">
        <v>329</v>
      </c>
      <c r="D140" s="69">
        <v>4081542</v>
      </c>
      <c r="E140" s="7"/>
      <c r="F140" s="48" t="s">
        <v>436</v>
      </c>
      <c r="G140" s="72">
        <f>G123-G139</f>
        <v>-18643446</v>
      </c>
    </row>
    <row r="141" spans="2:7" ht="13.7" customHeight="1" x14ac:dyDescent="0.25">
      <c r="B141" s="6" t="s">
        <v>437</v>
      </c>
      <c r="C141" s="19" t="s">
        <v>331</v>
      </c>
      <c r="D141" s="71">
        <v>196188</v>
      </c>
      <c r="E141" s="73"/>
    </row>
    <row r="142" spans="2:7" ht="13.7" customHeight="1" thickBot="1" x14ac:dyDescent="0.3">
      <c r="B142" s="6"/>
      <c r="C142" s="28" t="s">
        <v>332</v>
      </c>
      <c r="D142" s="37">
        <f>SUM(D139:D141)</f>
        <v>4277730</v>
      </c>
      <c r="E142" s="73"/>
    </row>
    <row r="143" spans="2:7" ht="13.7" customHeight="1" thickBot="1" x14ac:dyDescent="0.3">
      <c r="B143" s="6"/>
      <c r="C143" s="59" t="s">
        <v>438</v>
      </c>
      <c r="D143" s="74">
        <f>[6]Amortizaciones!D33</f>
        <v>11010767</v>
      </c>
      <c r="E143" s="21"/>
      <c r="F143" s="48" t="s">
        <v>439</v>
      </c>
      <c r="G143" s="17">
        <f>+[6]E.S.P.!D6</f>
        <v>2020</v>
      </c>
    </row>
    <row r="144" spans="2:7" ht="13.7" customHeight="1" x14ac:dyDescent="0.25">
      <c r="B144" s="6" t="s">
        <v>440</v>
      </c>
      <c r="C144" s="66" t="s">
        <v>441</v>
      </c>
      <c r="D144" s="67">
        <v>604568</v>
      </c>
      <c r="E144" s="21" t="s">
        <v>442</v>
      </c>
      <c r="F144" s="66" t="s">
        <v>443</v>
      </c>
      <c r="G144" s="67">
        <v>17409323</v>
      </c>
    </row>
    <row r="145" spans="2:7" ht="13.7" customHeight="1" x14ac:dyDescent="0.25">
      <c r="B145" s="6" t="s">
        <v>444</v>
      </c>
      <c r="C145" s="68" t="s">
        <v>445</v>
      </c>
      <c r="D145" s="69"/>
      <c r="E145" s="21" t="s">
        <v>446</v>
      </c>
      <c r="F145" s="68" t="s">
        <v>447</v>
      </c>
      <c r="G145" s="69">
        <v>33014515</v>
      </c>
    </row>
    <row r="146" spans="2:7" ht="13.7" customHeight="1" x14ac:dyDescent="0.25">
      <c r="B146" s="6" t="s">
        <v>448</v>
      </c>
      <c r="C146" s="75" t="s">
        <v>449</v>
      </c>
      <c r="D146" s="69">
        <v>132596</v>
      </c>
      <c r="E146" s="21" t="s">
        <v>450</v>
      </c>
      <c r="F146" s="68" t="s">
        <v>451</v>
      </c>
      <c r="G146" s="69">
        <v>3149655</v>
      </c>
    </row>
    <row r="147" spans="2:7" ht="13.7" customHeight="1" x14ac:dyDescent="0.25">
      <c r="B147" s="6" t="s">
        <v>452</v>
      </c>
      <c r="C147" s="19" t="s">
        <v>453</v>
      </c>
      <c r="D147" s="71">
        <f>25180+4366</f>
        <v>29546</v>
      </c>
      <c r="E147" s="21" t="s">
        <v>454</v>
      </c>
      <c r="F147" s="68" t="s">
        <v>455</v>
      </c>
      <c r="G147" s="69"/>
    </row>
    <row r="148" spans="2:7" ht="13.7" customHeight="1" thickBot="1" x14ac:dyDescent="0.3">
      <c r="B148" s="6"/>
      <c r="C148" s="28" t="s">
        <v>456</v>
      </c>
      <c r="D148" s="37">
        <f>SUM(D144:D147)</f>
        <v>766710</v>
      </c>
      <c r="E148" s="21" t="s">
        <v>457</v>
      </c>
      <c r="F148" s="68" t="s">
        <v>458</v>
      </c>
      <c r="G148" s="69"/>
    </row>
    <row r="149" spans="2:7" ht="13.7" customHeight="1" x14ac:dyDescent="0.25">
      <c r="B149" s="6" t="s">
        <v>459</v>
      </c>
      <c r="C149" s="66" t="s">
        <v>460</v>
      </c>
      <c r="D149" s="67"/>
      <c r="E149" s="21" t="s">
        <v>461</v>
      </c>
      <c r="F149" s="68" t="s">
        <v>462</v>
      </c>
      <c r="G149" s="69"/>
    </row>
    <row r="150" spans="2:7" ht="13.7" customHeight="1" x14ac:dyDescent="0.25">
      <c r="B150" s="6" t="s">
        <v>463</v>
      </c>
      <c r="C150" s="68" t="s">
        <v>464</v>
      </c>
      <c r="D150" s="69"/>
      <c r="E150" s="21" t="s">
        <v>465</v>
      </c>
      <c r="F150" s="68" t="s">
        <v>466</v>
      </c>
      <c r="G150" s="69"/>
    </row>
    <row r="151" spans="2:7" ht="13.7" customHeight="1" x14ac:dyDescent="0.25">
      <c r="B151" s="6" t="s">
        <v>467</v>
      </c>
      <c r="C151" s="19" t="s">
        <v>468</v>
      </c>
      <c r="D151" s="71"/>
      <c r="E151" s="21" t="s">
        <v>469</v>
      </c>
      <c r="F151" s="68" t="s">
        <v>470</v>
      </c>
      <c r="G151" s="69">
        <v>11797006</v>
      </c>
    </row>
    <row r="152" spans="2:7" ht="13.7" customHeight="1" thickBot="1" x14ac:dyDescent="0.3">
      <c r="B152" s="6"/>
      <c r="C152" s="28" t="s">
        <v>471</v>
      </c>
      <c r="D152" s="37">
        <f>SUM(D149:D151)</f>
        <v>0</v>
      </c>
      <c r="E152" s="21" t="s">
        <v>472</v>
      </c>
      <c r="F152" s="68" t="s">
        <v>473</v>
      </c>
      <c r="G152" s="69">
        <v>30232</v>
      </c>
    </row>
    <row r="153" spans="2:7" ht="13.7" customHeight="1" thickBot="1" x14ac:dyDescent="0.3">
      <c r="B153" s="6"/>
      <c r="C153" s="48" t="s">
        <v>474</v>
      </c>
      <c r="D153" s="76">
        <f>D122+D126+D138+D142+D143+D148+D152</f>
        <v>225742082</v>
      </c>
      <c r="E153" s="21" t="s">
        <v>475</v>
      </c>
      <c r="F153" s="19" t="s">
        <v>476</v>
      </c>
      <c r="G153" s="20">
        <v>862765</v>
      </c>
    </row>
    <row r="154" spans="2:7" ht="13.7" customHeight="1" thickBot="1" x14ac:dyDescent="0.3">
      <c r="B154" s="6"/>
      <c r="E154" s="21"/>
      <c r="F154" s="28" t="s">
        <v>477</v>
      </c>
      <c r="G154" s="37">
        <f>SUM(G144:G153)</f>
        <v>66263496</v>
      </c>
    </row>
    <row r="155" spans="2:7" ht="13.7" customHeight="1" thickBot="1" x14ac:dyDescent="0.3">
      <c r="B155" s="6"/>
      <c r="C155" s="77" t="s">
        <v>478</v>
      </c>
      <c r="D155" s="65">
        <f>G109-D153</f>
        <v>73535905</v>
      </c>
      <c r="E155" s="21" t="s">
        <v>479</v>
      </c>
      <c r="F155" s="66" t="s">
        <v>480</v>
      </c>
      <c r="G155" s="67">
        <v>4771193</v>
      </c>
    </row>
    <row r="156" spans="2:7" ht="13.7" customHeight="1" x14ac:dyDescent="0.25">
      <c r="E156" s="21" t="s">
        <v>481</v>
      </c>
      <c r="F156" s="68" t="s">
        <v>482</v>
      </c>
      <c r="G156" s="69">
        <v>37637000</v>
      </c>
    </row>
    <row r="157" spans="2:7" ht="13.7" customHeight="1" x14ac:dyDescent="0.25">
      <c r="E157" s="21" t="s">
        <v>483</v>
      </c>
      <c r="F157" s="68" t="s">
        <v>484</v>
      </c>
      <c r="G157" s="69"/>
    </row>
    <row r="158" spans="2:7" ht="13.7" customHeight="1" x14ac:dyDescent="0.25">
      <c r="E158" s="21" t="s">
        <v>485</v>
      </c>
      <c r="F158" s="68" t="s">
        <v>486</v>
      </c>
      <c r="G158" s="69"/>
    </row>
    <row r="159" spans="2:7" ht="13.7" customHeight="1" x14ac:dyDescent="0.25">
      <c r="E159" s="21" t="s">
        <v>487</v>
      </c>
      <c r="F159" s="68" t="s">
        <v>488</v>
      </c>
      <c r="G159" s="69"/>
    </row>
    <row r="160" spans="2:7" ht="13.7" customHeight="1" x14ac:dyDescent="0.25">
      <c r="E160" s="21" t="s">
        <v>489</v>
      </c>
      <c r="F160" s="68" t="s">
        <v>490</v>
      </c>
      <c r="G160" s="69"/>
    </row>
    <row r="161" spans="5:7" ht="13.7" customHeight="1" x14ac:dyDescent="0.25">
      <c r="E161" s="21" t="s">
        <v>491</v>
      </c>
      <c r="F161" s="68" t="s">
        <v>492</v>
      </c>
      <c r="G161" s="69"/>
    </row>
    <row r="162" spans="5:7" ht="13.7" customHeight="1" x14ac:dyDescent="0.25">
      <c r="E162" s="21" t="s">
        <v>493</v>
      </c>
      <c r="F162" s="68" t="s">
        <v>494</v>
      </c>
      <c r="G162" s="69"/>
    </row>
    <row r="163" spans="5:7" ht="13.7" customHeight="1" x14ac:dyDescent="0.25">
      <c r="E163" s="21" t="s">
        <v>495</v>
      </c>
      <c r="F163" s="68" t="s">
        <v>496</v>
      </c>
      <c r="G163" s="69"/>
    </row>
    <row r="164" spans="5:7" ht="13.7" customHeight="1" x14ac:dyDescent="0.25">
      <c r="E164" s="21" t="s">
        <v>497</v>
      </c>
      <c r="F164" s="68" t="s">
        <v>498</v>
      </c>
      <c r="G164" s="69"/>
    </row>
    <row r="165" spans="5:7" ht="13.7" customHeight="1" x14ac:dyDescent="0.25">
      <c r="E165" s="21" t="s">
        <v>499</v>
      </c>
      <c r="F165" s="68" t="s">
        <v>500</v>
      </c>
      <c r="G165" s="69"/>
    </row>
    <row r="166" spans="5:7" ht="13.7" customHeight="1" x14ac:dyDescent="0.25">
      <c r="E166" s="21" t="s">
        <v>501</v>
      </c>
      <c r="F166" s="68" t="s">
        <v>502</v>
      </c>
      <c r="G166" s="69">
        <v>1745958</v>
      </c>
    </row>
    <row r="167" spans="5:7" ht="13.7" customHeight="1" x14ac:dyDescent="0.25">
      <c r="E167" s="21" t="s">
        <v>503</v>
      </c>
      <c r="F167" s="19" t="s">
        <v>504</v>
      </c>
      <c r="G167" s="20">
        <v>200410</v>
      </c>
    </row>
    <row r="168" spans="5:7" ht="13.7" customHeight="1" thickBot="1" x14ac:dyDescent="0.3">
      <c r="E168" s="21"/>
      <c r="F168" s="28" t="s">
        <v>505</v>
      </c>
      <c r="G168" s="37">
        <f>SUM(G155:G167)</f>
        <v>44354561</v>
      </c>
    </row>
    <row r="169" spans="5:7" ht="13.7" customHeight="1" thickBot="1" x14ac:dyDescent="0.3">
      <c r="E169" s="21"/>
      <c r="F169" s="48" t="s">
        <v>506</v>
      </c>
      <c r="G169" s="72">
        <f>G154-G168</f>
        <v>21908935</v>
      </c>
    </row>
    <row r="170" spans="5:7" ht="13.7" customHeight="1" thickBot="1" x14ac:dyDescent="0.3">
      <c r="E170" s="21"/>
      <c r="F170" s="78"/>
      <c r="G170" s="78"/>
    </row>
    <row r="171" spans="5:7" ht="13.7" customHeight="1" thickBot="1" x14ac:dyDescent="0.3">
      <c r="E171" s="21"/>
      <c r="F171" s="77" t="s">
        <v>507</v>
      </c>
      <c r="G171" s="79"/>
    </row>
    <row r="172" spans="5:7" ht="13.7" customHeight="1" thickBot="1" x14ac:dyDescent="0.3">
      <c r="E172" s="21"/>
      <c r="F172" s="80"/>
      <c r="G172" s="81">
        <f>+D155+G140+G169</f>
        <v>76801394</v>
      </c>
    </row>
    <row r="173" spans="5:7" ht="13.7" customHeight="1" thickBot="1" x14ac:dyDescent="0.3">
      <c r="E173" s="21"/>
      <c r="F173" s="5"/>
      <c r="G173" s="5"/>
    </row>
    <row r="174" spans="5:7" ht="13.7" customHeight="1" thickBot="1" x14ac:dyDescent="0.3">
      <c r="E174" s="21"/>
      <c r="F174" s="48" t="s">
        <v>508</v>
      </c>
      <c r="G174" s="17">
        <f>+G143</f>
        <v>2020</v>
      </c>
    </row>
    <row r="175" spans="5:7" ht="13.7" customHeight="1" x14ac:dyDescent="0.25">
      <c r="E175" s="21"/>
      <c r="F175" s="66" t="s">
        <v>509</v>
      </c>
      <c r="G175" s="67"/>
    </row>
    <row r="176" spans="5:7" ht="13.7" customHeight="1" x14ac:dyDescent="0.25">
      <c r="E176" s="21"/>
      <c r="F176" s="68" t="s">
        <v>510</v>
      </c>
      <c r="G176" s="69"/>
    </row>
    <row r="177" spans="1:8" ht="13.7" customHeight="1" thickBot="1" x14ac:dyDescent="0.3">
      <c r="F177" s="68" t="s">
        <v>511</v>
      </c>
      <c r="G177" s="69"/>
    </row>
    <row r="178" spans="1:8" ht="13.7" customHeight="1" thickBot="1" x14ac:dyDescent="0.3">
      <c r="F178" s="48" t="s">
        <v>512</v>
      </c>
      <c r="G178" s="72">
        <f>SUM(G175:G177)</f>
        <v>0</v>
      </c>
    </row>
    <row r="179" spans="1:8" ht="13.7" customHeight="1" thickBot="1" x14ac:dyDescent="0.3"/>
    <row r="180" spans="1:8" ht="13.7" customHeight="1" thickBot="1" x14ac:dyDescent="0.3">
      <c r="F180" s="77" t="s">
        <v>513</v>
      </c>
      <c r="G180" s="79"/>
    </row>
    <row r="181" spans="1:8" ht="13.7" customHeight="1" thickBot="1" x14ac:dyDescent="0.3">
      <c r="F181" s="83"/>
      <c r="G181" s="81">
        <f>+G172+G178</f>
        <v>76801394</v>
      </c>
    </row>
    <row r="182" spans="1:8" ht="13.7" customHeight="1" x14ac:dyDescent="0.25"/>
    <row r="183" spans="1:8" ht="13.5" customHeight="1" x14ac:dyDescent="0.25"/>
    <row r="184" spans="1:8" ht="13.7" customHeight="1" x14ac:dyDescent="0.25">
      <c r="E184" s="84"/>
      <c r="F184" s="84"/>
      <c r="G184" s="84"/>
      <c r="H184" s="84"/>
    </row>
    <row r="185" spans="1:8" s="84" customFormat="1" ht="13.7" customHeight="1" x14ac:dyDescent="0.25">
      <c r="A185" s="85"/>
      <c r="E185" s="82"/>
      <c r="F185" s="86"/>
      <c r="G185" s="86"/>
    </row>
    <row r="186" spans="1:8" s="84" customFormat="1" ht="12.75" x14ac:dyDescent="0.25">
      <c r="A186" s="85"/>
      <c r="E186" s="82"/>
      <c r="F186" s="86"/>
      <c r="G186" s="86"/>
    </row>
    <row r="187" spans="1:8" s="84" customFormat="1" ht="12.75" hidden="1" x14ac:dyDescent="0.25">
      <c r="A187" s="85"/>
      <c r="E187" s="82"/>
      <c r="F187" s="86"/>
      <c r="G187" s="86"/>
    </row>
    <row r="188" spans="1:8" s="84" customFormat="1" ht="12.75" hidden="1" x14ac:dyDescent="0.25">
      <c r="A188" s="85"/>
      <c r="E188" s="82"/>
      <c r="F188" s="86"/>
      <c r="G188" s="86"/>
    </row>
    <row r="189" spans="1:8" s="84" customFormat="1" ht="12.75" hidden="1" x14ac:dyDescent="0.25">
      <c r="A189" s="85"/>
      <c r="E189" s="82"/>
      <c r="F189" s="86"/>
      <c r="G189" s="86"/>
    </row>
    <row r="190" spans="1:8" s="84" customFormat="1" ht="12.75" hidden="1" x14ac:dyDescent="0.25">
      <c r="A190" s="85"/>
      <c r="E190" s="82"/>
      <c r="F190" s="86"/>
      <c r="G190" s="86"/>
    </row>
    <row r="191" spans="1:8" s="84" customFormat="1" ht="12.75" hidden="1" x14ac:dyDescent="0.25">
      <c r="A191" s="85"/>
      <c r="E191" s="82"/>
      <c r="F191" s="86"/>
      <c r="G191" s="86"/>
    </row>
    <row r="192" spans="1:8" s="84" customFormat="1" ht="12.75" hidden="1" x14ac:dyDescent="0.25">
      <c r="A192" s="85"/>
      <c r="E192" s="82"/>
      <c r="F192" s="86"/>
      <c r="G192" s="86"/>
    </row>
    <row r="193" spans="5:7" s="84" customFormat="1" ht="12.75" hidden="1" x14ac:dyDescent="0.25">
      <c r="E193" s="82"/>
      <c r="F193" s="86"/>
      <c r="G193" s="86"/>
    </row>
    <row r="194" spans="5:7" s="84" customFormat="1" ht="12.75" hidden="1" x14ac:dyDescent="0.25">
      <c r="E194" s="82"/>
      <c r="F194" s="86"/>
      <c r="G194" s="86"/>
    </row>
    <row r="195" spans="5:7" s="84" customFormat="1" ht="12.75" hidden="1" x14ac:dyDescent="0.25">
      <c r="E195" s="82"/>
      <c r="F195" s="86"/>
      <c r="G195" s="86"/>
    </row>
    <row r="196" spans="5:7" s="84" customFormat="1" ht="12.75" hidden="1" x14ac:dyDescent="0.25">
      <c r="E196" s="82"/>
      <c r="F196" s="86"/>
      <c r="G196" s="86"/>
    </row>
    <row r="197" spans="5:7" s="84" customFormat="1" ht="12.75" hidden="1" x14ac:dyDescent="0.25">
      <c r="E197" s="82"/>
      <c r="F197" s="86"/>
      <c r="G197" s="86"/>
    </row>
    <row r="198" spans="5:7" s="84" customFormat="1" ht="12.75" hidden="1" x14ac:dyDescent="0.25">
      <c r="E198" s="82"/>
      <c r="F198" s="86"/>
      <c r="G198" s="86"/>
    </row>
    <row r="199" spans="5:7" s="84" customFormat="1" ht="12.75" hidden="1" x14ac:dyDescent="0.25">
      <c r="E199" s="82"/>
      <c r="F199" s="86"/>
      <c r="G199" s="86"/>
    </row>
    <row r="200" spans="5:7" s="84" customFormat="1" ht="12.75" hidden="1" x14ac:dyDescent="0.25">
      <c r="E200" s="82"/>
      <c r="F200" s="86"/>
      <c r="G200" s="86"/>
    </row>
    <row r="201" spans="5:7" s="84" customFormat="1" ht="12.75" hidden="1" x14ac:dyDescent="0.25">
      <c r="E201" s="82"/>
      <c r="F201" s="86"/>
      <c r="G201" s="86"/>
    </row>
    <row r="202" spans="5:7" s="84" customFormat="1" ht="12.75" hidden="1" x14ac:dyDescent="0.25">
      <c r="E202" s="82"/>
      <c r="F202" s="86"/>
      <c r="G202" s="86"/>
    </row>
    <row r="203" spans="5:7" s="84" customFormat="1" ht="12.75" hidden="1" x14ac:dyDescent="0.25">
      <c r="E203" s="82"/>
      <c r="F203" s="86"/>
      <c r="G203" s="86"/>
    </row>
    <row r="204" spans="5:7" s="84" customFormat="1" ht="12.75" hidden="1" x14ac:dyDescent="0.25">
      <c r="E204" s="82"/>
      <c r="F204" s="86"/>
      <c r="G204" s="86"/>
    </row>
    <row r="205" spans="5:7" s="84" customFormat="1" ht="12.75" hidden="1" x14ac:dyDescent="0.25">
      <c r="E205" s="82"/>
      <c r="F205" s="86"/>
      <c r="G205" s="86"/>
    </row>
    <row r="206" spans="5:7" s="84" customFormat="1" ht="12.75" hidden="1" x14ac:dyDescent="0.25">
      <c r="E206" s="82"/>
      <c r="F206" s="86"/>
      <c r="G206" s="86"/>
    </row>
    <row r="207" spans="5:7" s="84" customFormat="1" ht="12.75" hidden="1" x14ac:dyDescent="0.25">
      <c r="E207" s="82"/>
      <c r="F207" s="86"/>
      <c r="G207" s="86"/>
    </row>
    <row r="208" spans="5:7" s="84" customFormat="1" ht="12.75" hidden="1" x14ac:dyDescent="0.25">
      <c r="E208" s="82"/>
      <c r="F208" s="86"/>
      <c r="G208" s="86"/>
    </row>
    <row r="209" spans="3:8" s="84" customFormat="1" ht="12.75" hidden="1" x14ac:dyDescent="0.25">
      <c r="E209" s="82"/>
      <c r="F209" s="86"/>
      <c r="G209" s="86"/>
    </row>
    <row r="210" spans="3:8" s="84" customFormat="1" ht="12.75" hidden="1" x14ac:dyDescent="0.25">
      <c r="E210" s="82"/>
      <c r="F210" s="86"/>
      <c r="G210" s="86"/>
    </row>
    <row r="211" spans="3:8" s="84" customFormat="1" ht="12.75" hidden="1" x14ac:dyDescent="0.25">
      <c r="E211" s="82"/>
      <c r="F211" s="86"/>
      <c r="G211" s="86"/>
    </row>
    <row r="212" spans="3:8" s="84" customFormat="1" ht="12.75" hidden="1" x14ac:dyDescent="0.25">
      <c r="E212" s="82"/>
      <c r="F212" s="86"/>
      <c r="G212" s="86"/>
    </row>
    <row r="213" spans="3:8" s="84" customFormat="1" ht="12.75" hidden="1" x14ac:dyDescent="0.25">
      <c r="E213" s="82"/>
      <c r="F213" s="86"/>
      <c r="G213" s="86"/>
    </row>
    <row r="214" spans="3:8" s="84" customFormat="1" hidden="1" x14ac:dyDescent="0.25">
      <c r="E214" s="82"/>
      <c r="F214" s="87"/>
      <c r="G214" s="58"/>
      <c r="H214" s="5"/>
    </row>
    <row r="215" spans="3:8" hidden="1" x14ac:dyDescent="0.25">
      <c r="C215" s="86"/>
      <c r="D215" s="86"/>
      <c r="F215" s="87"/>
    </row>
    <row r="216" spans="3:8" hidden="1" x14ac:dyDescent="0.25"/>
    <row r="217" spans="3:8" hidden="1" x14ac:dyDescent="0.25"/>
    <row r="218" spans="3:8" hidden="1" x14ac:dyDescent="0.25"/>
    <row r="219" spans="3:8" hidden="1" x14ac:dyDescent="0.25"/>
    <row r="220" spans="3:8" hidden="1" x14ac:dyDescent="0.25"/>
    <row r="221" spans="3:8" hidden="1" x14ac:dyDescent="0.25"/>
    <row r="222" spans="3:8" hidden="1" x14ac:dyDescent="0.25"/>
    <row r="223" spans="3:8" hidden="1" x14ac:dyDescent="0.25"/>
    <row r="224" spans="3:8"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sheetData>
  <mergeCells count="6">
    <mergeCell ref="C1:D1"/>
    <mergeCell ref="E1:F1"/>
    <mergeCell ref="C2:D2"/>
    <mergeCell ref="E2:F2"/>
    <mergeCell ref="C3:D3"/>
    <mergeCell ref="E3:F3"/>
  </mergeCells>
  <conditionalFormatting sqref="D7:D12">
    <cfRule type="cellIs" dxfId="383" priority="2" stopIfTrue="1" operator="greaterThan">
      <formula>50</formula>
    </cfRule>
    <cfRule type="cellIs" dxfId="382" priority="11" stopIfTrue="1" operator="equal">
      <formula>0</formula>
    </cfRule>
  </conditionalFormatting>
  <conditionalFormatting sqref="D7:D61">
    <cfRule type="cellIs" dxfId="381" priority="9" stopIfTrue="1" operator="between">
      <formula>-0.1</formula>
      <formula>-50</formula>
    </cfRule>
    <cfRule type="cellIs" dxfId="380" priority="10" stopIfTrue="1" operator="between">
      <formula>0.1</formula>
      <formula>50</formula>
    </cfRule>
  </conditionalFormatting>
  <conditionalFormatting sqref="G152:G181 G7:G150">
    <cfRule type="cellIs" dxfId="379" priority="7" stopIfTrue="1" operator="between">
      <formula>-0.1</formula>
      <formula>-50</formula>
    </cfRule>
    <cfRule type="cellIs" dxfId="378" priority="8" stopIfTrue="1" operator="between">
      <formula>0.1</formula>
      <formula>50</formula>
    </cfRule>
  </conditionalFormatting>
  <conditionalFormatting sqref="D111:D155">
    <cfRule type="cellIs" dxfId="377" priority="5" stopIfTrue="1" operator="between">
      <formula>-0.1</formula>
      <formula>-50</formula>
    </cfRule>
    <cfRule type="cellIs" dxfId="376" priority="6" stopIfTrue="1" operator="between">
      <formula>0.1</formula>
      <formula>50</formula>
    </cfRule>
  </conditionalFormatting>
  <conditionalFormatting sqref="G165">
    <cfRule type="expression" dxfId="375" priority="4" stopIfTrue="1">
      <formula>AND($G$165&gt;0,$G$151&gt;0)</formula>
    </cfRule>
  </conditionalFormatting>
  <conditionalFormatting sqref="G151">
    <cfRule type="expression" dxfId="374" priority="1" stopIfTrue="1">
      <formula>AND($G$151&gt;0,$G$165&gt;0)</formula>
    </cfRule>
  </conditionalFormatting>
  <dataValidations count="11">
    <dataValidation type="custom" operator="greaterThan" showInputMessage="1" showErrorMessage="1" errorTitle="RDM" error="No se admite ingresar RDM como ingresos y egresos a la vez. Tampoco se admiten valores menores a $50._x000a_" sqref="G151">
      <formula1>AND(OR(G151=0, G151&gt;50),G165=0)</formula1>
    </dataValidation>
    <dataValidation type="whole" operator="greaterThan" allowBlank="1" showInputMessage="1" showErrorMessage="1" sqref="D8:D12">
      <formula1>50</formula1>
    </dataValidation>
    <dataValidation type="whole" operator="greaterThan" showInputMessage="1" showErrorMessage="1" errorTitle="eee" error="Valores mayores a $50" sqref="D7">
      <formula1>50</formula1>
    </dataValidation>
    <dataValidation type="custom" operator="greaterThan" showInputMessage="1" showErrorMessage="1" errorTitle="eee" sqref="D56">
      <formula1>OR(D56=0, D56&lt;50)</formula1>
    </dataValidation>
    <dataValidation type="custom" operator="greaterThan" showInputMessage="1" showErrorMessage="1" errorTitle="eee" sqref="D57:D61">
      <formula1>OR(D57=0, D57&lt;0)</formula1>
    </dataValidation>
    <dataValidation type="custom" operator="greaterThan" showInputMessage="1" showErrorMessage="1" errorTitle="eee" sqref="G7:G140 D62:D155 G152:G164 G166:G181 G144:G150 D13:D55">
      <formula1>OR(D7=0, D7&gt;50)</formula1>
    </dataValidation>
    <dataValidation type="whole" allowBlank="1" showErrorMessage="1" errorTitle="Error de datos" error="Debe ingresar un valor entre 1 y 12" sqref="G1:G3">
      <formula1>1</formula1>
      <formula2>12</formula2>
    </dataValidation>
    <dataValidation allowBlank="1" errorTitle="Error de datos" error="Debe introducir una fecha válida" sqref="E3"/>
    <dataValidation allowBlank="1" sqref="G204"/>
    <dataValidation operator="greaterThanOrEqual" allowBlank="1" errorTitle="Error de datos" error="Debe ingresar un valor entero positivo" sqref="F6:F107 F203 C13:C47 C106:C153 F171 F174:F178 F180 F111:F119 C7:C10 F121:F140 F143:F169 C49:C62 C155 F109"/>
    <dataValidation type="custom" operator="greaterThan" showInputMessage="1" showErrorMessage="1" errorTitle="rdm2" error="No se admite ingresar a la vez RDM como ingresos y como egresos. Tampoco se admiten valores negattivos o positivos menores de 50" sqref="G165">
      <formula1>AND(OR(G165=0, G165&gt;50),G151=0)</formula1>
    </dataValidation>
  </dataValidations>
  <pageMargins left="0.7" right="0.7" top="0.75" bottom="0.75" header="0.3" footer="0.3"/>
  <ignoredErrors>
    <ignoredError sqref="E7:E181" numberStoredAsText="1"/>
    <ignoredError sqref="D9 D18:D19 D42 D50 D112:D121 D135 D147 G7:G18 G21:G26 G39 G50 G58:G78 G89:G94 G124:G137" unlockedFormula="1"/>
    <ignoredError sqref="G40" formulaRange="1" unlockedFormula="1"/>
  </ignoredErrors>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VP426"/>
  <sheetViews>
    <sheetView showGridLines="0" workbookViewId="0">
      <selection activeCell="F4" sqref="F4"/>
    </sheetView>
  </sheetViews>
  <sheetFormatPr baseColWidth="10" defaultColWidth="0" defaultRowHeight="12.75" zeroHeight="1" x14ac:dyDescent="0.25"/>
  <cols>
    <col min="1" max="1" width="3.7109375" style="197" customWidth="1"/>
    <col min="2" max="2" width="14.28515625" style="203" hidden="1" customWidth="1"/>
    <col min="3" max="3" width="58.28515625" style="253" customWidth="1"/>
    <col min="4" max="4" width="25.140625" style="253" customWidth="1"/>
    <col min="5" max="5" width="5.85546875" style="277" customWidth="1"/>
    <col min="6" max="6" width="57.28515625" style="253" customWidth="1"/>
    <col min="7" max="7" width="24.7109375" style="253" customWidth="1"/>
    <col min="8" max="8" width="7.7109375" style="201" customWidth="1"/>
    <col min="9" max="254" width="0" style="201" hidden="1"/>
    <col min="255" max="255" width="3.7109375" style="201" hidden="1" customWidth="1"/>
    <col min="256" max="256" width="0" style="201" hidden="1" customWidth="1"/>
    <col min="257" max="257" width="55.28515625" style="201" hidden="1" customWidth="1"/>
    <col min="258" max="259" width="17.7109375" style="201" hidden="1" customWidth="1"/>
    <col min="260" max="260" width="3.85546875" style="201" hidden="1" customWidth="1"/>
    <col min="261" max="261" width="57.28515625" style="201" hidden="1" customWidth="1"/>
    <col min="262" max="263" width="17.7109375" style="201" hidden="1" customWidth="1"/>
    <col min="264" max="264" width="5.42578125" style="201" hidden="1" customWidth="1"/>
    <col min="265" max="510" width="0" style="201" hidden="1"/>
    <col min="511" max="511" width="3.7109375" style="201" hidden="1" customWidth="1"/>
    <col min="512" max="512" width="0" style="201" hidden="1" customWidth="1"/>
    <col min="513" max="513" width="55.28515625" style="201" hidden="1" customWidth="1"/>
    <col min="514" max="515" width="17.7109375" style="201" hidden="1" customWidth="1"/>
    <col min="516" max="516" width="3.85546875" style="201" hidden="1" customWidth="1"/>
    <col min="517" max="517" width="57.28515625" style="201" hidden="1" customWidth="1"/>
    <col min="518" max="519" width="17.7109375" style="201" hidden="1" customWidth="1"/>
    <col min="520" max="520" width="5.42578125" style="201" hidden="1" customWidth="1"/>
    <col min="521" max="766" width="0" style="201" hidden="1"/>
    <col min="767" max="767" width="3.7109375" style="201" hidden="1" customWidth="1"/>
    <col min="768" max="768" width="0" style="201" hidden="1" customWidth="1"/>
    <col min="769" max="769" width="55.28515625" style="201" hidden="1" customWidth="1"/>
    <col min="770" max="771" width="17.7109375" style="201" hidden="1" customWidth="1"/>
    <col min="772" max="772" width="3.85546875" style="201" hidden="1" customWidth="1"/>
    <col min="773" max="773" width="57.28515625" style="201" hidden="1" customWidth="1"/>
    <col min="774" max="775" width="17.7109375" style="201" hidden="1" customWidth="1"/>
    <col min="776" max="776" width="5.42578125" style="201" hidden="1" customWidth="1"/>
    <col min="777" max="1022" width="0" style="201" hidden="1"/>
    <col min="1023" max="1023" width="3.7109375" style="201" hidden="1" customWidth="1"/>
    <col min="1024" max="1024" width="0" style="201" hidden="1" customWidth="1"/>
    <col min="1025" max="1025" width="55.28515625" style="201" hidden="1" customWidth="1"/>
    <col min="1026" max="1027" width="17.7109375" style="201" hidden="1" customWidth="1"/>
    <col min="1028" max="1028" width="3.85546875" style="201" hidden="1" customWidth="1"/>
    <col min="1029" max="1029" width="57.28515625" style="201" hidden="1" customWidth="1"/>
    <col min="1030" max="1031" width="17.7109375" style="201" hidden="1" customWidth="1"/>
    <col min="1032" max="1032" width="5.42578125" style="201" hidden="1" customWidth="1"/>
    <col min="1033" max="1278" width="0" style="201" hidden="1"/>
    <col min="1279" max="1279" width="3.7109375" style="201" hidden="1" customWidth="1"/>
    <col min="1280" max="1280" width="0" style="201" hidden="1" customWidth="1"/>
    <col min="1281" max="1281" width="55.28515625" style="201" hidden="1" customWidth="1"/>
    <col min="1282" max="1283" width="17.7109375" style="201" hidden="1" customWidth="1"/>
    <col min="1284" max="1284" width="3.85546875" style="201" hidden="1" customWidth="1"/>
    <col min="1285" max="1285" width="57.28515625" style="201" hidden="1" customWidth="1"/>
    <col min="1286" max="1287" width="17.7109375" style="201" hidden="1" customWidth="1"/>
    <col min="1288" max="1288" width="5.42578125" style="201" hidden="1" customWidth="1"/>
    <col min="1289" max="1534" width="0" style="201" hidden="1"/>
    <col min="1535" max="1535" width="3.7109375" style="201" hidden="1" customWidth="1"/>
    <col min="1536" max="1536" width="0" style="201" hidden="1" customWidth="1"/>
    <col min="1537" max="1537" width="55.28515625" style="201" hidden="1" customWidth="1"/>
    <col min="1538" max="1539" width="17.7109375" style="201" hidden="1" customWidth="1"/>
    <col min="1540" max="1540" width="3.85546875" style="201" hidden="1" customWidth="1"/>
    <col min="1541" max="1541" width="57.28515625" style="201" hidden="1" customWidth="1"/>
    <col min="1542" max="1543" width="17.7109375" style="201" hidden="1" customWidth="1"/>
    <col min="1544" max="1544" width="5.42578125" style="201" hidden="1" customWidth="1"/>
    <col min="1545" max="1790" width="0" style="201" hidden="1"/>
    <col min="1791" max="1791" width="3.7109375" style="201" hidden="1" customWidth="1"/>
    <col min="1792" max="1792" width="0" style="201" hidden="1" customWidth="1"/>
    <col min="1793" max="1793" width="55.28515625" style="201" hidden="1" customWidth="1"/>
    <col min="1794" max="1795" width="17.7109375" style="201" hidden="1" customWidth="1"/>
    <col min="1796" max="1796" width="3.85546875" style="201" hidden="1" customWidth="1"/>
    <col min="1797" max="1797" width="57.28515625" style="201" hidden="1" customWidth="1"/>
    <col min="1798" max="1799" width="17.7109375" style="201" hidden="1" customWidth="1"/>
    <col min="1800" max="1800" width="5.42578125" style="201" hidden="1" customWidth="1"/>
    <col min="1801" max="2046" width="0" style="201" hidden="1"/>
    <col min="2047" max="2047" width="3.7109375" style="201" hidden="1" customWidth="1"/>
    <col min="2048" max="2048" width="0" style="201" hidden="1" customWidth="1"/>
    <col min="2049" max="2049" width="55.28515625" style="201" hidden="1" customWidth="1"/>
    <col min="2050" max="2051" width="17.7109375" style="201" hidden="1" customWidth="1"/>
    <col min="2052" max="2052" width="3.85546875" style="201" hidden="1" customWidth="1"/>
    <col min="2053" max="2053" width="57.28515625" style="201" hidden="1" customWidth="1"/>
    <col min="2054" max="2055" width="17.7109375" style="201" hidden="1" customWidth="1"/>
    <col min="2056" max="2056" width="5.42578125" style="201" hidden="1" customWidth="1"/>
    <col min="2057" max="2302" width="0" style="201" hidden="1"/>
    <col min="2303" max="2303" width="3.7109375" style="201" hidden="1" customWidth="1"/>
    <col min="2304" max="2304" width="0" style="201" hidden="1" customWidth="1"/>
    <col min="2305" max="2305" width="55.28515625" style="201" hidden="1" customWidth="1"/>
    <col min="2306" max="2307" width="17.7109375" style="201" hidden="1" customWidth="1"/>
    <col min="2308" max="2308" width="3.85546875" style="201" hidden="1" customWidth="1"/>
    <col min="2309" max="2309" width="57.28515625" style="201" hidden="1" customWidth="1"/>
    <col min="2310" max="2311" width="17.7109375" style="201" hidden="1" customWidth="1"/>
    <col min="2312" max="2312" width="5.42578125" style="201" hidden="1" customWidth="1"/>
    <col min="2313" max="2558" width="0" style="201" hidden="1"/>
    <col min="2559" max="2559" width="3.7109375" style="201" hidden="1" customWidth="1"/>
    <col min="2560" max="2560" width="0" style="201" hidden="1" customWidth="1"/>
    <col min="2561" max="2561" width="55.28515625" style="201" hidden="1" customWidth="1"/>
    <col min="2562" max="2563" width="17.7109375" style="201" hidden="1" customWidth="1"/>
    <col min="2564" max="2564" width="3.85546875" style="201" hidden="1" customWidth="1"/>
    <col min="2565" max="2565" width="57.28515625" style="201" hidden="1" customWidth="1"/>
    <col min="2566" max="2567" width="17.7109375" style="201" hidden="1" customWidth="1"/>
    <col min="2568" max="2568" width="5.42578125" style="201" hidden="1" customWidth="1"/>
    <col min="2569" max="2814" width="0" style="201" hidden="1"/>
    <col min="2815" max="2815" width="3.7109375" style="201" hidden="1" customWidth="1"/>
    <col min="2816" max="2816" width="0" style="201" hidden="1" customWidth="1"/>
    <col min="2817" max="2817" width="55.28515625" style="201" hidden="1" customWidth="1"/>
    <col min="2818" max="2819" width="17.7109375" style="201" hidden="1" customWidth="1"/>
    <col min="2820" max="2820" width="3.85546875" style="201" hidden="1" customWidth="1"/>
    <col min="2821" max="2821" width="57.28515625" style="201" hidden="1" customWidth="1"/>
    <col min="2822" max="2823" width="17.7109375" style="201" hidden="1" customWidth="1"/>
    <col min="2824" max="2824" width="5.42578125" style="201" hidden="1" customWidth="1"/>
    <col min="2825" max="3070" width="0" style="201" hidden="1"/>
    <col min="3071" max="3071" width="3.7109375" style="201" hidden="1" customWidth="1"/>
    <col min="3072" max="3072" width="0" style="201" hidden="1" customWidth="1"/>
    <col min="3073" max="3073" width="55.28515625" style="201" hidden="1" customWidth="1"/>
    <col min="3074" max="3075" width="17.7109375" style="201" hidden="1" customWidth="1"/>
    <col min="3076" max="3076" width="3.85546875" style="201" hidden="1" customWidth="1"/>
    <col min="3077" max="3077" width="57.28515625" style="201" hidden="1" customWidth="1"/>
    <col min="3078" max="3079" width="17.7109375" style="201" hidden="1" customWidth="1"/>
    <col min="3080" max="3080" width="5.42578125" style="201" hidden="1" customWidth="1"/>
    <col min="3081" max="3326" width="0" style="201" hidden="1"/>
    <col min="3327" max="3327" width="3.7109375" style="201" hidden="1" customWidth="1"/>
    <col min="3328" max="3328" width="0" style="201" hidden="1" customWidth="1"/>
    <col min="3329" max="3329" width="55.28515625" style="201" hidden="1" customWidth="1"/>
    <col min="3330" max="3331" width="17.7109375" style="201" hidden="1" customWidth="1"/>
    <col min="3332" max="3332" width="3.85546875" style="201" hidden="1" customWidth="1"/>
    <col min="3333" max="3333" width="57.28515625" style="201" hidden="1" customWidth="1"/>
    <col min="3334" max="3335" width="17.7109375" style="201" hidden="1" customWidth="1"/>
    <col min="3336" max="3336" width="5.42578125" style="201" hidden="1" customWidth="1"/>
    <col min="3337" max="3582" width="0" style="201" hidden="1"/>
    <col min="3583" max="3583" width="3.7109375" style="201" hidden="1" customWidth="1"/>
    <col min="3584" max="3584" width="0" style="201" hidden="1" customWidth="1"/>
    <col min="3585" max="3585" width="55.28515625" style="201" hidden="1" customWidth="1"/>
    <col min="3586" max="3587" width="17.7109375" style="201" hidden="1" customWidth="1"/>
    <col min="3588" max="3588" width="3.85546875" style="201" hidden="1" customWidth="1"/>
    <col min="3589" max="3589" width="57.28515625" style="201" hidden="1" customWidth="1"/>
    <col min="3590" max="3591" width="17.7109375" style="201" hidden="1" customWidth="1"/>
    <col min="3592" max="3592" width="5.42578125" style="201" hidden="1" customWidth="1"/>
    <col min="3593" max="3838" width="0" style="201" hidden="1"/>
    <col min="3839" max="3839" width="3.7109375" style="201" hidden="1" customWidth="1"/>
    <col min="3840" max="3840" width="0" style="201" hidden="1" customWidth="1"/>
    <col min="3841" max="3841" width="55.28515625" style="201" hidden="1" customWidth="1"/>
    <col min="3842" max="3843" width="17.7109375" style="201" hidden="1" customWidth="1"/>
    <col min="3844" max="3844" width="3.85546875" style="201" hidden="1" customWidth="1"/>
    <col min="3845" max="3845" width="57.28515625" style="201" hidden="1" customWidth="1"/>
    <col min="3846" max="3847" width="17.7109375" style="201" hidden="1" customWidth="1"/>
    <col min="3848" max="3848" width="5.42578125" style="201" hidden="1" customWidth="1"/>
    <col min="3849" max="4094" width="0" style="201" hidden="1"/>
    <col min="4095" max="4095" width="3.7109375" style="201" hidden="1" customWidth="1"/>
    <col min="4096" max="4096" width="0" style="201" hidden="1" customWidth="1"/>
    <col min="4097" max="4097" width="55.28515625" style="201" hidden="1" customWidth="1"/>
    <col min="4098" max="4099" width="17.7109375" style="201" hidden="1" customWidth="1"/>
    <col min="4100" max="4100" width="3.85546875" style="201" hidden="1" customWidth="1"/>
    <col min="4101" max="4101" width="57.28515625" style="201" hidden="1" customWidth="1"/>
    <col min="4102" max="4103" width="17.7109375" style="201" hidden="1" customWidth="1"/>
    <col min="4104" max="4104" width="5.42578125" style="201" hidden="1" customWidth="1"/>
    <col min="4105" max="4350" width="0" style="201" hidden="1"/>
    <col min="4351" max="4351" width="3.7109375" style="201" hidden="1" customWidth="1"/>
    <col min="4352" max="4352" width="0" style="201" hidden="1" customWidth="1"/>
    <col min="4353" max="4353" width="55.28515625" style="201" hidden="1" customWidth="1"/>
    <col min="4354" max="4355" width="17.7109375" style="201" hidden="1" customWidth="1"/>
    <col min="4356" max="4356" width="3.85546875" style="201" hidden="1" customWidth="1"/>
    <col min="4357" max="4357" width="57.28515625" style="201" hidden="1" customWidth="1"/>
    <col min="4358" max="4359" width="17.7109375" style="201" hidden="1" customWidth="1"/>
    <col min="4360" max="4360" width="5.42578125" style="201" hidden="1" customWidth="1"/>
    <col min="4361" max="4606" width="0" style="201" hidden="1"/>
    <col min="4607" max="4607" width="3.7109375" style="201" hidden="1" customWidth="1"/>
    <col min="4608" max="4608" width="0" style="201" hidden="1" customWidth="1"/>
    <col min="4609" max="4609" width="55.28515625" style="201" hidden="1" customWidth="1"/>
    <col min="4610" max="4611" width="17.7109375" style="201" hidden="1" customWidth="1"/>
    <col min="4612" max="4612" width="3.85546875" style="201" hidden="1" customWidth="1"/>
    <col min="4613" max="4613" width="57.28515625" style="201" hidden="1" customWidth="1"/>
    <col min="4614" max="4615" width="17.7109375" style="201" hidden="1" customWidth="1"/>
    <col min="4616" max="4616" width="5.42578125" style="201" hidden="1" customWidth="1"/>
    <col min="4617" max="4862" width="0" style="201" hidden="1"/>
    <col min="4863" max="4863" width="3.7109375" style="201" hidden="1" customWidth="1"/>
    <col min="4864" max="4864" width="0" style="201" hidden="1" customWidth="1"/>
    <col min="4865" max="4865" width="55.28515625" style="201" hidden="1" customWidth="1"/>
    <col min="4866" max="4867" width="17.7109375" style="201" hidden="1" customWidth="1"/>
    <col min="4868" max="4868" width="3.85546875" style="201" hidden="1" customWidth="1"/>
    <col min="4869" max="4869" width="57.28515625" style="201" hidden="1" customWidth="1"/>
    <col min="4870" max="4871" width="17.7109375" style="201" hidden="1" customWidth="1"/>
    <col min="4872" max="4872" width="5.42578125" style="201" hidden="1" customWidth="1"/>
    <col min="4873" max="5118" width="0" style="201" hidden="1"/>
    <col min="5119" max="5119" width="3.7109375" style="201" hidden="1" customWidth="1"/>
    <col min="5120" max="5120" width="0" style="201" hidden="1" customWidth="1"/>
    <col min="5121" max="5121" width="55.28515625" style="201" hidden="1" customWidth="1"/>
    <col min="5122" max="5123" width="17.7109375" style="201" hidden="1" customWidth="1"/>
    <col min="5124" max="5124" width="3.85546875" style="201" hidden="1" customWidth="1"/>
    <col min="5125" max="5125" width="57.28515625" style="201" hidden="1" customWidth="1"/>
    <col min="5126" max="5127" width="17.7109375" style="201" hidden="1" customWidth="1"/>
    <col min="5128" max="5128" width="5.42578125" style="201" hidden="1" customWidth="1"/>
    <col min="5129" max="5374" width="0" style="201" hidden="1"/>
    <col min="5375" max="5375" width="3.7109375" style="201" hidden="1" customWidth="1"/>
    <col min="5376" max="5376" width="0" style="201" hidden="1" customWidth="1"/>
    <col min="5377" max="5377" width="55.28515625" style="201" hidden="1" customWidth="1"/>
    <col min="5378" max="5379" width="17.7109375" style="201" hidden="1" customWidth="1"/>
    <col min="5380" max="5380" width="3.85546875" style="201" hidden="1" customWidth="1"/>
    <col min="5381" max="5381" width="57.28515625" style="201" hidden="1" customWidth="1"/>
    <col min="5382" max="5383" width="17.7109375" style="201" hidden="1" customWidth="1"/>
    <col min="5384" max="5384" width="5.42578125" style="201" hidden="1" customWidth="1"/>
    <col min="5385" max="5630" width="0" style="201" hidden="1"/>
    <col min="5631" max="5631" width="3.7109375" style="201" hidden="1" customWidth="1"/>
    <col min="5632" max="5632" width="0" style="201" hidden="1" customWidth="1"/>
    <col min="5633" max="5633" width="55.28515625" style="201" hidden="1" customWidth="1"/>
    <col min="5634" max="5635" width="17.7109375" style="201" hidden="1" customWidth="1"/>
    <col min="5636" max="5636" width="3.85546875" style="201" hidden="1" customWidth="1"/>
    <col min="5637" max="5637" width="57.28515625" style="201" hidden="1" customWidth="1"/>
    <col min="5638" max="5639" width="17.7109375" style="201" hidden="1" customWidth="1"/>
    <col min="5640" max="5640" width="5.42578125" style="201" hidden="1" customWidth="1"/>
    <col min="5641" max="5886" width="0" style="201" hidden="1"/>
    <col min="5887" max="5887" width="3.7109375" style="201" hidden="1" customWidth="1"/>
    <col min="5888" max="5888" width="0" style="201" hidden="1" customWidth="1"/>
    <col min="5889" max="5889" width="55.28515625" style="201" hidden="1" customWidth="1"/>
    <col min="5890" max="5891" width="17.7109375" style="201" hidden="1" customWidth="1"/>
    <col min="5892" max="5892" width="3.85546875" style="201" hidden="1" customWidth="1"/>
    <col min="5893" max="5893" width="57.28515625" style="201" hidden="1" customWidth="1"/>
    <col min="5894" max="5895" width="17.7109375" style="201" hidden="1" customWidth="1"/>
    <col min="5896" max="5896" width="5.42578125" style="201" hidden="1" customWidth="1"/>
    <col min="5897" max="6142" width="0" style="201" hidden="1"/>
    <col min="6143" max="6143" width="3.7109375" style="201" hidden="1" customWidth="1"/>
    <col min="6144" max="6144" width="0" style="201" hidden="1" customWidth="1"/>
    <col min="6145" max="6145" width="55.28515625" style="201" hidden="1" customWidth="1"/>
    <col min="6146" max="6147" width="17.7109375" style="201" hidden="1" customWidth="1"/>
    <col min="6148" max="6148" width="3.85546875" style="201" hidden="1" customWidth="1"/>
    <col min="6149" max="6149" width="57.28515625" style="201" hidden="1" customWidth="1"/>
    <col min="6150" max="6151" width="17.7109375" style="201" hidden="1" customWidth="1"/>
    <col min="6152" max="6152" width="5.42578125" style="201" hidden="1" customWidth="1"/>
    <col min="6153" max="6398" width="0" style="201" hidden="1"/>
    <col min="6399" max="6399" width="3.7109375" style="201" hidden="1" customWidth="1"/>
    <col min="6400" max="6400" width="0" style="201" hidden="1" customWidth="1"/>
    <col min="6401" max="6401" width="55.28515625" style="201" hidden="1" customWidth="1"/>
    <col min="6402" max="6403" width="17.7109375" style="201" hidden="1" customWidth="1"/>
    <col min="6404" max="6404" width="3.85546875" style="201" hidden="1" customWidth="1"/>
    <col min="6405" max="6405" width="57.28515625" style="201" hidden="1" customWidth="1"/>
    <col min="6406" max="6407" width="17.7109375" style="201" hidden="1" customWidth="1"/>
    <col min="6408" max="6408" width="5.42578125" style="201" hidden="1" customWidth="1"/>
    <col min="6409" max="6654" width="0" style="201" hidden="1"/>
    <col min="6655" max="6655" width="3.7109375" style="201" hidden="1" customWidth="1"/>
    <col min="6656" max="6656" width="0" style="201" hidden="1" customWidth="1"/>
    <col min="6657" max="6657" width="55.28515625" style="201" hidden="1" customWidth="1"/>
    <col min="6658" max="6659" width="17.7109375" style="201" hidden="1" customWidth="1"/>
    <col min="6660" max="6660" width="3.85546875" style="201" hidden="1" customWidth="1"/>
    <col min="6661" max="6661" width="57.28515625" style="201" hidden="1" customWidth="1"/>
    <col min="6662" max="6663" width="17.7109375" style="201" hidden="1" customWidth="1"/>
    <col min="6664" max="6664" width="5.42578125" style="201" hidden="1" customWidth="1"/>
    <col min="6665" max="6910" width="0" style="201" hidden="1"/>
    <col min="6911" max="6911" width="3.7109375" style="201" hidden="1" customWidth="1"/>
    <col min="6912" max="6912" width="0" style="201" hidden="1" customWidth="1"/>
    <col min="6913" max="6913" width="55.28515625" style="201" hidden="1" customWidth="1"/>
    <col min="6914" max="6915" width="17.7109375" style="201" hidden="1" customWidth="1"/>
    <col min="6916" max="6916" width="3.85546875" style="201" hidden="1" customWidth="1"/>
    <col min="6917" max="6917" width="57.28515625" style="201" hidden="1" customWidth="1"/>
    <col min="6918" max="6919" width="17.7109375" style="201" hidden="1" customWidth="1"/>
    <col min="6920" max="6920" width="5.42578125" style="201" hidden="1" customWidth="1"/>
    <col min="6921" max="7166" width="0" style="201" hidden="1"/>
    <col min="7167" max="7167" width="3.7109375" style="201" hidden="1" customWidth="1"/>
    <col min="7168" max="7168" width="0" style="201" hidden="1" customWidth="1"/>
    <col min="7169" max="7169" width="55.28515625" style="201" hidden="1" customWidth="1"/>
    <col min="7170" max="7171" width="17.7109375" style="201" hidden="1" customWidth="1"/>
    <col min="7172" max="7172" width="3.85546875" style="201" hidden="1" customWidth="1"/>
    <col min="7173" max="7173" width="57.28515625" style="201" hidden="1" customWidth="1"/>
    <col min="7174" max="7175" width="17.7109375" style="201" hidden="1" customWidth="1"/>
    <col min="7176" max="7176" width="5.42578125" style="201" hidden="1" customWidth="1"/>
    <col min="7177" max="7422" width="0" style="201" hidden="1"/>
    <col min="7423" max="7423" width="3.7109375" style="201" hidden="1" customWidth="1"/>
    <col min="7424" max="7424" width="0" style="201" hidden="1" customWidth="1"/>
    <col min="7425" max="7425" width="55.28515625" style="201" hidden="1" customWidth="1"/>
    <col min="7426" max="7427" width="17.7109375" style="201" hidden="1" customWidth="1"/>
    <col min="7428" max="7428" width="3.85546875" style="201" hidden="1" customWidth="1"/>
    <col min="7429" max="7429" width="57.28515625" style="201" hidden="1" customWidth="1"/>
    <col min="7430" max="7431" width="17.7109375" style="201" hidden="1" customWidth="1"/>
    <col min="7432" max="7432" width="5.42578125" style="201" hidden="1" customWidth="1"/>
    <col min="7433" max="7678" width="0" style="201" hidden="1"/>
    <col min="7679" max="7679" width="3.7109375" style="201" hidden="1" customWidth="1"/>
    <col min="7680" max="7680" width="0" style="201" hidden="1" customWidth="1"/>
    <col min="7681" max="7681" width="55.28515625" style="201" hidden="1" customWidth="1"/>
    <col min="7682" max="7683" width="17.7109375" style="201" hidden="1" customWidth="1"/>
    <col min="7684" max="7684" width="3.85546875" style="201" hidden="1" customWidth="1"/>
    <col min="7685" max="7685" width="57.28515625" style="201" hidden="1" customWidth="1"/>
    <col min="7686" max="7687" width="17.7109375" style="201" hidden="1" customWidth="1"/>
    <col min="7688" max="7688" width="5.42578125" style="201" hidden="1" customWidth="1"/>
    <col min="7689" max="7934" width="0" style="201" hidden="1"/>
    <col min="7935" max="7935" width="3.7109375" style="201" hidden="1" customWidth="1"/>
    <col min="7936" max="7936" width="0" style="201" hidden="1" customWidth="1"/>
    <col min="7937" max="7937" width="55.28515625" style="201" hidden="1" customWidth="1"/>
    <col min="7938" max="7939" width="17.7109375" style="201" hidden="1" customWidth="1"/>
    <col min="7940" max="7940" width="3.85546875" style="201" hidden="1" customWidth="1"/>
    <col min="7941" max="7941" width="57.28515625" style="201" hidden="1" customWidth="1"/>
    <col min="7942" max="7943" width="17.7109375" style="201" hidden="1" customWidth="1"/>
    <col min="7944" max="7944" width="5.42578125" style="201" hidden="1" customWidth="1"/>
    <col min="7945" max="8190" width="0" style="201" hidden="1"/>
    <col min="8191" max="8191" width="3.7109375" style="201" hidden="1" customWidth="1"/>
    <col min="8192" max="8192" width="0" style="201" hidden="1" customWidth="1"/>
    <col min="8193" max="8193" width="55.28515625" style="201" hidden="1" customWidth="1"/>
    <col min="8194" max="8195" width="17.7109375" style="201" hidden="1" customWidth="1"/>
    <col min="8196" max="8196" width="3.85546875" style="201" hidden="1" customWidth="1"/>
    <col min="8197" max="8197" width="57.28515625" style="201" hidden="1" customWidth="1"/>
    <col min="8198" max="8199" width="17.7109375" style="201" hidden="1" customWidth="1"/>
    <col min="8200" max="8200" width="5.42578125" style="201" hidden="1" customWidth="1"/>
    <col min="8201" max="8446" width="0" style="201" hidden="1"/>
    <col min="8447" max="8447" width="3.7109375" style="201" hidden="1" customWidth="1"/>
    <col min="8448" max="8448" width="0" style="201" hidden="1" customWidth="1"/>
    <col min="8449" max="8449" width="55.28515625" style="201" hidden="1" customWidth="1"/>
    <col min="8450" max="8451" width="17.7109375" style="201" hidden="1" customWidth="1"/>
    <col min="8452" max="8452" width="3.85546875" style="201" hidden="1" customWidth="1"/>
    <col min="8453" max="8453" width="57.28515625" style="201" hidden="1" customWidth="1"/>
    <col min="8454" max="8455" width="17.7109375" style="201" hidden="1" customWidth="1"/>
    <col min="8456" max="8456" width="5.42578125" style="201" hidden="1" customWidth="1"/>
    <col min="8457" max="8702" width="0" style="201" hidden="1"/>
    <col min="8703" max="8703" width="3.7109375" style="201" hidden="1" customWidth="1"/>
    <col min="8704" max="8704" width="0" style="201" hidden="1" customWidth="1"/>
    <col min="8705" max="8705" width="55.28515625" style="201" hidden="1" customWidth="1"/>
    <col min="8706" max="8707" width="17.7109375" style="201" hidden="1" customWidth="1"/>
    <col min="8708" max="8708" width="3.85546875" style="201" hidden="1" customWidth="1"/>
    <col min="8709" max="8709" width="57.28515625" style="201" hidden="1" customWidth="1"/>
    <col min="8710" max="8711" width="17.7109375" style="201" hidden="1" customWidth="1"/>
    <col min="8712" max="8712" width="5.42578125" style="201" hidden="1" customWidth="1"/>
    <col min="8713" max="8958" width="0" style="201" hidden="1"/>
    <col min="8959" max="8959" width="3.7109375" style="201" hidden="1" customWidth="1"/>
    <col min="8960" max="8960" width="0" style="201" hidden="1" customWidth="1"/>
    <col min="8961" max="8961" width="55.28515625" style="201" hidden="1" customWidth="1"/>
    <col min="8962" max="8963" width="17.7109375" style="201" hidden="1" customWidth="1"/>
    <col min="8964" max="8964" width="3.85546875" style="201" hidden="1" customWidth="1"/>
    <col min="8965" max="8965" width="57.28515625" style="201" hidden="1" customWidth="1"/>
    <col min="8966" max="8967" width="17.7109375" style="201" hidden="1" customWidth="1"/>
    <col min="8968" max="8968" width="5.42578125" style="201" hidden="1" customWidth="1"/>
    <col min="8969" max="9214" width="0" style="201" hidden="1"/>
    <col min="9215" max="9215" width="3.7109375" style="201" hidden="1" customWidth="1"/>
    <col min="9216" max="9216" width="0" style="201" hidden="1" customWidth="1"/>
    <col min="9217" max="9217" width="55.28515625" style="201" hidden="1" customWidth="1"/>
    <col min="9218" max="9219" width="17.7109375" style="201" hidden="1" customWidth="1"/>
    <col min="9220" max="9220" width="3.85546875" style="201" hidden="1" customWidth="1"/>
    <col min="9221" max="9221" width="57.28515625" style="201" hidden="1" customWidth="1"/>
    <col min="9222" max="9223" width="17.7109375" style="201" hidden="1" customWidth="1"/>
    <col min="9224" max="9224" width="5.42578125" style="201" hidden="1" customWidth="1"/>
    <col min="9225" max="9470" width="0" style="201" hidden="1"/>
    <col min="9471" max="9471" width="3.7109375" style="201" hidden="1" customWidth="1"/>
    <col min="9472" max="9472" width="0" style="201" hidden="1" customWidth="1"/>
    <col min="9473" max="9473" width="55.28515625" style="201" hidden="1" customWidth="1"/>
    <col min="9474" max="9475" width="17.7109375" style="201" hidden="1" customWidth="1"/>
    <col min="9476" max="9476" width="3.85546875" style="201" hidden="1" customWidth="1"/>
    <col min="9477" max="9477" width="57.28515625" style="201" hidden="1" customWidth="1"/>
    <col min="9478" max="9479" width="17.7109375" style="201" hidden="1" customWidth="1"/>
    <col min="9480" max="9480" width="5.42578125" style="201" hidden="1" customWidth="1"/>
    <col min="9481" max="9726" width="0" style="201" hidden="1"/>
    <col min="9727" max="9727" width="3.7109375" style="201" hidden="1" customWidth="1"/>
    <col min="9728" max="9728" width="0" style="201" hidden="1" customWidth="1"/>
    <col min="9729" max="9729" width="55.28515625" style="201" hidden="1" customWidth="1"/>
    <col min="9730" max="9731" width="17.7109375" style="201" hidden="1" customWidth="1"/>
    <col min="9732" max="9732" width="3.85546875" style="201" hidden="1" customWidth="1"/>
    <col min="9733" max="9733" width="57.28515625" style="201" hidden="1" customWidth="1"/>
    <col min="9734" max="9735" width="17.7109375" style="201" hidden="1" customWidth="1"/>
    <col min="9736" max="9736" width="5.42578125" style="201" hidden="1" customWidth="1"/>
    <col min="9737" max="9982" width="0" style="201" hidden="1"/>
    <col min="9983" max="9983" width="3.7109375" style="201" hidden="1" customWidth="1"/>
    <col min="9984" max="9984" width="0" style="201" hidden="1" customWidth="1"/>
    <col min="9985" max="9985" width="55.28515625" style="201" hidden="1" customWidth="1"/>
    <col min="9986" max="9987" width="17.7109375" style="201" hidden="1" customWidth="1"/>
    <col min="9988" max="9988" width="3.85546875" style="201" hidden="1" customWidth="1"/>
    <col min="9989" max="9989" width="57.28515625" style="201" hidden="1" customWidth="1"/>
    <col min="9990" max="9991" width="17.7109375" style="201" hidden="1" customWidth="1"/>
    <col min="9992" max="9992" width="5.42578125" style="201" hidden="1" customWidth="1"/>
    <col min="9993" max="10238" width="0" style="201" hidden="1"/>
    <col min="10239" max="10239" width="3.7109375" style="201" hidden="1" customWidth="1"/>
    <col min="10240" max="10240" width="0" style="201" hidden="1" customWidth="1"/>
    <col min="10241" max="10241" width="55.28515625" style="201" hidden="1" customWidth="1"/>
    <col min="10242" max="10243" width="17.7109375" style="201" hidden="1" customWidth="1"/>
    <col min="10244" max="10244" width="3.85546875" style="201" hidden="1" customWidth="1"/>
    <col min="10245" max="10245" width="57.28515625" style="201" hidden="1" customWidth="1"/>
    <col min="10246" max="10247" width="17.7109375" style="201" hidden="1" customWidth="1"/>
    <col min="10248" max="10248" width="5.42578125" style="201" hidden="1" customWidth="1"/>
    <col min="10249" max="10494" width="0" style="201" hidden="1"/>
    <col min="10495" max="10495" width="3.7109375" style="201" hidden="1" customWidth="1"/>
    <col min="10496" max="10496" width="0" style="201" hidden="1" customWidth="1"/>
    <col min="10497" max="10497" width="55.28515625" style="201" hidden="1" customWidth="1"/>
    <col min="10498" max="10499" width="17.7109375" style="201" hidden="1" customWidth="1"/>
    <col min="10500" max="10500" width="3.85546875" style="201" hidden="1" customWidth="1"/>
    <col min="10501" max="10501" width="57.28515625" style="201" hidden="1" customWidth="1"/>
    <col min="10502" max="10503" width="17.7109375" style="201" hidden="1" customWidth="1"/>
    <col min="10504" max="10504" width="5.42578125" style="201" hidden="1" customWidth="1"/>
    <col min="10505" max="10750" width="0" style="201" hidden="1"/>
    <col min="10751" max="10751" width="3.7109375" style="201" hidden="1" customWidth="1"/>
    <col min="10752" max="10752" width="0" style="201" hidden="1" customWidth="1"/>
    <col min="10753" max="10753" width="55.28515625" style="201" hidden="1" customWidth="1"/>
    <col min="10754" max="10755" width="17.7109375" style="201" hidden="1" customWidth="1"/>
    <col min="10756" max="10756" width="3.85546875" style="201" hidden="1" customWidth="1"/>
    <col min="10757" max="10757" width="57.28515625" style="201" hidden="1" customWidth="1"/>
    <col min="10758" max="10759" width="17.7109375" style="201" hidden="1" customWidth="1"/>
    <col min="10760" max="10760" width="5.42578125" style="201" hidden="1" customWidth="1"/>
    <col min="10761" max="11006" width="0" style="201" hidden="1"/>
    <col min="11007" max="11007" width="3.7109375" style="201" hidden="1" customWidth="1"/>
    <col min="11008" max="11008" width="0" style="201" hidden="1" customWidth="1"/>
    <col min="11009" max="11009" width="55.28515625" style="201" hidden="1" customWidth="1"/>
    <col min="11010" max="11011" width="17.7109375" style="201" hidden="1" customWidth="1"/>
    <col min="11012" max="11012" width="3.85546875" style="201" hidden="1" customWidth="1"/>
    <col min="11013" max="11013" width="57.28515625" style="201" hidden="1" customWidth="1"/>
    <col min="11014" max="11015" width="17.7109375" style="201" hidden="1" customWidth="1"/>
    <col min="11016" max="11016" width="5.42578125" style="201" hidden="1" customWidth="1"/>
    <col min="11017" max="11262" width="0" style="201" hidden="1"/>
    <col min="11263" max="11263" width="3.7109375" style="201" hidden="1" customWidth="1"/>
    <col min="11264" max="11264" width="0" style="201" hidden="1" customWidth="1"/>
    <col min="11265" max="11265" width="55.28515625" style="201" hidden="1" customWidth="1"/>
    <col min="11266" max="11267" width="17.7109375" style="201" hidden="1" customWidth="1"/>
    <col min="11268" max="11268" width="3.85546875" style="201" hidden="1" customWidth="1"/>
    <col min="11269" max="11269" width="57.28515625" style="201" hidden="1" customWidth="1"/>
    <col min="11270" max="11271" width="17.7109375" style="201" hidden="1" customWidth="1"/>
    <col min="11272" max="11272" width="5.42578125" style="201" hidden="1" customWidth="1"/>
    <col min="11273" max="11518" width="0" style="201" hidden="1"/>
    <col min="11519" max="11519" width="3.7109375" style="201" hidden="1" customWidth="1"/>
    <col min="11520" max="11520" width="0" style="201" hidden="1" customWidth="1"/>
    <col min="11521" max="11521" width="55.28515625" style="201" hidden="1" customWidth="1"/>
    <col min="11522" max="11523" width="17.7109375" style="201" hidden="1" customWidth="1"/>
    <col min="11524" max="11524" width="3.85546875" style="201" hidden="1" customWidth="1"/>
    <col min="11525" max="11525" width="57.28515625" style="201" hidden="1" customWidth="1"/>
    <col min="11526" max="11527" width="17.7109375" style="201" hidden="1" customWidth="1"/>
    <col min="11528" max="11528" width="5.42578125" style="201" hidden="1" customWidth="1"/>
    <col min="11529" max="11774" width="0" style="201" hidden="1"/>
    <col min="11775" max="11775" width="3.7109375" style="201" hidden="1" customWidth="1"/>
    <col min="11776" max="11776" width="0" style="201" hidden="1" customWidth="1"/>
    <col min="11777" max="11777" width="55.28515625" style="201" hidden="1" customWidth="1"/>
    <col min="11778" max="11779" width="17.7109375" style="201" hidden="1" customWidth="1"/>
    <col min="11780" max="11780" width="3.85546875" style="201" hidden="1" customWidth="1"/>
    <col min="11781" max="11781" width="57.28515625" style="201" hidden="1" customWidth="1"/>
    <col min="11782" max="11783" width="17.7109375" style="201" hidden="1" customWidth="1"/>
    <col min="11784" max="11784" width="5.42578125" style="201" hidden="1" customWidth="1"/>
    <col min="11785" max="12030" width="0" style="201" hidden="1"/>
    <col min="12031" max="12031" width="3.7109375" style="201" hidden="1" customWidth="1"/>
    <col min="12032" max="12032" width="0" style="201" hidden="1" customWidth="1"/>
    <col min="12033" max="12033" width="55.28515625" style="201" hidden="1" customWidth="1"/>
    <col min="12034" max="12035" width="17.7109375" style="201" hidden="1" customWidth="1"/>
    <col min="12036" max="12036" width="3.85546875" style="201" hidden="1" customWidth="1"/>
    <col min="12037" max="12037" width="57.28515625" style="201" hidden="1" customWidth="1"/>
    <col min="12038" max="12039" width="17.7109375" style="201" hidden="1" customWidth="1"/>
    <col min="12040" max="12040" width="5.42578125" style="201" hidden="1" customWidth="1"/>
    <col min="12041" max="12286" width="0" style="201" hidden="1"/>
    <col min="12287" max="12287" width="3.7109375" style="201" hidden="1" customWidth="1"/>
    <col min="12288" max="12288" width="0" style="201" hidden="1" customWidth="1"/>
    <col min="12289" max="12289" width="55.28515625" style="201" hidden="1" customWidth="1"/>
    <col min="12290" max="12291" width="17.7109375" style="201" hidden="1" customWidth="1"/>
    <col min="12292" max="12292" width="3.85546875" style="201" hidden="1" customWidth="1"/>
    <col min="12293" max="12293" width="57.28515625" style="201" hidden="1" customWidth="1"/>
    <col min="12294" max="12295" width="17.7109375" style="201" hidden="1" customWidth="1"/>
    <col min="12296" max="12296" width="5.42578125" style="201" hidden="1" customWidth="1"/>
    <col min="12297" max="12542" width="0" style="201" hidden="1"/>
    <col min="12543" max="12543" width="3.7109375" style="201" hidden="1" customWidth="1"/>
    <col min="12544" max="12544" width="0" style="201" hidden="1" customWidth="1"/>
    <col min="12545" max="12545" width="55.28515625" style="201" hidden="1" customWidth="1"/>
    <col min="12546" max="12547" width="17.7109375" style="201" hidden="1" customWidth="1"/>
    <col min="12548" max="12548" width="3.85546875" style="201" hidden="1" customWidth="1"/>
    <col min="12549" max="12549" width="57.28515625" style="201" hidden="1" customWidth="1"/>
    <col min="12550" max="12551" width="17.7109375" style="201" hidden="1" customWidth="1"/>
    <col min="12552" max="12552" width="5.42578125" style="201" hidden="1" customWidth="1"/>
    <col min="12553" max="12798" width="0" style="201" hidden="1"/>
    <col min="12799" max="12799" width="3.7109375" style="201" hidden="1" customWidth="1"/>
    <col min="12800" max="12800" width="0" style="201" hidden="1" customWidth="1"/>
    <col min="12801" max="12801" width="55.28515625" style="201" hidden="1" customWidth="1"/>
    <col min="12802" max="12803" width="17.7109375" style="201" hidden="1" customWidth="1"/>
    <col min="12804" max="12804" width="3.85546875" style="201" hidden="1" customWidth="1"/>
    <col min="12805" max="12805" width="57.28515625" style="201" hidden="1" customWidth="1"/>
    <col min="12806" max="12807" width="17.7109375" style="201" hidden="1" customWidth="1"/>
    <col min="12808" max="12808" width="5.42578125" style="201" hidden="1" customWidth="1"/>
    <col min="12809" max="13054" width="0" style="201" hidden="1"/>
    <col min="13055" max="13055" width="3.7109375" style="201" hidden="1" customWidth="1"/>
    <col min="13056" max="13056" width="0" style="201" hidden="1" customWidth="1"/>
    <col min="13057" max="13057" width="55.28515625" style="201" hidden="1" customWidth="1"/>
    <col min="13058" max="13059" width="17.7109375" style="201" hidden="1" customWidth="1"/>
    <col min="13060" max="13060" width="3.85546875" style="201" hidden="1" customWidth="1"/>
    <col min="13061" max="13061" width="57.28515625" style="201" hidden="1" customWidth="1"/>
    <col min="13062" max="13063" width="17.7109375" style="201" hidden="1" customWidth="1"/>
    <col min="13064" max="13064" width="5.42578125" style="201" hidden="1" customWidth="1"/>
    <col min="13065" max="13310" width="0" style="201" hidden="1"/>
    <col min="13311" max="13311" width="3.7109375" style="201" hidden="1" customWidth="1"/>
    <col min="13312" max="13312" width="0" style="201" hidden="1" customWidth="1"/>
    <col min="13313" max="13313" width="55.28515625" style="201" hidden="1" customWidth="1"/>
    <col min="13314" max="13315" width="17.7109375" style="201" hidden="1" customWidth="1"/>
    <col min="13316" max="13316" width="3.85546875" style="201" hidden="1" customWidth="1"/>
    <col min="13317" max="13317" width="57.28515625" style="201" hidden="1" customWidth="1"/>
    <col min="13318" max="13319" width="17.7109375" style="201" hidden="1" customWidth="1"/>
    <col min="13320" max="13320" width="5.42578125" style="201" hidden="1" customWidth="1"/>
    <col min="13321" max="13566" width="0" style="201" hidden="1"/>
    <col min="13567" max="13567" width="3.7109375" style="201" hidden="1" customWidth="1"/>
    <col min="13568" max="13568" width="0" style="201" hidden="1" customWidth="1"/>
    <col min="13569" max="13569" width="55.28515625" style="201" hidden="1" customWidth="1"/>
    <col min="13570" max="13571" width="17.7109375" style="201" hidden="1" customWidth="1"/>
    <col min="13572" max="13572" width="3.85546875" style="201" hidden="1" customWidth="1"/>
    <col min="13573" max="13573" width="57.28515625" style="201" hidden="1" customWidth="1"/>
    <col min="13574" max="13575" width="17.7109375" style="201" hidden="1" customWidth="1"/>
    <col min="13576" max="13576" width="5.42578125" style="201" hidden="1" customWidth="1"/>
    <col min="13577" max="13822" width="0" style="201" hidden="1"/>
    <col min="13823" max="13823" width="3.7109375" style="201" hidden="1" customWidth="1"/>
    <col min="13824" max="13824" width="0" style="201" hidden="1" customWidth="1"/>
    <col min="13825" max="13825" width="55.28515625" style="201" hidden="1" customWidth="1"/>
    <col min="13826" max="13827" width="17.7109375" style="201" hidden="1" customWidth="1"/>
    <col min="13828" max="13828" width="3.85546875" style="201" hidden="1" customWidth="1"/>
    <col min="13829" max="13829" width="57.28515625" style="201" hidden="1" customWidth="1"/>
    <col min="13830" max="13831" width="17.7109375" style="201" hidden="1" customWidth="1"/>
    <col min="13832" max="13832" width="5.42578125" style="201" hidden="1" customWidth="1"/>
    <col min="13833" max="14078" width="0" style="201" hidden="1"/>
    <col min="14079" max="14079" width="3.7109375" style="201" hidden="1" customWidth="1"/>
    <col min="14080" max="14080" width="0" style="201" hidden="1" customWidth="1"/>
    <col min="14081" max="14081" width="55.28515625" style="201" hidden="1" customWidth="1"/>
    <col min="14082" max="14083" width="17.7109375" style="201" hidden="1" customWidth="1"/>
    <col min="14084" max="14084" width="3.85546875" style="201" hidden="1" customWidth="1"/>
    <col min="14085" max="14085" width="57.28515625" style="201" hidden="1" customWidth="1"/>
    <col min="14086" max="14087" width="17.7109375" style="201" hidden="1" customWidth="1"/>
    <col min="14088" max="14088" width="5.42578125" style="201" hidden="1" customWidth="1"/>
    <col min="14089" max="14334" width="0" style="201" hidden="1"/>
    <col min="14335" max="14335" width="3.7109375" style="201" hidden="1" customWidth="1"/>
    <col min="14336" max="14336" width="0" style="201" hidden="1" customWidth="1"/>
    <col min="14337" max="14337" width="55.28515625" style="201" hidden="1" customWidth="1"/>
    <col min="14338" max="14339" width="17.7109375" style="201" hidden="1" customWidth="1"/>
    <col min="14340" max="14340" width="3.85546875" style="201" hidden="1" customWidth="1"/>
    <col min="14341" max="14341" width="57.28515625" style="201" hidden="1" customWidth="1"/>
    <col min="14342" max="14343" width="17.7109375" style="201" hidden="1" customWidth="1"/>
    <col min="14344" max="14344" width="5.42578125" style="201" hidden="1" customWidth="1"/>
    <col min="14345" max="14590" width="0" style="201" hidden="1"/>
    <col min="14591" max="14591" width="3.7109375" style="201" hidden="1" customWidth="1"/>
    <col min="14592" max="14592" width="0" style="201" hidden="1" customWidth="1"/>
    <col min="14593" max="14593" width="55.28515625" style="201" hidden="1" customWidth="1"/>
    <col min="14594" max="14595" width="17.7109375" style="201" hidden="1" customWidth="1"/>
    <col min="14596" max="14596" width="3.85546875" style="201" hidden="1" customWidth="1"/>
    <col min="14597" max="14597" width="57.28515625" style="201" hidden="1" customWidth="1"/>
    <col min="14598" max="14599" width="17.7109375" style="201" hidden="1" customWidth="1"/>
    <col min="14600" max="14600" width="5.42578125" style="201" hidden="1" customWidth="1"/>
    <col min="14601" max="14846" width="0" style="201" hidden="1"/>
    <col min="14847" max="14847" width="3.7109375" style="201" hidden="1" customWidth="1"/>
    <col min="14848" max="14848" width="0" style="201" hidden="1" customWidth="1"/>
    <col min="14849" max="14849" width="55.28515625" style="201" hidden="1" customWidth="1"/>
    <col min="14850" max="14851" width="17.7109375" style="201" hidden="1" customWidth="1"/>
    <col min="14852" max="14852" width="3.85546875" style="201" hidden="1" customWidth="1"/>
    <col min="14853" max="14853" width="57.28515625" style="201" hidden="1" customWidth="1"/>
    <col min="14854" max="14855" width="17.7109375" style="201" hidden="1" customWidth="1"/>
    <col min="14856" max="14856" width="5.42578125" style="201" hidden="1" customWidth="1"/>
    <col min="14857" max="15102" width="0" style="201" hidden="1"/>
    <col min="15103" max="15103" width="3.7109375" style="201" hidden="1" customWidth="1"/>
    <col min="15104" max="15104" width="0" style="201" hidden="1" customWidth="1"/>
    <col min="15105" max="15105" width="55.28515625" style="201" hidden="1" customWidth="1"/>
    <col min="15106" max="15107" width="17.7109375" style="201" hidden="1" customWidth="1"/>
    <col min="15108" max="15108" width="3.85546875" style="201" hidden="1" customWidth="1"/>
    <col min="15109" max="15109" width="57.28515625" style="201" hidden="1" customWidth="1"/>
    <col min="15110" max="15111" width="17.7109375" style="201" hidden="1" customWidth="1"/>
    <col min="15112" max="15112" width="5.42578125" style="201" hidden="1" customWidth="1"/>
    <col min="15113" max="15358" width="0" style="201" hidden="1"/>
    <col min="15359" max="15359" width="3.7109375" style="201" hidden="1" customWidth="1"/>
    <col min="15360" max="15360" width="0" style="201" hidden="1" customWidth="1"/>
    <col min="15361" max="15361" width="55.28515625" style="201" hidden="1" customWidth="1"/>
    <col min="15362" max="15363" width="17.7109375" style="201" hidden="1" customWidth="1"/>
    <col min="15364" max="15364" width="3.85546875" style="201" hidden="1" customWidth="1"/>
    <col min="15365" max="15365" width="57.28515625" style="201" hidden="1" customWidth="1"/>
    <col min="15366" max="15367" width="17.7109375" style="201" hidden="1" customWidth="1"/>
    <col min="15368" max="15368" width="5.42578125" style="201" hidden="1" customWidth="1"/>
    <col min="15369" max="15614" width="0" style="201" hidden="1"/>
    <col min="15615" max="15615" width="3.7109375" style="201" hidden="1" customWidth="1"/>
    <col min="15616" max="15616" width="0" style="201" hidden="1" customWidth="1"/>
    <col min="15617" max="15617" width="55.28515625" style="201" hidden="1" customWidth="1"/>
    <col min="15618" max="15619" width="17.7109375" style="201" hidden="1" customWidth="1"/>
    <col min="15620" max="15620" width="3.85546875" style="201" hidden="1" customWidth="1"/>
    <col min="15621" max="15621" width="57.28515625" style="201" hidden="1" customWidth="1"/>
    <col min="15622" max="15623" width="17.7109375" style="201" hidden="1" customWidth="1"/>
    <col min="15624" max="15624" width="5.42578125" style="201" hidden="1" customWidth="1"/>
    <col min="15625" max="15870" width="0" style="201" hidden="1"/>
    <col min="15871" max="15871" width="3.7109375" style="201" hidden="1" customWidth="1"/>
    <col min="15872" max="15872" width="0" style="201" hidden="1" customWidth="1"/>
    <col min="15873" max="15873" width="55.28515625" style="201" hidden="1" customWidth="1"/>
    <col min="15874" max="15875" width="17.7109375" style="201" hidden="1" customWidth="1"/>
    <col min="15876" max="15876" width="3.85546875" style="201" hidden="1" customWidth="1"/>
    <col min="15877" max="15877" width="57.28515625" style="201" hidden="1" customWidth="1"/>
    <col min="15878" max="15879" width="17.7109375" style="201" hidden="1" customWidth="1"/>
    <col min="15880" max="15880" width="5.42578125" style="201" hidden="1" customWidth="1"/>
    <col min="15881" max="16126" width="0" style="201" hidden="1"/>
    <col min="16127" max="16127" width="3.7109375" style="201" hidden="1" customWidth="1"/>
    <col min="16128" max="16128" width="0" style="201" hidden="1" customWidth="1"/>
    <col min="16129" max="16129" width="55.28515625" style="201" hidden="1" customWidth="1"/>
    <col min="16130" max="16131" width="17.7109375" style="201" hidden="1" customWidth="1"/>
    <col min="16132" max="16132" width="3.85546875" style="201" hidden="1" customWidth="1"/>
    <col min="16133" max="16133" width="57.28515625" style="201" hidden="1" customWidth="1"/>
    <col min="16134" max="16135" width="17.7109375" style="201" hidden="1" customWidth="1"/>
    <col min="16136" max="16136" width="5.42578125" style="201" hidden="1" customWidth="1"/>
    <col min="16137" max="16384" width="0" style="201" hidden="1"/>
  </cols>
  <sheetData>
    <row r="1" spans="1:9" ht="15.75" x14ac:dyDescent="0.25">
      <c r="B1" s="198"/>
      <c r="C1" s="321" t="s">
        <v>0</v>
      </c>
      <c r="D1" s="322"/>
      <c r="E1" s="323" t="str">
        <f>[7]Presentacion!C2</f>
        <v>GREMCA</v>
      </c>
      <c r="F1" s="323"/>
      <c r="G1" s="199"/>
      <c r="H1" s="200"/>
    </row>
    <row r="2" spans="1:9" ht="15.75" x14ac:dyDescent="0.25">
      <c r="B2" s="202"/>
      <c r="C2" s="321" t="s">
        <v>1</v>
      </c>
      <c r="D2" s="322"/>
      <c r="E2" s="323" t="str">
        <f>[7]Presentacion!C3</f>
        <v>Montevideo</v>
      </c>
      <c r="F2" s="323"/>
      <c r="G2" s="199"/>
      <c r="H2" s="200"/>
    </row>
    <row r="3" spans="1:9" ht="15.75" x14ac:dyDescent="0.25">
      <c r="B3" s="202"/>
      <c r="C3" s="321" t="s">
        <v>2</v>
      </c>
      <c r="D3" s="324"/>
      <c r="E3" s="325" t="s">
        <v>3</v>
      </c>
      <c r="F3" s="325"/>
      <c r="G3" s="199"/>
      <c r="H3" s="200"/>
    </row>
    <row r="4" spans="1:9" ht="15.75" thickBot="1" x14ac:dyDescent="0.3">
      <c r="C4" s="288"/>
      <c r="D4" s="204"/>
      <c r="E4" s="205"/>
      <c r="F4" s="206"/>
      <c r="G4" s="207"/>
    </row>
    <row r="5" spans="1:9" ht="16.5" thickBot="1" x14ac:dyDescent="0.3">
      <c r="B5" s="208"/>
      <c r="C5" s="209" t="s">
        <v>4</v>
      </c>
      <c r="D5" s="285" t="s">
        <v>5</v>
      </c>
      <c r="E5" s="210"/>
      <c r="F5" s="209" t="s">
        <v>6</v>
      </c>
      <c r="G5" s="285" t="s">
        <v>5</v>
      </c>
      <c r="I5" s="211"/>
    </row>
    <row r="6" spans="1:9" ht="16.5" thickBot="1" x14ac:dyDescent="0.3">
      <c r="B6" s="208"/>
      <c r="C6" s="212" t="s">
        <v>7</v>
      </c>
      <c r="D6" s="292">
        <f>+[7]E.S.P.!D6</f>
        <v>2020</v>
      </c>
      <c r="E6" s="214"/>
      <c r="F6" s="212" t="s">
        <v>8</v>
      </c>
      <c r="G6" s="292">
        <f>+D6</f>
        <v>2020</v>
      </c>
      <c r="H6" s="211"/>
    </row>
    <row r="7" spans="1:9" x14ac:dyDescent="0.25">
      <c r="B7" s="202" t="s">
        <v>9</v>
      </c>
      <c r="C7" s="215" t="s">
        <v>10</v>
      </c>
      <c r="D7" s="216">
        <v>18745071</v>
      </c>
      <c r="E7" s="217" t="s">
        <v>11</v>
      </c>
      <c r="F7" s="218" t="s">
        <v>12</v>
      </c>
      <c r="G7" s="219">
        <v>3490938</v>
      </c>
    </row>
    <row r="8" spans="1:9" x14ac:dyDescent="0.25">
      <c r="B8" s="202" t="s">
        <v>13</v>
      </c>
      <c r="C8" s="215" t="s">
        <v>14</v>
      </c>
      <c r="D8" s="216">
        <v>3341811</v>
      </c>
      <c r="E8" s="217" t="s">
        <v>15</v>
      </c>
      <c r="F8" s="215" t="s">
        <v>16</v>
      </c>
      <c r="G8" s="220">
        <v>9061596</v>
      </c>
    </row>
    <row r="9" spans="1:9" x14ac:dyDescent="0.25">
      <c r="B9" s="202" t="s">
        <v>17</v>
      </c>
      <c r="C9" s="215" t="s">
        <v>18</v>
      </c>
      <c r="D9" s="216">
        <v>895472003</v>
      </c>
      <c r="E9" s="217" t="s">
        <v>19</v>
      </c>
      <c r="F9" s="215" t="s">
        <v>20</v>
      </c>
      <c r="G9" s="216">
        <v>42852262</v>
      </c>
    </row>
    <row r="10" spans="1:9" x14ac:dyDescent="0.25">
      <c r="B10" s="202" t="s">
        <v>21</v>
      </c>
      <c r="C10" s="215" t="s">
        <v>22</v>
      </c>
      <c r="D10" s="216">
        <v>95980467</v>
      </c>
      <c r="E10" s="217" t="s">
        <v>23</v>
      </c>
      <c r="F10" s="215" t="s">
        <v>24</v>
      </c>
      <c r="G10" s="216">
        <v>22859981</v>
      </c>
    </row>
    <row r="11" spans="1:9" x14ac:dyDescent="0.25">
      <c r="B11" s="202" t="s">
        <v>25</v>
      </c>
      <c r="C11" s="215" t="s">
        <v>26</v>
      </c>
      <c r="D11" s="216">
        <v>16747041</v>
      </c>
      <c r="E11" s="217" t="s">
        <v>27</v>
      </c>
      <c r="F11" s="215" t="s">
        <v>28</v>
      </c>
      <c r="G11" s="216">
        <v>156043928</v>
      </c>
    </row>
    <row r="12" spans="1:9" x14ac:dyDescent="0.25">
      <c r="B12" s="202" t="s">
        <v>29</v>
      </c>
      <c r="C12" s="215" t="s">
        <v>30</v>
      </c>
      <c r="D12" s="216">
        <v>14593100</v>
      </c>
      <c r="E12" s="217" t="s">
        <v>31</v>
      </c>
      <c r="F12" s="215" t="s">
        <v>32</v>
      </c>
      <c r="G12" s="216">
        <v>46423036</v>
      </c>
    </row>
    <row r="13" spans="1:9" x14ac:dyDescent="0.25">
      <c r="B13" s="202" t="s">
        <v>33</v>
      </c>
      <c r="C13" s="215" t="s">
        <v>34</v>
      </c>
      <c r="D13" s="216">
        <v>0</v>
      </c>
      <c r="E13" s="217" t="s">
        <v>35</v>
      </c>
      <c r="F13" s="215" t="s">
        <v>36</v>
      </c>
      <c r="G13" s="216">
        <v>28687</v>
      </c>
    </row>
    <row r="14" spans="1:9" x14ac:dyDescent="0.25">
      <c r="A14" s="221"/>
      <c r="B14" s="202" t="s">
        <v>37</v>
      </c>
      <c r="C14" s="215" t="s">
        <v>38</v>
      </c>
      <c r="D14" s="216">
        <v>0</v>
      </c>
      <c r="E14" s="217" t="s">
        <v>39</v>
      </c>
      <c r="F14" s="215" t="s">
        <v>40</v>
      </c>
      <c r="G14" s="216">
        <v>65185755</v>
      </c>
    </row>
    <row r="15" spans="1:9" x14ac:dyDescent="0.25">
      <c r="B15" s="202" t="s">
        <v>41</v>
      </c>
      <c r="C15" s="222" t="s">
        <v>42</v>
      </c>
      <c r="D15" s="216">
        <v>0</v>
      </c>
      <c r="E15" s="217" t="s">
        <v>43</v>
      </c>
      <c r="F15" s="215" t="s">
        <v>44</v>
      </c>
      <c r="G15" s="216">
        <v>26689703</v>
      </c>
    </row>
    <row r="16" spans="1:9" x14ac:dyDescent="0.25">
      <c r="B16" s="202" t="s">
        <v>45</v>
      </c>
      <c r="C16" s="215" t="s">
        <v>46</v>
      </c>
      <c r="D16" s="216">
        <v>0</v>
      </c>
      <c r="E16" s="217" t="s">
        <v>47</v>
      </c>
      <c r="F16" s="215" t="s">
        <v>48</v>
      </c>
      <c r="G16" s="216">
        <v>44451770</v>
      </c>
    </row>
    <row r="17" spans="1:7" x14ac:dyDescent="0.25">
      <c r="B17" s="202" t="s">
        <v>49</v>
      </c>
      <c r="C17" s="215" t="s">
        <v>50</v>
      </c>
      <c r="D17" s="216">
        <v>0</v>
      </c>
      <c r="E17" s="217" t="s">
        <v>51</v>
      </c>
      <c r="F17" s="215" t="s">
        <v>52</v>
      </c>
      <c r="G17" s="216">
        <v>3793007</v>
      </c>
    </row>
    <row r="18" spans="1:7" x14ac:dyDescent="0.25">
      <c r="A18" s="221"/>
      <c r="B18" s="202" t="s">
        <v>53</v>
      </c>
      <c r="C18" s="215" t="s">
        <v>54</v>
      </c>
      <c r="D18" s="216">
        <v>0</v>
      </c>
      <c r="E18" s="217" t="s">
        <v>55</v>
      </c>
      <c r="F18" s="215" t="s">
        <v>56</v>
      </c>
      <c r="G18" s="223">
        <v>18898644</v>
      </c>
    </row>
    <row r="19" spans="1:7" ht="13.5" thickBot="1" x14ac:dyDescent="0.3">
      <c r="A19" s="221"/>
      <c r="B19" s="202" t="s">
        <v>57</v>
      </c>
      <c r="C19" s="215" t="s">
        <v>58</v>
      </c>
      <c r="D19" s="216">
        <v>46058578</v>
      </c>
      <c r="E19" s="217"/>
      <c r="F19" s="224" t="s">
        <v>59</v>
      </c>
      <c r="G19" s="225">
        <f>SUM(G7:G18)</f>
        <v>439779307</v>
      </c>
    </row>
    <row r="20" spans="1:7" ht="13.5" thickBot="1" x14ac:dyDescent="0.3">
      <c r="B20" s="202"/>
      <c r="C20" s="224" t="s">
        <v>60</v>
      </c>
      <c r="D20" s="225">
        <f>SUM(D7:D19)</f>
        <v>1090938071</v>
      </c>
      <c r="E20" s="217" t="s">
        <v>61</v>
      </c>
      <c r="F20" s="218" t="s">
        <v>62</v>
      </c>
      <c r="G20" s="219">
        <v>675621</v>
      </c>
    </row>
    <row r="21" spans="1:7" x14ac:dyDescent="0.25">
      <c r="B21" s="202"/>
      <c r="C21" s="226" t="s">
        <v>63</v>
      </c>
      <c r="D21" s="227">
        <f>SUM(D22:D28)</f>
        <v>1014138</v>
      </c>
      <c r="E21" s="217" t="s">
        <v>64</v>
      </c>
      <c r="F21" s="215" t="s">
        <v>65</v>
      </c>
      <c r="G21" s="216">
        <v>10697222</v>
      </c>
    </row>
    <row r="22" spans="1:7" x14ac:dyDescent="0.25">
      <c r="B22" s="202" t="s">
        <v>66</v>
      </c>
      <c r="C22" s="215" t="s">
        <v>67</v>
      </c>
      <c r="D22" s="216">
        <v>209667</v>
      </c>
      <c r="E22" s="217" t="s">
        <v>68</v>
      </c>
      <c r="F22" s="215" t="s">
        <v>69</v>
      </c>
      <c r="G22" s="216">
        <v>1971079</v>
      </c>
    </row>
    <row r="23" spans="1:7" x14ac:dyDescent="0.25">
      <c r="B23" s="202" t="s">
        <v>70</v>
      </c>
      <c r="C23" s="215" t="s">
        <v>71</v>
      </c>
      <c r="D23" s="216">
        <v>36566</v>
      </c>
      <c r="E23" s="217" t="s">
        <v>72</v>
      </c>
      <c r="F23" s="215" t="s">
        <v>73</v>
      </c>
      <c r="G23" s="216">
        <v>5663463</v>
      </c>
    </row>
    <row r="24" spans="1:7" x14ac:dyDescent="0.25">
      <c r="B24" s="202" t="s">
        <v>74</v>
      </c>
      <c r="C24" s="215" t="s">
        <v>75</v>
      </c>
      <c r="D24" s="216">
        <v>0</v>
      </c>
      <c r="E24" s="217" t="s">
        <v>76</v>
      </c>
      <c r="F24" s="215" t="s">
        <v>77</v>
      </c>
      <c r="G24" s="216">
        <v>0</v>
      </c>
    </row>
    <row r="25" spans="1:7" x14ac:dyDescent="0.25">
      <c r="B25" s="202" t="s">
        <v>78</v>
      </c>
      <c r="C25" s="215" t="s">
        <v>79</v>
      </c>
      <c r="D25" s="216">
        <v>730046</v>
      </c>
      <c r="E25" s="217" t="s">
        <v>80</v>
      </c>
      <c r="F25" s="215" t="s">
        <v>81</v>
      </c>
      <c r="G25" s="216">
        <v>3683135</v>
      </c>
    </row>
    <row r="26" spans="1:7" x14ac:dyDescent="0.25">
      <c r="B26" s="202" t="s">
        <v>82</v>
      </c>
      <c r="C26" s="215" t="s">
        <v>83</v>
      </c>
      <c r="D26" s="216">
        <v>0</v>
      </c>
      <c r="E26" s="217" t="s">
        <v>84</v>
      </c>
      <c r="F26" s="215" t="s">
        <v>85</v>
      </c>
      <c r="G26" s="223">
        <v>1032417</v>
      </c>
    </row>
    <row r="27" spans="1:7" ht="13.5" thickBot="1" x14ac:dyDescent="0.3">
      <c r="B27" s="202" t="s">
        <v>86</v>
      </c>
      <c r="C27" s="215" t="s">
        <v>87</v>
      </c>
      <c r="D27" s="216">
        <v>0</v>
      </c>
      <c r="E27" s="217"/>
      <c r="F27" s="224" t="s">
        <v>88</v>
      </c>
      <c r="G27" s="225">
        <f>SUM(G20:G26)</f>
        <v>23722937</v>
      </c>
    </row>
    <row r="28" spans="1:7" x14ac:dyDescent="0.25">
      <c r="B28" s="202" t="s">
        <v>89</v>
      </c>
      <c r="C28" s="215" t="s">
        <v>90</v>
      </c>
      <c r="D28" s="216">
        <v>37859</v>
      </c>
      <c r="E28" s="217" t="s">
        <v>91</v>
      </c>
      <c r="F28" s="218" t="s">
        <v>92</v>
      </c>
      <c r="G28" s="219">
        <v>108884900</v>
      </c>
    </row>
    <row r="29" spans="1:7" x14ac:dyDescent="0.25">
      <c r="B29" s="202"/>
      <c r="C29" s="228" t="s">
        <v>93</v>
      </c>
      <c r="D29" s="227">
        <f>SUM(D30:D34)</f>
        <v>54465558</v>
      </c>
      <c r="E29" s="217" t="s">
        <v>94</v>
      </c>
      <c r="F29" s="215" t="s">
        <v>95</v>
      </c>
      <c r="G29" s="216">
        <v>27859381</v>
      </c>
    </row>
    <row r="30" spans="1:7" x14ac:dyDescent="0.25">
      <c r="B30" s="202" t="s">
        <v>96</v>
      </c>
      <c r="C30" s="215" t="s">
        <v>97</v>
      </c>
      <c r="D30" s="216">
        <v>38609615</v>
      </c>
      <c r="E30" s="217" t="s">
        <v>98</v>
      </c>
      <c r="F30" s="215" t="s">
        <v>99</v>
      </c>
      <c r="G30" s="216">
        <v>0</v>
      </c>
    </row>
    <row r="31" spans="1:7" x14ac:dyDescent="0.25">
      <c r="B31" s="202" t="s">
        <v>100</v>
      </c>
      <c r="C31" s="215" t="s">
        <v>101</v>
      </c>
      <c r="D31" s="216">
        <v>6665232</v>
      </c>
      <c r="E31" s="217" t="s">
        <v>102</v>
      </c>
      <c r="F31" s="215" t="s">
        <v>103</v>
      </c>
      <c r="G31" s="223">
        <v>3069814</v>
      </c>
    </row>
    <row r="32" spans="1:7" ht="13.5" thickBot="1" x14ac:dyDescent="0.3">
      <c r="B32" s="202" t="s">
        <v>104</v>
      </c>
      <c r="C32" s="215" t="s">
        <v>105</v>
      </c>
      <c r="D32" s="216">
        <v>1997617</v>
      </c>
      <c r="E32" s="217"/>
      <c r="F32" s="224" t="s">
        <v>106</v>
      </c>
      <c r="G32" s="225">
        <f>SUM(G28:G31)</f>
        <v>139814095</v>
      </c>
    </row>
    <row r="33" spans="2:7" x14ac:dyDescent="0.25">
      <c r="B33" s="202" t="s">
        <v>107</v>
      </c>
      <c r="C33" s="215" t="s">
        <v>108</v>
      </c>
      <c r="D33" s="216">
        <v>4848516</v>
      </c>
      <c r="E33" s="217"/>
      <c r="F33" s="228" t="s">
        <v>109</v>
      </c>
      <c r="G33" s="227">
        <f>SUM(G34:G39)</f>
        <v>42610065.810000002</v>
      </c>
    </row>
    <row r="34" spans="2:7" x14ac:dyDescent="0.25">
      <c r="B34" s="202" t="s">
        <v>110</v>
      </c>
      <c r="C34" s="215" t="s">
        <v>111</v>
      </c>
      <c r="D34" s="216">
        <v>2344578</v>
      </c>
      <c r="E34" s="217" t="s">
        <v>112</v>
      </c>
      <c r="F34" s="215" t="s">
        <v>113</v>
      </c>
      <c r="G34" s="216">
        <v>1321709.73</v>
      </c>
    </row>
    <row r="35" spans="2:7" ht="13.5" thickBot="1" x14ac:dyDescent="0.3">
      <c r="B35" s="202"/>
      <c r="C35" s="224" t="s">
        <v>114</v>
      </c>
      <c r="D35" s="225">
        <f>+D21+D29</f>
        <v>55479696</v>
      </c>
      <c r="E35" s="217" t="s">
        <v>115</v>
      </c>
      <c r="F35" s="215" t="s">
        <v>116</v>
      </c>
      <c r="G35" s="216">
        <v>4502161.67</v>
      </c>
    </row>
    <row r="36" spans="2:7" x14ac:dyDescent="0.25">
      <c r="B36" s="202" t="s">
        <v>117</v>
      </c>
      <c r="C36" s="215" t="s">
        <v>118</v>
      </c>
      <c r="D36" s="216">
        <v>0</v>
      </c>
      <c r="E36" s="217" t="s">
        <v>119</v>
      </c>
      <c r="F36" s="215" t="s">
        <v>120</v>
      </c>
      <c r="G36" s="216">
        <v>2515070.9000000004</v>
      </c>
    </row>
    <row r="37" spans="2:7" x14ac:dyDescent="0.25">
      <c r="B37" s="202" t="s">
        <v>121</v>
      </c>
      <c r="C37" s="215" t="s">
        <v>122</v>
      </c>
      <c r="D37" s="216">
        <v>0</v>
      </c>
      <c r="E37" s="217" t="s">
        <v>123</v>
      </c>
      <c r="F37" s="215" t="s">
        <v>124</v>
      </c>
      <c r="G37" s="216">
        <v>3487269.7800000003</v>
      </c>
    </row>
    <row r="38" spans="2:7" x14ac:dyDescent="0.25">
      <c r="B38" s="202" t="s">
        <v>125</v>
      </c>
      <c r="C38" s="215" t="s">
        <v>126</v>
      </c>
      <c r="D38" s="216">
        <v>0</v>
      </c>
      <c r="E38" s="217" t="s">
        <v>127</v>
      </c>
      <c r="F38" s="215" t="s">
        <v>128</v>
      </c>
      <c r="G38" s="216">
        <v>6058001.7300000004</v>
      </c>
    </row>
    <row r="39" spans="2:7" x14ac:dyDescent="0.25">
      <c r="B39" s="202" t="s">
        <v>129</v>
      </c>
      <c r="C39" s="215" t="s">
        <v>130</v>
      </c>
      <c r="D39" s="216">
        <v>0</v>
      </c>
      <c r="E39" s="217" t="s">
        <v>131</v>
      </c>
      <c r="F39" s="215" t="s">
        <v>132</v>
      </c>
      <c r="G39" s="216">
        <v>24725852</v>
      </c>
    </row>
    <row r="40" spans="2:7" x14ac:dyDescent="0.25">
      <c r="B40" s="202" t="s">
        <v>133</v>
      </c>
      <c r="C40" s="215" t="s">
        <v>134</v>
      </c>
      <c r="D40" s="216">
        <v>0</v>
      </c>
      <c r="E40" s="217"/>
      <c r="F40" s="229" t="s">
        <v>135</v>
      </c>
      <c r="G40" s="230">
        <f>SUM(G41:G46)</f>
        <v>2983354.53</v>
      </c>
    </row>
    <row r="41" spans="2:7" x14ac:dyDescent="0.25">
      <c r="B41" s="202" t="s">
        <v>136</v>
      </c>
      <c r="C41" s="215" t="s">
        <v>137</v>
      </c>
      <c r="D41" s="216">
        <v>0</v>
      </c>
      <c r="E41" s="217" t="s">
        <v>138</v>
      </c>
      <c r="F41" s="215" t="s">
        <v>139</v>
      </c>
      <c r="G41" s="216">
        <v>136609.93</v>
      </c>
    </row>
    <row r="42" spans="2:7" x14ac:dyDescent="0.25">
      <c r="B42" s="202" t="s">
        <v>140</v>
      </c>
      <c r="C42" s="215" t="s">
        <v>141</v>
      </c>
      <c r="D42" s="216">
        <v>285300</v>
      </c>
      <c r="E42" s="217" t="s">
        <v>142</v>
      </c>
      <c r="F42" s="215" t="s">
        <v>143</v>
      </c>
      <c r="G42" s="216">
        <v>0</v>
      </c>
    </row>
    <row r="43" spans="2:7" x14ac:dyDescent="0.25">
      <c r="B43" s="202" t="s">
        <v>144</v>
      </c>
      <c r="C43" s="215" t="s">
        <v>145</v>
      </c>
      <c r="D43" s="216">
        <v>0</v>
      </c>
      <c r="E43" s="217" t="s">
        <v>146</v>
      </c>
      <c r="F43" s="215" t="s">
        <v>147</v>
      </c>
      <c r="G43" s="216">
        <v>737836.55</v>
      </c>
    </row>
    <row r="44" spans="2:7" x14ac:dyDescent="0.25">
      <c r="B44" s="202" t="s">
        <v>148</v>
      </c>
      <c r="C44" s="215" t="s">
        <v>149</v>
      </c>
      <c r="D44" s="216">
        <v>0</v>
      </c>
      <c r="E44" s="217" t="s">
        <v>150</v>
      </c>
      <c r="F44" s="215" t="s">
        <v>151</v>
      </c>
      <c r="G44" s="216">
        <v>561080.4</v>
      </c>
    </row>
    <row r="45" spans="2:7" x14ac:dyDescent="0.25">
      <c r="B45" s="202" t="s">
        <v>152</v>
      </c>
      <c r="C45" s="215" t="s">
        <v>153</v>
      </c>
      <c r="D45" s="216">
        <v>9693756</v>
      </c>
      <c r="E45" s="217" t="s">
        <v>154</v>
      </c>
      <c r="F45" s="215" t="s">
        <v>155</v>
      </c>
      <c r="G45" s="216">
        <v>891266.65</v>
      </c>
    </row>
    <row r="46" spans="2:7" x14ac:dyDescent="0.25">
      <c r="B46" s="202" t="s">
        <v>156</v>
      </c>
      <c r="C46" s="215" t="s">
        <v>157</v>
      </c>
      <c r="D46" s="216">
        <v>465995</v>
      </c>
      <c r="E46" s="217" t="s">
        <v>158</v>
      </c>
      <c r="F46" s="215" t="s">
        <v>159</v>
      </c>
      <c r="G46" s="216">
        <v>656561</v>
      </c>
    </row>
    <row r="47" spans="2:7" ht="13.5" thickBot="1" x14ac:dyDescent="0.3">
      <c r="B47" s="202"/>
      <c r="C47" s="224" t="s">
        <v>160</v>
      </c>
      <c r="D47" s="225">
        <f>SUM(D36:D46)</f>
        <v>10445051</v>
      </c>
      <c r="E47" s="217" t="s">
        <v>161</v>
      </c>
      <c r="F47" s="215" t="s">
        <v>162</v>
      </c>
      <c r="G47" s="223">
        <v>2088982</v>
      </c>
    </row>
    <row r="48" spans="2:7" ht="13.5" thickBot="1" x14ac:dyDescent="0.3">
      <c r="B48" s="202"/>
      <c r="C48" s="231" t="s">
        <v>163</v>
      </c>
      <c r="D48" s="232"/>
      <c r="E48" s="217"/>
      <c r="F48" s="224" t="s">
        <v>164</v>
      </c>
      <c r="G48" s="233">
        <f>+G33+G40+G47</f>
        <v>47682402.340000004</v>
      </c>
    </row>
    <row r="49" spans="2:7" x14ac:dyDescent="0.25">
      <c r="B49" s="202" t="s">
        <v>165</v>
      </c>
      <c r="C49" s="234" t="s">
        <v>166</v>
      </c>
      <c r="D49" s="216">
        <v>0</v>
      </c>
      <c r="E49" s="217" t="s">
        <v>167</v>
      </c>
      <c r="F49" s="218" t="s">
        <v>168</v>
      </c>
      <c r="G49" s="219">
        <v>0</v>
      </c>
    </row>
    <row r="50" spans="2:7" x14ac:dyDescent="0.25">
      <c r="B50" s="202" t="s">
        <v>169</v>
      </c>
      <c r="C50" s="215" t="s">
        <v>163</v>
      </c>
      <c r="D50" s="216">
        <v>0</v>
      </c>
      <c r="E50" s="217" t="s">
        <v>170</v>
      </c>
      <c r="F50" s="215" t="s">
        <v>171</v>
      </c>
      <c r="G50" s="216">
        <v>5607820</v>
      </c>
    </row>
    <row r="51" spans="2:7" x14ac:dyDescent="0.25">
      <c r="B51" s="202" t="s">
        <v>172</v>
      </c>
      <c r="C51" s="215" t="s">
        <v>173</v>
      </c>
      <c r="D51" s="216">
        <v>0</v>
      </c>
      <c r="E51" s="217" t="s">
        <v>174</v>
      </c>
      <c r="F51" s="215" t="s">
        <v>175</v>
      </c>
      <c r="G51" s="216">
        <v>0</v>
      </c>
    </row>
    <row r="52" spans="2:7" ht="13.5" thickBot="1" x14ac:dyDescent="0.3">
      <c r="B52" s="208"/>
      <c r="C52" s="224" t="s">
        <v>176</v>
      </c>
      <c r="D52" s="225">
        <f>SUM(D49:D51)</f>
        <v>0</v>
      </c>
      <c r="E52" s="217" t="s">
        <v>177</v>
      </c>
      <c r="F52" s="215" t="s">
        <v>178</v>
      </c>
      <c r="G52" s="216">
        <v>0</v>
      </c>
    </row>
    <row r="53" spans="2:7" ht="13.5" thickBot="1" x14ac:dyDescent="0.3">
      <c r="B53" s="202"/>
      <c r="C53" s="235" t="s">
        <v>179</v>
      </c>
      <c r="D53" s="236">
        <f>D20+D35+D47+D52</f>
        <v>1156862818</v>
      </c>
      <c r="E53" s="217" t="s">
        <v>180</v>
      </c>
      <c r="F53" s="215" t="s">
        <v>181</v>
      </c>
      <c r="G53" s="216">
        <v>332121</v>
      </c>
    </row>
    <row r="54" spans="2:7" x14ac:dyDescent="0.25">
      <c r="C54" s="237"/>
      <c r="D54" s="238"/>
      <c r="E54" s="217" t="s">
        <v>182</v>
      </c>
      <c r="F54" s="215" t="s">
        <v>183</v>
      </c>
      <c r="G54" s="216">
        <v>44377</v>
      </c>
    </row>
    <row r="55" spans="2:7" x14ac:dyDescent="0.25">
      <c r="C55" s="239" t="s">
        <v>184</v>
      </c>
      <c r="D55" s="240"/>
      <c r="E55" s="217" t="s">
        <v>185</v>
      </c>
      <c r="F55" s="215" t="s">
        <v>186</v>
      </c>
      <c r="G55" s="216"/>
    </row>
    <row r="56" spans="2:7" x14ac:dyDescent="0.25">
      <c r="B56" s="202" t="s">
        <v>187</v>
      </c>
      <c r="C56" s="241" t="s">
        <v>188</v>
      </c>
      <c r="D56" s="216">
        <v>0</v>
      </c>
      <c r="E56" s="217" t="s">
        <v>189</v>
      </c>
      <c r="F56" s="215" t="s">
        <v>190</v>
      </c>
      <c r="G56" s="223">
        <v>188255</v>
      </c>
    </row>
    <row r="57" spans="2:7" ht="13.5" thickBot="1" x14ac:dyDescent="0.3">
      <c r="B57" s="202" t="s">
        <v>191</v>
      </c>
      <c r="C57" s="241" t="s">
        <v>192</v>
      </c>
      <c r="D57" s="216">
        <v>0</v>
      </c>
      <c r="E57" s="217"/>
      <c r="F57" s="224" t="s">
        <v>193</v>
      </c>
      <c r="G57" s="225">
        <f>SUM(G49:G56)</f>
        <v>6172573</v>
      </c>
    </row>
    <row r="58" spans="2:7" x14ac:dyDescent="0.25">
      <c r="B58" s="202" t="s">
        <v>194</v>
      </c>
      <c r="C58" s="241" t="s">
        <v>195</v>
      </c>
      <c r="D58" s="216">
        <v>0</v>
      </c>
      <c r="E58" s="217" t="s">
        <v>196</v>
      </c>
      <c r="F58" s="218" t="s">
        <v>197</v>
      </c>
      <c r="G58" s="219">
        <v>0</v>
      </c>
    </row>
    <row r="59" spans="2:7" x14ac:dyDescent="0.25">
      <c r="B59" s="202" t="s">
        <v>198</v>
      </c>
      <c r="C59" s="215" t="s">
        <v>199</v>
      </c>
      <c r="D59" s="216">
        <v>0</v>
      </c>
      <c r="E59" s="217" t="s">
        <v>200</v>
      </c>
      <c r="F59" s="215" t="s">
        <v>201</v>
      </c>
      <c r="G59" s="216">
        <v>135237943</v>
      </c>
    </row>
    <row r="60" spans="2:7" ht="13.5" thickBot="1" x14ac:dyDescent="0.3">
      <c r="B60" s="202"/>
      <c r="C60" s="224" t="s">
        <v>202</v>
      </c>
      <c r="D60" s="225">
        <f>SUM(D56:D59)</f>
        <v>0</v>
      </c>
      <c r="E60" s="217" t="s">
        <v>203</v>
      </c>
      <c r="F60" s="215" t="s">
        <v>204</v>
      </c>
      <c r="G60" s="216">
        <v>81009287</v>
      </c>
    </row>
    <row r="61" spans="2:7" ht="16.5" thickBot="1" x14ac:dyDescent="0.3">
      <c r="B61" s="242"/>
      <c r="C61" s="243" t="s">
        <v>205</v>
      </c>
      <c r="D61" s="244">
        <f>D53+D60</f>
        <v>1156862818</v>
      </c>
      <c r="E61" s="217" t="s">
        <v>206</v>
      </c>
      <c r="F61" s="215" t="s">
        <v>207</v>
      </c>
      <c r="G61" s="216">
        <v>4525973</v>
      </c>
    </row>
    <row r="62" spans="2:7" x14ac:dyDescent="0.25">
      <c r="B62" s="245"/>
      <c r="C62" s="246"/>
      <c r="D62" s="246"/>
      <c r="E62" s="217" t="s">
        <v>208</v>
      </c>
      <c r="F62" s="215" t="s">
        <v>209</v>
      </c>
      <c r="G62" s="216">
        <v>519108</v>
      </c>
    </row>
    <row r="63" spans="2:7" x14ac:dyDescent="0.25">
      <c r="B63" s="247"/>
      <c r="C63" s="248" t="s">
        <v>8</v>
      </c>
      <c r="D63" s="248"/>
      <c r="E63" s="217" t="s">
        <v>210</v>
      </c>
      <c r="F63" s="215" t="s">
        <v>211</v>
      </c>
      <c r="G63" s="216">
        <v>10214511</v>
      </c>
    </row>
    <row r="64" spans="2:7" x14ac:dyDescent="0.25">
      <c r="B64" s="249" t="s">
        <v>212</v>
      </c>
      <c r="C64" s="250" t="s">
        <v>213</v>
      </c>
      <c r="D64" s="250">
        <f>[7]Amortizaciones!D6</f>
        <v>9019693</v>
      </c>
      <c r="E64" s="217" t="s">
        <v>214</v>
      </c>
      <c r="F64" s="215" t="s">
        <v>215</v>
      </c>
      <c r="G64" s="216">
        <v>5247218</v>
      </c>
    </row>
    <row r="65" spans="2:7" x14ac:dyDescent="0.25">
      <c r="B65" s="249" t="s">
        <v>216</v>
      </c>
      <c r="C65" s="250" t="s">
        <v>217</v>
      </c>
      <c r="D65" s="250">
        <f>[7]Amortizaciones!D7</f>
        <v>0</v>
      </c>
      <c r="E65" s="217" t="s">
        <v>218</v>
      </c>
      <c r="F65" s="215" t="s">
        <v>219</v>
      </c>
      <c r="G65" s="216">
        <v>15062</v>
      </c>
    </row>
    <row r="66" spans="2:7" x14ac:dyDescent="0.25">
      <c r="B66" s="249" t="s">
        <v>220</v>
      </c>
      <c r="C66" s="250" t="s">
        <v>221</v>
      </c>
      <c r="D66" s="250">
        <f>[7]Amortizaciones!D8</f>
        <v>1448303</v>
      </c>
      <c r="E66" s="217" t="s">
        <v>222</v>
      </c>
      <c r="F66" s="215" t="s">
        <v>223</v>
      </c>
      <c r="G66" s="216">
        <v>2498308</v>
      </c>
    </row>
    <row r="67" spans="2:7" x14ac:dyDescent="0.25">
      <c r="B67" s="249" t="s">
        <v>224</v>
      </c>
      <c r="C67" s="250" t="s">
        <v>225</v>
      </c>
      <c r="D67" s="250">
        <f>[7]Amortizaciones!D9</f>
        <v>0</v>
      </c>
      <c r="E67" s="217" t="s">
        <v>226</v>
      </c>
      <c r="F67" s="215" t="s">
        <v>227</v>
      </c>
      <c r="G67" s="216">
        <v>1378912</v>
      </c>
    </row>
    <row r="68" spans="2:7" x14ac:dyDescent="0.25">
      <c r="B68" s="249" t="s">
        <v>228</v>
      </c>
      <c r="C68" s="250" t="s">
        <v>229</v>
      </c>
      <c r="D68" s="250">
        <f>[7]Amortizaciones!D10</f>
        <v>184764</v>
      </c>
      <c r="E68" s="217" t="s">
        <v>230</v>
      </c>
      <c r="F68" s="215" t="s">
        <v>231</v>
      </c>
      <c r="G68" s="216">
        <v>0</v>
      </c>
    </row>
    <row r="69" spans="2:7" x14ac:dyDescent="0.25">
      <c r="B69" s="249" t="s">
        <v>232</v>
      </c>
      <c r="C69" s="250" t="s">
        <v>233</v>
      </c>
      <c r="D69" s="250">
        <f>[7]Amortizaciones!D11</f>
        <v>295608</v>
      </c>
      <c r="E69" s="217" t="s">
        <v>234</v>
      </c>
      <c r="F69" s="215" t="s">
        <v>235</v>
      </c>
      <c r="G69" s="216">
        <v>6327052</v>
      </c>
    </row>
    <row r="70" spans="2:7" x14ac:dyDescent="0.25">
      <c r="B70" s="249" t="s">
        <v>236</v>
      </c>
      <c r="C70" s="250" t="s">
        <v>237</v>
      </c>
      <c r="D70" s="250">
        <f>[7]Amortizaciones!D12</f>
        <v>1771949</v>
      </c>
      <c r="E70" s="217" t="s">
        <v>238</v>
      </c>
      <c r="F70" s="215" t="s">
        <v>239</v>
      </c>
      <c r="G70" s="216">
        <v>402501</v>
      </c>
    </row>
    <row r="71" spans="2:7" x14ac:dyDescent="0.25">
      <c r="B71" s="249" t="s">
        <v>240</v>
      </c>
      <c r="C71" s="250" t="s">
        <v>241</v>
      </c>
      <c r="D71" s="250">
        <f>[7]Amortizaciones!D13</f>
        <v>0</v>
      </c>
      <c r="E71" s="217" t="s">
        <v>242</v>
      </c>
      <c r="F71" s="215" t="s">
        <v>243</v>
      </c>
      <c r="G71" s="216">
        <v>0</v>
      </c>
    </row>
    <row r="72" spans="2:7" x14ac:dyDescent="0.25">
      <c r="B72" s="249" t="s">
        <v>244</v>
      </c>
      <c r="C72" s="250" t="s">
        <v>245</v>
      </c>
      <c r="D72" s="250">
        <f>[7]Amortizaciones!D14</f>
        <v>609034</v>
      </c>
      <c r="E72" s="217" t="s">
        <v>246</v>
      </c>
      <c r="F72" s="215" t="s">
        <v>247</v>
      </c>
      <c r="G72" s="216">
        <v>0</v>
      </c>
    </row>
    <row r="73" spans="2:7" x14ac:dyDescent="0.25">
      <c r="B73" s="249" t="s">
        <v>248</v>
      </c>
      <c r="C73" s="250" t="s">
        <v>249</v>
      </c>
      <c r="D73" s="250">
        <f>[7]Amortizaciones!D15</f>
        <v>48606</v>
      </c>
      <c r="E73" s="217" t="s">
        <v>250</v>
      </c>
      <c r="F73" s="215" t="s">
        <v>251</v>
      </c>
      <c r="G73" s="216">
        <v>0</v>
      </c>
    </row>
    <row r="74" spans="2:7" x14ac:dyDescent="0.25">
      <c r="B74" s="249" t="s">
        <v>252</v>
      </c>
      <c r="C74" s="250" t="s">
        <v>253</v>
      </c>
      <c r="D74" s="250">
        <f>[7]Amortizaciones!D16</f>
        <v>734757</v>
      </c>
      <c r="E74" s="217" t="s">
        <v>254</v>
      </c>
      <c r="F74" s="215" t="s">
        <v>255</v>
      </c>
      <c r="G74" s="216">
        <v>2630796</v>
      </c>
    </row>
    <row r="75" spans="2:7" x14ac:dyDescent="0.25">
      <c r="B75" s="249" t="s">
        <v>256</v>
      </c>
      <c r="C75" s="250" t="s">
        <v>257</v>
      </c>
      <c r="D75" s="250">
        <f>[7]Amortizaciones!D17</f>
        <v>0</v>
      </c>
      <c r="E75" s="217" t="s">
        <v>258</v>
      </c>
      <c r="F75" s="215" t="s">
        <v>259</v>
      </c>
      <c r="G75" s="216">
        <v>3803410</v>
      </c>
    </row>
    <row r="76" spans="2:7" x14ac:dyDescent="0.25">
      <c r="B76" s="249" t="s">
        <v>260</v>
      </c>
      <c r="C76" s="250" t="s">
        <v>261</v>
      </c>
      <c r="D76" s="250">
        <f>[7]Amortizaciones!D18</f>
        <v>0</v>
      </c>
      <c r="E76" s="217" t="s">
        <v>262</v>
      </c>
      <c r="F76" s="215" t="s">
        <v>263</v>
      </c>
      <c r="G76" s="216">
        <v>33571890</v>
      </c>
    </row>
    <row r="77" spans="2:7" x14ac:dyDescent="0.25">
      <c r="B77" s="249" t="s">
        <v>264</v>
      </c>
      <c r="C77" s="250" t="s">
        <v>265</v>
      </c>
      <c r="D77" s="250">
        <f>SUM(D64:D76)</f>
        <v>14112714</v>
      </c>
      <c r="E77" s="217" t="s">
        <v>266</v>
      </c>
      <c r="F77" s="215" t="s">
        <v>267</v>
      </c>
      <c r="G77" s="216">
        <v>13780749</v>
      </c>
    </row>
    <row r="78" spans="2:7" x14ac:dyDescent="0.25">
      <c r="B78" s="249"/>
      <c r="C78" s="250"/>
      <c r="D78" s="250"/>
      <c r="E78" s="217" t="s">
        <v>268</v>
      </c>
      <c r="F78" s="215" t="s">
        <v>269</v>
      </c>
      <c r="G78" s="223">
        <f>15089485-188255</f>
        <v>14901230</v>
      </c>
    </row>
    <row r="79" spans="2:7" ht="13.5" thickBot="1" x14ac:dyDescent="0.3">
      <c r="B79" s="249"/>
      <c r="C79" s="248" t="s">
        <v>270</v>
      </c>
      <c r="D79" s="251"/>
      <c r="E79" s="217"/>
      <c r="F79" s="224" t="s">
        <v>271</v>
      </c>
      <c r="G79" s="225">
        <f>SUM(G58:G78)</f>
        <v>316063950</v>
      </c>
    </row>
    <row r="80" spans="2:7" x14ac:dyDescent="0.25">
      <c r="B80" s="249" t="s">
        <v>272</v>
      </c>
      <c r="C80" s="250" t="s">
        <v>237</v>
      </c>
      <c r="D80" s="250">
        <f>[7]Amortizaciones!D22</f>
        <v>93260</v>
      </c>
      <c r="E80" s="217" t="s">
        <v>273</v>
      </c>
      <c r="F80" s="218" t="s">
        <v>274</v>
      </c>
      <c r="G80" s="219">
        <v>0</v>
      </c>
    </row>
    <row r="81" spans="2:7" x14ac:dyDescent="0.25">
      <c r="B81" s="249" t="s">
        <v>275</v>
      </c>
      <c r="C81" s="250" t="s">
        <v>241</v>
      </c>
      <c r="D81" s="250">
        <f>[7]Amortizaciones!D23</f>
        <v>0</v>
      </c>
      <c r="E81" s="217" t="s">
        <v>276</v>
      </c>
      <c r="F81" s="215" t="s">
        <v>277</v>
      </c>
      <c r="G81" s="216">
        <v>3449180</v>
      </c>
    </row>
    <row r="82" spans="2:7" x14ac:dyDescent="0.25">
      <c r="B82" s="249" t="s">
        <v>278</v>
      </c>
      <c r="C82" s="250" t="s">
        <v>245</v>
      </c>
      <c r="D82" s="250">
        <f>[7]Amortizaciones!D24</f>
        <v>32054</v>
      </c>
      <c r="E82" s="217" t="s">
        <v>279</v>
      </c>
      <c r="F82" s="215" t="s">
        <v>280</v>
      </c>
      <c r="G82" s="216">
        <v>36012</v>
      </c>
    </row>
    <row r="83" spans="2:7" x14ac:dyDescent="0.25">
      <c r="B83" s="249" t="s">
        <v>281</v>
      </c>
      <c r="C83" s="250" t="s">
        <v>249</v>
      </c>
      <c r="D83" s="250">
        <f>[7]Amortizaciones!D25</f>
        <v>2558</v>
      </c>
      <c r="E83" s="217" t="s">
        <v>282</v>
      </c>
      <c r="F83" s="215" t="s">
        <v>283</v>
      </c>
      <c r="G83" s="216">
        <v>1075571</v>
      </c>
    </row>
    <row r="84" spans="2:7" x14ac:dyDescent="0.25">
      <c r="B84" s="249" t="s">
        <v>284</v>
      </c>
      <c r="C84" s="250" t="s">
        <v>285</v>
      </c>
      <c r="D84" s="250">
        <v>0</v>
      </c>
      <c r="E84" s="217" t="s">
        <v>286</v>
      </c>
      <c r="F84" s="215" t="s">
        <v>287</v>
      </c>
      <c r="G84" s="216">
        <v>2365152</v>
      </c>
    </row>
    <row r="85" spans="2:7" x14ac:dyDescent="0.25">
      <c r="B85" s="249" t="s">
        <v>288</v>
      </c>
      <c r="C85" s="250" t="s">
        <v>289</v>
      </c>
      <c r="D85" s="250">
        <f>[7]Amortizaciones!D27</f>
        <v>0</v>
      </c>
      <c r="E85" s="217" t="s">
        <v>290</v>
      </c>
      <c r="F85" s="215" t="s">
        <v>291</v>
      </c>
      <c r="G85" s="216">
        <v>3717658</v>
      </c>
    </row>
    <row r="86" spans="2:7" x14ac:dyDescent="0.25">
      <c r="B86" s="249" t="s">
        <v>292</v>
      </c>
      <c r="C86" s="250" t="s">
        <v>293</v>
      </c>
      <c r="D86" s="250">
        <f>[7]Amortizaciones!D28</f>
        <v>0</v>
      </c>
      <c r="E86" s="217" t="s">
        <v>294</v>
      </c>
      <c r="F86" s="215" t="s">
        <v>295</v>
      </c>
      <c r="G86" s="216">
        <v>78045</v>
      </c>
    </row>
    <row r="87" spans="2:7" x14ac:dyDescent="0.25">
      <c r="B87" s="249" t="s">
        <v>296</v>
      </c>
      <c r="C87" s="250" t="s">
        <v>297</v>
      </c>
      <c r="D87" s="250">
        <f>[7]Amortizaciones!D29</f>
        <v>0</v>
      </c>
      <c r="E87" s="217" t="s">
        <v>298</v>
      </c>
      <c r="F87" s="215" t="s">
        <v>299</v>
      </c>
      <c r="G87" s="216">
        <v>1787779</v>
      </c>
    </row>
    <row r="88" spans="2:7" x14ac:dyDescent="0.25">
      <c r="B88" s="249" t="s">
        <v>300</v>
      </c>
      <c r="C88" s="250" t="s">
        <v>301</v>
      </c>
      <c r="D88" s="250">
        <f>[7]Amortizaciones!D30</f>
        <v>38671</v>
      </c>
      <c r="E88" s="217" t="s">
        <v>302</v>
      </c>
      <c r="F88" s="215" t="s">
        <v>303</v>
      </c>
      <c r="G88" s="216">
        <v>0</v>
      </c>
    </row>
    <row r="89" spans="2:7" x14ac:dyDescent="0.25">
      <c r="B89" s="249" t="s">
        <v>304</v>
      </c>
      <c r="C89" s="250" t="s">
        <v>213</v>
      </c>
      <c r="D89" s="250">
        <f>[7]Amortizaciones!D31</f>
        <v>0</v>
      </c>
      <c r="E89" s="217" t="s">
        <v>305</v>
      </c>
      <c r="F89" s="215" t="s">
        <v>306</v>
      </c>
      <c r="G89" s="216">
        <v>25035735</v>
      </c>
    </row>
    <row r="90" spans="2:7" x14ac:dyDescent="0.25">
      <c r="B90" s="249" t="s">
        <v>307</v>
      </c>
      <c r="C90" s="250" t="s">
        <v>229</v>
      </c>
      <c r="D90" s="250">
        <f>[7]Amortizaciones!D32</f>
        <v>0</v>
      </c>
      <c r="E90" s="217" t="s">
        <v>308</v>
      </c>
      <c r="F90" s="215" t="s">
        <v>309</v>
      </c>
      <c r="G90" s="216">
        <v>6474375</v>
      </c>
    </row>
    <row r="91" spans="2:7" x14ac:dyDescent="0.25">
      <c r="B91" s="249" t="s">
        <v>310</v>
      </c>
      <c r="C91" s="250" t="s">
        <v>311</v>
      </c>
      <c r="D91" s="250">
        <f>SUM(D80:D90)</f>
        <v>166543</v>
      </c>
      <c r="E91" s="247" t="s">
        <v>312</v>
      </c>
      <c r="F91" s="215" t="s">
        <v>313</v>
      </c>
      <c r="G91" s="216">
        <v>0</v>
      </c>
    </row>
    <row r="92" spans="2:7" x14ac:dyDescent="0.25">
      <c r="B92" s="249"/>
      <c r="C92" s="252" t="s">
        <v>314</v>
      </c>
      <c r="D92" s="250">
        <f>D77+D91</f>
        <v>14279257</v>
      </c>
      <c r="E92" s="247" t="s">
        <v>315</v>
      </c>
      <c r="F92" s="215" t="s">
        <v>316</v>
      </c>
      <c r="G92" s="216">
        <v>0</v>
      </c>
    </row>
    <row r="93" spans="2:7" x14ac:dyDescent="0.25">
      <c r="E93" s="247" t="s">
        <v>317</v>
      </c>
      <c r="F93" s="215" t="s">
        <v>318</v>
      </c>
      <c r="G93" s="216">
        <v>0</v>
      </c>
    </row>
    <row r="94" spans="2:7" x14ac:dyDescent="0.25">
      <c r="E94" s="247" t="s">
        <v>319</v>
      </c>
      <c r="F94" s="215" t="s">
        <v>320</v>
      </c>
      <c r="G94" s="223">
        <v>1171150</v>
      </c>
    </row>
    <row r="95" spans="2:7" ht="13.5" customHeight="1" thickBot="1" x14ac:dyDescent="0.3">
      <c r="E95" s="217"/>
      <c r="F95" s="224" t="s">
        <v>321</v>
      </c>
      <c r="G95" s="225">
        <f>SUM(G80:G94)</f>
        <v>45190657</v>
      </c>
    </row>
    <row r="96" spans="2:7" x14ac:dyDescent="0.25">
      <c r="E96" s="247" t="s">
        <v>322</v>
      </c>
      <c r="F96" s="218" t="s">
        <v>323</v>
      </c>
      <c r="G96" s="219">
        <v>2279116</v>
      </c>
    </row>
    <row r="97" spans="2:7" x14ac:dyDescent="0.25">
      <c r="E97" s="247" t="s">
        <v>324</v>
      </c>
      <c r="F97" s="215" t="s">
        <v>325</v>
      </c>
      <c r="G97" s="216">
        <v>386308</v>
      </c>
    </row>
    <row r="98" spans="2:7" x14ac:dyDescent="0.25">
      <c r="E98" s="247" t="s">
        <v>326</v>
      </c>
      <c r="F98" s="215" t="s">
        <v>327</v>
      </c>
      <c r="G98" s="216">
        <v>0</v>
      </c>
    </row>
    <row r="99" spans="2:7" x14ac:dyDescent="0.25">
      <c r="E99" s="247" t="s">
        <v>328</v>
      </c>
      <c r="F99" s="215" t="s">
        <v>329</v>
      </c>
      <c r="G99" s="216">
        <v>4268840</v>
      </c>
    </row>
    <row r="100" spans="2:7" x14ac:dyDescent="0.25">
      <c r="E100" s="247" t="s">
        <v>330</v>
      </c>
      <c r="F100" s="215" t="s">
        <v>331</v>
      </c>
      <c r="G100" s="223">
        <v>307210</v>
      </c>
    </row>
    <row r="101" spans="2:7" ht="13.5" thickBot="1" x14ac:dyDescent="0.3">
      <c r="E101" s="217"/>
      <c r="F101" s="224" t="s">
        <v>332</v>
      </c>
      <c r="G101" s="225">
        <f>SUM(G96:G100)</f>
        <v>7241474</v>
      </c>
    </row>
    <row r="102" spans="2:7" ht="13.5" thickBot="1" x14ac:dyDescent="0.3">
      <c r="E102" s="247"/>
      <c r="F102" s="254" t="s">
        <v>333</v>
      </c>
      <c r="G102" s="255">
        <f>[7]Amortizaciones!D19</f>
        <v>14112714</v>
      </c>
    </row>
    <row r="103" spans="2:7" x14ac:dyDescent="0.25">
      <c r="E103" s="247" t="s">
        <v>334</v>
      </c>
      <c r="F103" s="215" t="s">
        <v>335</v>
      </c>
      <c r="G103" s="219">
        <v>0</v>
      </c>
    </row>
    <row r="104" spans="2:7" x14ac:dyDescent="0.25">
      <c r="E104" s="247" t="s">
        <v>336</v>
      </c>
      <c r="F104" s="256" t="s">
        <v>337</v>
      </c>
      <c r="G104" s="216">
        <v>0</v>
      </c>
    </row>
    <row r="105" spans="2:7" ht="13.5" thickBot="1" x14ac:dyDescent="0.3">
      <c r="E105" s="217"/>
      <c r="F105" s="224" t="s">
        <v>338</v>
      </c>
      <c r="G105" s="225">
        <f>SUM(G103:G104)</f>
        <v>0</v>
      </c>
    </row>
    <row r="106" spans="2:7" ht="13.7" customHeight="1" thickBot="1" x14ac:dyDescent="0.3">
      <c r="B106" s="202"/>
      <c r="C106" s="257"/>
      <c r="D106" s="257"/>
      <c r="E106" s="247"/>
      <c r="F106" s="243" t="s">
        <v>339</v>
      </c>
      <c r="G106" s="244">
        <f>G19+G27+G32+G48+G57+G79+G95+G101+G102+G105</f>
        <v>1039780109.34</v>
      </c>
    </row>
    <row r="107" spans="2:7" ht="13.7" customHeight="1" x14ac:dyDescent="0.25">
      <c r="B107" s="202"/>
      <c r="C107" s="257"/>
      <c r="D107" s="257"/>
      <c r="E107" s="217"/>
      <c r="F107" s="258"/>
      <c r="G107" s="259"/>
    </row>
    <row r="108" spans="2:7" ht="13.7" customHeight="1" thickBot="1" x14ac:dyDescent="0.3">
      <c r="B108" s="202"/>
      <c r="C108" s="257"/>
      <c r="D108" s="257"/>
      <c r="E108" s="217"/>
    </row>
    <row r="109" spans="2:7" ht="13.7" customHeight="1" thickBot="1" x14ac:dyDescent="0.3">
      <c r="B109" s="202"/>
      <c r="C109" s="257"/>
      <c r="D109" s="257"/>
      <c r="E109" s="217"/>
      <c r="F109" s="209" t="s">
        <v>340</v>
      </c>
      <c r="G109" s="260">
        <f>D61-G106</f>
        <v>117082708.65999997</v>
      </c>
    </row>
    <row r="110" spans="2:7" ht="13.7" customHeight="1" thickBot="1" x14ac:dyDescent="0.3">
      <c r="B110" s="202"/>
      <c r="C110" s="257"/>
      <c r="D110" s="257"/>
      <c r="E110" s="217"/>
    </row>
    <row r="111" spans="2:7" ht="13.7" customHeight="1" thickBot="1" x14ac:dyDescent="0.3">
      <c r="C111" s="243" t="s">
        <v>270</v>
      </c>
      <c r="D111" s="213">
        <f>+[7]E.S.P.!D6</f>
        <v>2020</v>
      </c>
      <c r="E111" s="247"/>
      <c r="F111" s="243" t="s">
        <v>341</v>
      </c>
      <c r="G111" s="213">
        <f>+[7]E.S.P.!D6</f>
        <v>2020</v>
      </c>
    </row>
    <row r="112" spans="2:7" ht="13.7" customHeight="1" x14ac:dyDescent="0.25">
      <c r="B112" s="202" t="s">
        <v>342</v>
      </c>
      <c r="C112" s="261" t="s">
        <v>343</v>
      </c>
      <c r="D112" s="262">
        <v>14954960</v>
      </c>
      <c r="E112" s="217" t="s">
        <v>344</v>
      </c>
      <c r="F112" s="261" t="s">
        <v>309</v>
      </c>
      <c r="G112" s="262">
        <v>0</v>
      </c>
    </row>
    <row r="113" spans="2:7" ht="13.7" customHeight="1" x14ac:dyDescent="0.25">
      <c r="B113" s="202" t="s">
        <v>345</v>
      </c>
      <c r="C113" s="263" t="s">
        <v>346</v>
      </c>
      <c r="D113" s="264">
        <v>75027003.999999985</v>
      </c>
      <c r="E113" s="217" t="s">
        <v>347</v>
      </c>
      <c r="F113" s="263" t="s">
        <v>348</v>
      </c>
      <c r="G113" s="264">
        <v>0</v>
      </c>
    </row>
    <row r="114" spans="2:7" ht="13.7" customHeight="1" x14ac:dyDescent="0.25">
      <c r="B114" s="202" t="s">
        <v>349</v>
      </c>
      <c r="C114" s="263" t="s">
        <v>48</v>
      </c>
      <c r="D114" s="264">
        <v>0</v>
      </c>
      <c r="E114" s="217" t="s">
        <v>350</v>
      </c>
      <c r="F114" s="263" t="s">
        <v>351</v>
      </c>
      <c r="G114" s="264">
        <v>0</v>
      </c>
    </row>
    <row r="115" spans="2:7" ht="13.7" customHeight="1" x14ac:dyDescent="0.25">
      <c r="B115" s="202" t="s">
        <v>352</v>
      </c>
      <c r="C115" s="263" t="s">
        <v>353</v>
      </c>
      <c r="D115" s="264">
        <v>0</v>
      </c>
      <c r="E115" s="217" t="s">
        <v>354</v>
      </c>
      <c r="F115" s="263" t="s">
        <v>355</v>
      </c>
      <c r="G115" s="264">
        <v>0</v>
      </c>
    </row>
    <row r="116" spans="2:7" ht="13.7" customHeight="1" x14ac:dyDescent="0.25">
      <c r="B116" s="202" t="s">
        <v>356</v>
      </c>
      <c r="C116" s="263" t="s">
        <v>357</v>
      </c>
      <c r="D116" s="264">
        <v>3168585</v>
      </c>
      <c r="E116" s="217" t="s">
        <v>358</v>
      </c>
      <c r="F116" s="263" t="s">
        <v>359</v>
      </c>
      <c r="G116" s="264">
        <v>0</v>
      </c>
    </row>
    <row r="117" spans="2:7" ht="13.7" customHeight="1" x14ac:dyDescent="0.25">
      <c r="B117" s="202" t="s">
        <v>360</v>
      </c>
      <c r="C117" s="263" t="s">
        <v>361</v>
      </c>
      <c r="D117" s="264">
        <v>0</v>
      </c>
      <c r="E117" s="217" t="s">
        <v>362</v>
      </c>
      <c r="F117" s="263" t="s">
        <v>363</v>
      </c>
      <c r="G117" s="264">
        <v>0</v>
      </c>
    </row>
    <row r="118" spans="2:7" ht="13.7" customHeight="1" x14ac:dyDescent="0.25">
      <c r="B118" s="202" t="s">
        <v>364</v>
      </c>
      <c r="C118" s="263" t="s">
        <v>365</v>
      </c>
      <c r="D118" s="264">
        <v>0</v>
      </c>
      <c r="E118" s="217" t="s">
        <v>366</v>
      </c>
      <c r="F118" s="263" t="s">
        <v>367</v>
      </c>
      <c r="G118" s="264">
        <v>0</v>
      </c>
    </row>
    <row r="119" spans="2:7" ht="13.7" customHeight="1" x14ac:dyDescent="0.25">
      <c r="B119" s="202" t="s">
        <v>368</v>
      </c>
      <c r="C119" s="263" t="s">
        <v>369</v>
      </c>
      <c r="D119" s="264">
        <v>986420</v>
      </c>
      <c r="E119" s="217" t="s">
        <v>370</v>
      </c>
      <c r="F119" s="263" t="s">
        <v>371</v>
      </c>
      <c r="G119" s="264">
        <v>0</v>
      </c>
    </row>
    <row r="120" spans="2:7" ht="13.7" customHeight="1" x14ac:dyDescent="0.25">
      <c r="B120" s="202" t="s">
        <v>372</v>
      </c>
      <c r="C120" s="263" t="s">
        <v>373</v>
      </c>
      <c r="D120" s="264">
        <v>0</v>
      </c>
      <c r="E120" s="217" t="s">
        <v>374</v>
      </c>
      <c r="F120" s="263" t="s">
        <v>375</v>
      </c>
      <c r="G120" s="264">
        <v>0</v>
      </c>
    </row>
    <row r="121" spans="2:7" ht="13.7" customHeight="1" x14ac:dyDescent="0.25">
      <c r="B121" s="202" t="s">
        <v>376</v>
      </c>
      <c r="C121" s="215" t="s">
        <v>377</v>
      </c>
      <c r="D121" s="264">
        <v>4307629</v>
      </c>
      <c r="E121" s="217" t="s">
        <v>378</v>
      </c>
      <c r="F121" s="263" t="s">
        <v>379</v>
      </c>
      <c r="G121" s="264">
        <v>1378055</v>
      </c>
    </row>
    <row r="122" spans="2:7" ht="13.7" customHeight="1" thickBot="1" x14ac:dyDescent="0.3">
      <c r="B122" s="202"/>
      <c r="C122" s="224" t="s">
        <v>380</v>
      </c>
      <c r="D122" s="233">
        <f>SUM(D112:D121)</f>
        <v>98444597.999999985</v>
      </c>
      <c r="E122" s="217" t="s">
        <v>381</v>
      </c>
      <c r="F122" s="215" t="s">
        <v>382</v>
      </c>
      <c r="G122" s="216">
        <v>45463</v>
      </c>
    </row>
    <row r="123" spans="2:7" ht="13.7" customHeight="1" thickBot="1" x14ac:dyDescent="0.3">
      <c r="B123" s="202" t="s">
        <v>383</v>
      </c>
      <c r="C123" s="265" t="s">
        <v>309</v>
      </c>
      <c r="D123" s="262">
        <v>340756</v>
      </c>
      <c r="E123" s="247"/>
      <c r="F123" s="224" t="s">
        <v>384</v>
      </c>
      <c r="G123" s="233">
        <f>SUM(G112:G122)</f>
        <v>1423518</v>
      </c>
    </row>
    <row r="124" spans="2:7" ht="13.7" customHeight="1" x14ac:dyDescent="0.25">
      <c r="B124" s="202" t="s">
        <v>385</v>
      </c>
      <c r="C124" s="263" t="s">
        <v>313</v>
      </c>
      <c r="D124" s="264">
        <v>0</v>
      </c>
      <c r="E124" s="217" t="s">
        <v>386</v>
      </c>
      <c r="F124" s="263" t="s">
        <v>387</v>
      </c>
      <c r="G124" s="264">
        <v>5632623</v>
      </c>
    </row>
    <row r="125" spans="2:7" ht="13.7" customHeight="1" x14ac:dyDescent="0.25">
      <c r="B125" s="202" t="s">
        <v>388</v>
      </c>
      <c r="C125" s="215" t="s">
        <v>389</v>
      </c>
      <c r="D125" s="264">
        <v>33510</v>
      </c>
      <c r="E125" s="217" t="s">
        <v>390</v>
      </c>
      <c r="F125" s="263" t="s">
        <v>391</v>
      </c>
      <c r="G125" s="264">
        <v>0</v>
      </c>
    </row>
    <row r="126" spans="2:7" ht="13.7" customHeight="1" thickBot="1" x14ac:dyDescent="0.3">
      <c r="B126" s="202"/>
      <c r="C126" s="224" t="s">
        <v>392</v>
      </c>
      <c r="D126" s="233">
        <f>SUM(D123:D125)</f>
        <v>374266</v>
      </c>
      <c r="E126" s="217" t="s">
        <v>393</v>
      </c>
      <c r="F126" s="263" t="s">
        <v>394</v>
      </c>
      <c r="G126" s="264">
        <v>0</v>
      </c>
    </row>
    <row r="127" spans="2:7" ht="13.7" customHeight="1" x14ac:dyDescent="0.25">
      <c r="B127" s="202" t="s">
        <v>395</v>
      </c>
      <c r="C127" s="261" t="s">
        <v>274</v>
      </c>
      <c r="D127" s="262">
        <v>0</v>
      </c>
      <c r="E127" s="217" t="s">
        <v>396</v>
      </c>
      <c r="F127" s="263" t="s">
        <v>397</v>
      </c>
      <c r="G127" s="264">
        <v>0</v>
      </c>
    </row>
    <row r="128" spans="2:7" ht="13.7" customHeight="1" x14ac:dyDescent="0.25">
      <c r="B128" s="202" t="s">
        <v>398</v>
      </c>
      <c r="C128" s="263" t="s">
        <v>399</v>
      </c>
      <c r="D128" s="264">
        <v>636979</v>
      </c>
      <c r="E128" s="217" t="s">
        <v>400</v>
      </c>
      <c r="F128" s="263" t="s">
        <v>401</v>
      </c>
      <c r="G128" s="264">
        <v>0</v>
      </c>
    </row>
    <row r="129" spans="2:7" ht="13.7" customHeight="1" x14ac:dyDescent="0.25">
      <c r="B129" s="202" t="s">
        <v>402</v>
      </c>
      <c r="C129" s="263" t="s">
        <v>277</v>
      </c>
      <c r="D129" s="264">
        <v>181536</v>
      </c>
      <c r="E129" s="217" t="s">
        <v>403</v>
      </c>
      <c r="F129" s="263" t="s">
        <v>404</v>
      </c>
      <c r="G129" s="264">
        <v>0</v>
      </c>
    </row>
    <row r="130" spans="2:7" ht="13.7" customHeight="1" x14ac:dyDescent="0.25">
      <c r="B130" s="202" t="s">
        <v>405</v>
      </c>
      <c r="C130" s="263" t="s">
        <v>283</v>
      </c>
      <c r="D130" s="264">
        <v>56609</v>
      </c>
      <c r="E130" s="217" t="s">
        <v>406</v>
      </c>
      <c r="F130" s="263" t="s">
        <v>407</v>
      </c>
      <c r="G130" s="264">
        <v>0</v>
      </c>
    </row>
    <row r="131" spans="2:7" ht="13.7" customHeight="1" x14ac:dyDescent="0.25">
      <c r="B131" s="202" t="s">
        <v>408</v>
      </c>
      <c r="C131" s="263" t="s">
        <v>287</v>
      </c>
      <c r="D131" s="264">
        <v>124482</v>
      </c>
      <c r="E131" s="217" t="s">
        <v>409</v>
      </c>
      <c r="F131" s="263" t="s">
        <v>410</v>
      </c>
      <c r="G131" s="264">
        <v>0</v>
      </c>
    </row>
    <row r="132" spans="2:7" ht="13.7" customHeight="1" x14ac:dyDescent="0.25">
      <c r="B132" s="202" t="s">
        <v>411</v>
      </c>
      <c r="C132" s="263" t="s">
        <v>291</v>
      </c>
      <c r="D132" s="264">
        <v>195666</v>
      </c>
      <c r="E132" s="217" t="s">
        <v>412</v>
      </c>
      <c r="F132" s="263" t="s">
        <v>413</v>
      </c>
      <c r="G132" s="264">
        <v>0</v>
      </c>
    </row>
    <row r="133" spans="2:7" ht="13.7" customHeight="1" x14ac:dyDescent="0.25">
      <c r="B133" s="202" t="s">
        <v>414</v>
      </c>
      <c r="C133" s="263" t="s">
        <v>295</v>
      </c>
      <c r="D133" s="264">
        <v>0</v>
      </c>
      <c r="E133" s="217" t="s">
        <v>415</v>
      </c>
      <c r="F133" s="263" t="s">
        <v>416</v>
      </c>
      <c r="G133" s="264">
        <v>12020836</v>
      </c>
    </row>
    <row r="134" spans="2:7" ht="13.7" customHeight="1" x14ac:dyDescent="0.25">
      <c r="B134" s="202" t="s">
        <v>417</v>
      </c>
      <c r="C134" s="263" t="s">
        <v>418</v>
      </c>
      <c r="D134" s="264">
        <v>6458850</v>
      </c>
      <c r="E134" s="217" t="s">
        <v>419</v>
      </c>
      <c r="F134" s="263" t="s">
        <v>420</v>
      </c>
      <c r="G134" s="264">
        <v>0</v>
      </c>
    </row>
    <row r="135" spans="2:7" ht="13.7" customHeight="1" x14ac:dyDescent="0.25">
      <c r="B135" s="202" t="s">
        <v>421</v>
      </c>
      <c r="C135" s="263" t="s">
        <v>422</v>
      </c>
      <c r="D135" s="264">
        <v>1317670</v>
      </c>
      <c r="E135" s="217" t="s">
        <v>423</v>
      </c>
      <c r="F135" s="263" t="s">
        <v>424</v>
      </c>
      <c r="G135" s="264">
        <v>0</v>
      </c>
    </row>
    <row r="136" spans="2:7" ht="13.7" customHeight="1" x14ac:dyDescent="0.25">
      <c r="B136" s="202" t="s">
        <v>425</v>
      </c>
      <c r="C136" s="263" t="s">
        <v>318</v>
      </c>
      <c r="D136" s="264">
        <v>94094</v>
      </c>
      <c r="E136" s="217" t="s">
        <v>426</v>
      </c>
      <c r="F136" s="263" t="s">
        <v>427</v>
      </c>
      <c r="G136" s="264">
        <v>0</v>
      </c>
    </row>
    <row r="137" spans="2:7" ht="13.7" customHeight="1" x14ac:dyDescent="0.25">
      <c r="B137" s="202" t="s">
        <v>428</v>
      </c>
      <c r="C137" s="215" t="s">
        <v>320</v>
      </c>
      <c r="D137" s="266">
        <v>1084005</v>
      </c>
      <c r="E137" s="217" t="s">
        <v>429</v>
      </c>
      <c r="F137" s="263" t="s">
        <v>430</v>
      </c>
      <c r="G137" s="264">
        <v>338235</v>
      </c>
    </row>
    <row r="138" spans="2:7" ht="13.7" customHeight="1" thickBot="1" x14ac:dyDescent="0.3">
      <c r="B138" s="202"/>
      <c r="C138" s="224" t="s">
        <v>321</v>
      </c>
      <c r="D138" s="233">
        <f>SUM(D127:D137)</f>
        <v>10149891</v>
      </c>
      <c r="E138" s="217" t="s">
        <v>431</v>
      </c>
      <c r="F138" s="215" t="s">
        <v>432</v>
      </c>
      <c r="G138" s="216">
        <v>143128</v>
      </c>
    </row>
    <row r="139" spans="2:7" ht="13.7" customHeight="1" thickBot="1" x14ac:dyDescent="0.3">
      <c r="B139" s="202" t="s">
        <v>433</v>
      </c>
      <c r="C139" s="261" t="s">
        <v>327</v>
      </c>
      <c r="D139" s="262">
        <v>0</v>
      </c>
      <c r="E139" s="203"/>
      <c r="F139" s="224" t="s">
        <v>434</v>
      </c>
      <c r="G139" s="233">
        <f>SUM(G124:G138)</f>
        <v>18134822</v>
      </c>
    </row>
    <row r="140" spans="2:7" ht="13.7" customHeight="1" thickBot="1" x14ac:dyDescent="0.3">
      <c r="B140" s="202" t="s">
        <v>435</v>
      </c>
      <c r="C140" s="263" t="s">
        <v>329</v>
      </c>
      <c r="D140" s="264">
        <v>344629</v>
      </c>
      <c r="E140" s="203"/>
      <c r="F140" s="243" t="s">
        <v>436</v>
      </c>
      <c r="G140" s="267">
        <f>G123-G139</f>
        <v>-16711304</v>
      </c>
    </row>
    <row r="141" spans="2:7" ht="13.7" customHeight="1" x14ac:dyDescent="0.25">
      <c r="B141" s="202" t="s">
        <v>437</v>
      </c>
      <c r="C141" s="215" t="s">
        <v>331</v>
      </c>
      <c r="D141" s="266">
        <v>16169</v>
      </c>
      <c r="E141" s="268"/>
    </row>
    <row r="142" spans="2:7" ht="13.7" customHeight="1" thickBot="1" x14ac:dyDescent="0.3">
      <c r="B142" s="202"/>
      <c r="C142" s="224" t="s">
        <v>332</v>
      </c>
      <c r="D142" s="233">
        <f>SUM(D139:D141)</f>
        <v>360798</v>
      </c>
      <c r="E142" s="268"/>
    </row>
    <row r="143" spans="2:7" ht="13.7" customHeight="1" thickBot="1" x14ac:dyDescent="0.3">
      <c r="B143" s="202"/>
      <c r="C143" s="254" t="s">
        <v>438</v>
      </c>
      <c r="D143" s="269">
        <f>[7]Amortizaciones!D33</f>
        <v>166543</v>
      </c>
      <c r="E143" s="217"/>
      <c r="F143" s="243" t="s">
        <v>439</v>
      </c>
      <c r="G143" s="213">
        <f>+[7]E.S.P.!D6</f>
        <v>2020</v>
      </c>
    </row>
    <row r="144" spans="2:7" ht="13.7" customHeight="1" x14ac:dyDescent="0.25">
      <c r="B144" s="202" t="s">
        <v>440</v>
      </c>
      <c r="C144" s="261" t="s">
        <v>441</v>
      </c>
      <c r="D144" s="262">
        <v>1274008</v>
      </c>
      <c r="E144" s="217" t="s">
        <v>442</v>
      </c>
      <c r="F144" s="261" t="s">
        <v>443</v>
      </c>
      <c r="G144" s="262">
        <v>0</v>
      </c>
    </row>
    <row r="145" spans="2:7" ht="13.7" customHeight="1" x14ac:dyDescent="0.25">
      <c r="B145" s="202" t="s">
        <v>444</v>
      </c>
      <c r="C145" s="263" t="s">
        <v>445</v>
      </c>
      <c r="D145" s="264">
        <v>0</v>
      </c>
      <c r="E145" s="217" t="s">
        <v>446</v>
      </c>
      <c r="F145" s="263" t="s">
        <v>447</v>
      </c>
      <c r="G145" s="264">
        <v>224895</v>
      </c>
    </row>
    <row r="146" spans="2:7" ht="13.7" customHeight="1" x14ac:dyDescent="0.25">
      <c r="B146" s="202" t="s">
        <v>448</v>
      </c>
      <c r="C146" s="270" t="s">
        <v>449</v>
      </c>
      <c r="D146" s="264">
        <v>0</v>
      </c>
      <c r="E146" s="217" t="s">
        <v>450</v>
      </c>
      <c r="F146" s="263" t="s">
        <v>451</v>
      </c>
      <c r="G146" s="264">
        <v>59774</v>
      </c>
    </row>
    <row r="147" spans="2:7" ht="13.7" customHeight="1" x14ac:dyDescent="0.25">
      <c r="B147" s="202" t="s">
        <v>452</v>
      </c>
      <c r="C147" s="215" t="s">
        <v>453</v>
      </c>
      <c r="D147" s="266">
        <v>44472</v>
      </c>
      <c r="E147" s="217" t="s">
        <v>454</v>
      </c>
      <c r="F147" s="263" t="s">
        <v>455</v>
      </c>
      <c r="G147" s="264">
        <v>0</v>
      </c>
    </row>
    <row r="148" spans="2:7" ht="13.7" customHeight="1" thickBot="1" x14ac:dyDescent="0.3">
      <c r="B148" s="202"/>
      <c r="C148" s="224" t="s">
        <v>456</v>
      </c>
      <c r="D148" s="233">
        <f>SUM(D144:D147)</f>
        <v>1318480</v>
      </c>
      <c r="E148" s="217" t="s">
        <v>457</v>
      </c>
      <c r="F148" s="263" t="s">
        <v>458</v>
      </c>
      <c r="G148" s="264">
        <v>0</v>
      </c>
    </row>
    <row r="149" spans="2:7" ht="13.7" customHeight="1" x14ac:dyDescent="0.25">
      <c r="B149" s="202" t="s">
        <v>459</v>
      </c>
      <c r="C149" s="261" t="s">
        <v>460</v>
      </c>
      <c r="D149" s="262">
        <v>1624127</v>
      </c>
      <c r="E149" s="217" t="s">
        <v>461</v>
      </c>
      <c r="F149" s="263" t="s">
        <v>462</v>
      </c>
      <c r="G149" s="264">
        <v>0</v>
      </c>
    </row>
    <row r="150" spans="2:7" ht="13.7" customHeight="1" x14ac:dyDescent="0.25">
      <c r="B150" s="202" t="s">
        <v>463</v>
      </c>
      <c r="C150" s="263" t="s">
        <v>464</v>
      </c>
      <c r="D150" s="264">
        <v>0</v>
      </c>
      <c r="E150" s="217" t="s">
        <v>465</v>
      </c>
      <c r="F150" s="263" t="s">
        <v>466</v>
      </c>
      <c r="G150" s="264">
        <v>0</v>
      </c>
    </row>
    <row r="151" spans="2:7" ht="13.7" customHeight="1" x14ac:dyDescent="0.25">
      <c r="B151" s="202" t="s">
        <v>467</v>
      </c>
      <c r="C151" s="215" t="s">
        <v>468</v>
      </c>
      <c r="D151" s="266">
        <v>82988</v>
      </c>
      <c r="E151" s="217" t="s">
        <v>469</v>
      </c>
      <c r="F151" s="263" t="s">
        <v>470</v>
      </c>
      <c r="G151" s="264">
        <f>65514778-54518</f>
        <v>65460260</v>
      </c>
    </row>
    <row r="152" spans="2:7" ht="13.7" customHeight="1" thickBot="1" x14ac:dyDescent="0.3">
      <c r="B152" s="202"/>
      <c r="C152" s="224" t="s">
        <v>471</v>
      </c>
      <c r="D152" s="233">
        <f>SUM(D149:D151)</f>
        <v>1707115</v>
      </c>
      <c r="E152" s="217" t="s">
        <v>472</v>
      </c>
      <c r="F152" s="263" t="s">
        <v>473</v>
      </c>
      <c r="G152" s="264">
        <v>0</v>
      </c>
    </row>
    <row r="153" spans="2:7" ht="13.7" customHeight="1" thickBot="1" x14ac:dyDescent="0.3">
      <c r="B153" s="202"/>
      <c r="C153" s="243" t="s">
        <v>474</v>
      </c>
      <c r="D153" s="271">
        <f>D122+D126+D138+D142+D143+D148+D152</f>
        <v>112521690.99999999</v>
      </c>
      <c r="E153" s="217" t="s">
        <v>475</v>
      </c>
      <c r="F153" s="215" t="s">
        <v>476</v>
      </c>
      <c r="G153" s="216">
        <v>1870</v>
      </c>
    </row>
    <row r="154" spans="2:7" ht="13.7" customHeight="1" thickBot="1" x14ac:dyDescent="0.3">
      <c r="B154" s="202"/>
      <c r="E154" s="217"/>
      <c r="F154" s="224" t="s">
        <v>477</v>
      </c>
      <c r="G154" s="233">
        <f>SUM(G144:G153)</f>
        <v>65746799</v>
      </c>
    </row>
    <row r="155" spans="2:7" ht="13.7" customHeight="1" thickBot="1" x14ac:dyDescent="0.3">
      <c r="B155" s="202"/>
      <c r="C155" s="272" t="s">
        <v>478</v>
      </c>
      <c r="D155" s="260">
        <f>G109-D153</f>
        <v>4561017.6599999815</v>
      </c>
      <c r="E155" s="217" t="s">
        <v>479</v>
      </c>
      <c r="F155" s="261" t="s">
        <v>480</v>
      </c>
      <c r="G155" s="262">
        <v>5795444</v>
      </c>
    </row>
    <row r="156" spans="2:7" ht="13.7" customHeight="1" x14ac:dyDescent="0.25">
      <c r="E156" s="217" t="s">
        <v>481</v>
      </c>
      <c r="F156" s="263" t="s">
        <v>482</v>
      </c>
      <c r="G156" s="264">
        <v>5593249</v>
      </c>
    </row>
    <row r="157" spans="2:7" ht="13.7" customHeight="1" x14ac:dyDescent="0.25">
      <c r="E157" s="217" t="s">
        <v>483</v>
      </c>
      <c r="F157" s="263" t="s">
        <v>484</v>
      </c>
      <c r="G157" s="264">
        <v>0</v>
      </c>
    </row>
    <row r="158" spans="2:7" ht="13.7" customHeight="1" x14ac:dyDescent="0.25">
      <c r="E158" s="217" t="s">
        <v>485</v>
      </c>
      <c r="F158" s="263" t="s">
        <v>486</v>
      </c>
      <c r="G158" s="264">
        <v>0</v>
      </c>
    </row>
    <row r="159" spans="2:7" ht="13.7" customHeight="1" x14ac:dyDescent="0.25">
      <c r="E159" s="217" t="s">
        <v>487</v>
      </c>
      <c r="F159" s="263" t="s">
        <v>488</v>
      </c>
      <c r="G159" s="264">
        <v>0</v>
      </c>
    </row>
    <row r="160" spans="2:7" ht="13.7" customHeight="1" x14ac:dyDescent="0.25">
      <c r="E160" s="217" t="s">
        <v>489</v>
      </c>
      <c r="F160" s="263" t="s">
        <v>490</v>
      </c>
      <c r="G160" s="264">
        <v>0</v>
      </c>
    </row>
    <row r="161" spans="5:7" ht="13.7" customHeight="1" x14ac:dyDescent="0.25">
      <c r="E161" s="217" t="s">
        <v>491</v>
      </c>
      <c r="F161" s="263" t="s">
        <v>492</v>
      </c>
      <c r="G161" s="264">
        <v>661354</v>
      </c>
    </row>
    <row r="162" spans="5:7" ht="13.7" customHeight="1" x14ac:dyDescent="0.25">
      <c r="E162" s="217" t="s">
        <v>493</v>
      </c>
      <c r="F162" s="263" t="s">
        <v>494</v>
      </c>
      <c r="G162" s="264">
        <v>0</v>
      </c>
    </row>
    <row r="163" spans="5:7" ht="13.7" customHeight="1" x14ac:dyDescent="0.25">
      <c r="E163" s="217" t="s">
        <v>495</v>
      </c>
      <c r="F163" s="263" t="s">
        <v>496</v>
      </c>
      <c r="G163" s="264">
        <v>19192455</v>
      </c>
    </row>
    <row r="164" spans="5:7" ht="13.7" customHeight="1" x14ac:dyDescent="0.25">
      <c r="E164" s="217" t="s">
        <v>497</v>
      </c>
      <c r="F164" s="263" t="s">
        <v>498</v>
      </c>
      <c r="G164" s="264">
        <v>0</v>
      </c>
    </row>
    <row r="165" spans="5:7" ht="13.7" customHeight="1" x14ac:dyDescent="0.25">
      <c r="E165" s="217" t="s">
        <v>499</v>
      </c>
      <c r="F165" s="263" t="s">
        <v>500</v>
      </c>
      <c r="G165" s="264">
        <v>0</v>
      </c>
    </row>
    <row r="166" spans="5:7" ht="13.7" customHeight="1" x14ac:dyDescent="0.25">
      <c r="E166" s="217" t="s">
        <v>501</v>
      </c>
      <c r="F166" s="263" t="s">
        <v>502</v>
      </c>
      <c r="G166" s="264">
        <v>0</v>
      </c>
    </row>
    <row r="167" spans="5:7" ht="13.7" customHeight="1" x14ac:dyDescent="0.25">
      <c r="E167" s="217" t="s">
        <v>503</v>
      </c>
      <c r="F167" s="215" t="s">
        <v>504</v>
      </c>
      <c r="G167" s="216">
        <v>951931</v>
      </c>
    </row>
    <row r="168" spans="5:7" ht="13.7" customHeight="1" thickBot="1" x14ac:dyDescent="0.3">
      <c r="E168" s="217"/>
      <c r="F168" s="224" t="s">
        <v>505</v>
      </c>
      <c r="G168" s="233">
        <f>SUM(G155:G167)</f>
        <v>32194433</v>
      </c>
    </row>
    <row r="169" spans="5:7" ht="13.7" customHeight="1" thickBot="1" x14ac:dyDescent="0.3">
      <c r="E169" s="217"/>
      <c r="F169" s="243" t="s">
        <v>506</v>
      </c>
      <c r="G169" s="267">
        <f>G154-G168</f>
        <v>33552366</v>
      </c>
    </row>
    <row r="170" spans="5:7" ht="13.7" customHeight="1" thickBot="1" x14ac:dyDescent="0.3">
      <c r="E170" s="217"/>
      <c r="F170" s="273"/>
      <c r="G170" s="273"/>
    </row>
    <row r="171" spans="5:7" ht="13.7" customHeight="1" thickBot="1" x14ac:dyDescent="0.3">
      <c r="E171" s="217"/>
      <c r="F171" s="272" t="s">
        <v>507</v>
      </c>
      <c r="G171" s="274"/>
    </row>
    <row r="172" spans="5:7" ht="13.7" customHeight="1" thickBot="1" x14ac:dyDescent="0.3">
      <c r="E172" s="217"/>
      <c r="F172" s="275"/>
      <c r="G172" s="276">
        <f>+D155+G140+G169</f>
        <v>21402079.659999982</v>
      </c>
    </row>
    <row r="173" spans="5:7" ht="13.7" customHeight="1" thickBot="1" x14ac:dyDescent="0.3">
      <c r="E173" s="217"/>
      <c r="F173" s="201"/>
      <c r="G173" s="201"/>
    </row>
    <row r="174" spans="5:7" ht="13.7" customHeight="1" thickBot="1" x14ac:dyDescent="0.3">
      <c r="E174" s="217"/>
      <c r="F174" s="243" t="s">
        <v>508</v>
      </c>
      <c r="G174" s="213">
        <f>+G143</f>
        <v>2020</v>
      </c>
    </row>
    <row r="175" spans="5:7" ht="13.7" customHeight="1" x14ac:dyDescent="0.25">
      <c r="E175" s="217"/>
      <c r="F175" s="261" t="s">
        <v>509</v>
      </c>
      <c r="G175" s="262">
        <v>0</v>
      </c>
    </row>
    <row r="176" spans="5:7" ht="13.7" customHeight="1" x14ac:dyDescent="0.25">
      <c r="E176" s="217"/>
      <c r="F176" s="263" t="s">
        <v>510</v>
      </c>
      <c r="G176" s="264">
        <v>0</v>
      </c>
    </row>
    <row r="177" spans="1:8" ht="13.7" customHeight="1" thickBot="1" x14ac:dyDescent="0.3">
      <c r="F177" s="263" t="s">
        <v>511</v>
      </c>
      <c r="G177" s="264">
        <v>0</v>
      </c>
    </row>
    <row r="178" spans="1:8" ht="13.7" customHeight="1" thickBot="1" x14ac:dyDescent="0.3">
      <c r="F178" s="243" t="s">
        <v>512</v>
      </c>
      <c r="G178" s="267">
        <f>SUM(G175:G177)</f>
        <v>0</v>
      </c>
    </row>
    <row r="179" spans="1:8" ht="13.7" customHeight="1" thickBot="1" x14ac:dyDescent="0.3"/>
    <row r="180" spans="1:8" ht="13.7" customHeight="1" thickBot="1" x14ac:dyDescent="0.3">
      <c r="F180" s="272" t="s">
        <v>513</v>
      </c>
      <c r="G180" s="274"/>
    </row>
    <row r="181" spans="1:8" ht="13.7" customHeight="1" thickBot="1" x14ac:dyDescent="0.3">
      <c r="F181" s="278"/>
      <c r="G181" s="276">
        <f>+G172+G178</f>
        <v>21402079.659999982</v>
      </c>
    </row>
    <row r="182" spans="1:8" ht="13.7" customHeight="1" x14ac:dyDescent="0.25"/>
    <row r="183" spans="1:8" ht="13.5" customHeight="1" x14ac:dyDescent="0.25"/>
    <row r="184" spans="1:8" ht="13.7" customHeight="1" x14ac:dyDescent="0.25">
      <c r="E184" s="279"/>
      <c r="F184" s="279"/>
      <c r="G184" s="279"/>
      <c r="H184" s="279"/>
    </row>
    <row r="185" spans="1:8" s="279" customFormat="1" ht="13.7" customHeight="1" x14ac:dyDescent="0.25">
      <c r="A185" s="280"/>
      <c r="E185" s="277"/>
      <c r="F185" s="281"/>
      <c r="G185" s="281"/>
    </row>
    <row r="186" spans="1:8" s="279" customFormat="1" x14ac:dyDescent="0.25">
      <c r="A186" s="280"/>
      <c r="E186" s="277"/>
      <c r="F186" s="281"/>
      <c r="G186" s="281"/>
    </row>
    <row r="187" spans="1:8" s="279" customFormat="1" hidden="1" x14ac:dyDescent="0.25">
      <c r="A187" s="280"/>
      <c r="E187" s="277"/>
      <c r="F187" s="281"/>
      <c r="G187" s="281"/>
    </row>
    <row r="188" spans="1:8" s="279" customFormat="1" hidden="1" x14ac:dyDescent="0.25">
      <c r="A188" s="280"/>
      <c r="E188" s="277"/>
      <c r="F188" s="281"/>
      <c r="G188" s="281"/>
    </row>
    <row r="189" spans="1:8" s="279" customFormat="1" hidden="1" x14ac:dyDescent="0.25">
      <c r="A189" s="280"/>
      <c r="E189" s="277"/>
      <c r="F189" s="281"/>
      <c r="G189" s="281"/>
    </row>
    <row r="190" spans="1:8" s="279" customFormat="1" hidden="1" x14ac:dyDescent="0.25">
      <c r="A190" s="280"/>
      <c r="E190" s="277"/>
      <c r="F190" s="281"/>
      <c r="G190" s="281"/>
    </row>
    <row r="191" spans="1:8" s="279" customFormat="1" hidden="1" x14ac:dyDescent="0.25">
      <c r="A191" s="280"/>
      <c r="E191" s="277"/>
      <c r="F191" s="281"/>
      <c r="G191" s="281"/>
    </row>
    <row r="192" spans="1:8" s="279" customFormat="1" hidden="1" x14ac:dyDescent="0.25">
      <c r="A192" s="280"/>
      <c r="E192" s="277"/>
      <c r="F192" s="281"/>
      <c r="G192" s="281"/>
    </row>
    <row r="193" spans="5:7" s="279" customFormat="1" hidden="1" x14ac:dyDescent="0.25">
      <c r="E193" s="277"/>
      <c r="F193" s="281"/>
      <c r="G193" s="281"/>
    </row>
    <row r="194" spans="5:7" s="279" customFormat="1" hidden="1" x14ac:dyDescent="0.25">
      <c r="E194" s="277"/>
      <c r="F194" s="281"/>
      <c r="G194" s="281"/>
    </row>
    <row r="195" spans="5:7" s="279" customFormat="1" hidden="1" x14ac:dyDescent="0.25">
      <c r="E195" s="277"/>
      <c r="F195" s="281"/>
      <c r="G195" s="281"/>
    </row>
    <row r="196" spans="5:7" s="279" customFormat="1" hidden="1" x14ac:dyDescent="0.25">
      <c r="E196" s="277"/>
      <c r="F196" s="281"/>
      <c r="G196" s="281"/>
    </row>
    <row r="197" spans="5:7" s="279" customFormat="1" hidden="1" x14ac:dyDescent="0.25">
      <c r="E197" s="277"/>
      <c r="F197" s="281"/>
      <c r="G197" s="281"/>
    </row>
    <row r="198" spans="5:7" s="279" customFormat="1" hidden="1" x14ac:dyDescent="0.25">
      <c r="E198" s="277"/>
      <c r="F198" s="281"/>
      <c r="G198" s="281"/>
    </row>
    <row r="199" spans="5:7" s="279" customFormat="1" hidden="1" x14ac:dyDescent="0.25">
      <c r="E199" s="277"/>
      <c r="F199" s="281"/>
      <c r="G199" s="281"/>
    </row>
    <row r="200" spans="5:7" s="279" customFormat="1" hidden="1" x14ac:dyDescent="0.25">
      <c r="E200" s="277"/>
      <c r="F200" s="281"/>
      <c r="G200" s="281"/>
    </row>
    <row r="201" spans="5:7" s="279" customFormat="1" hidden="1" x14ac:dyDescent="0.25">
      <c r="E201" s="277"/>
      <c r="F201" s="281"/>
      <c r="G201" s="281"/>
    </row>
    <row r="202" spans="5:7" s="279" customFormat="1" hidden="1" x14ac:dyDescent="0.25">
      <c r="E202" s="277"/>
      <c r="F202" s="281"/>
      <c r="G202" s="281"/>
    </row>
    <row r="203" spans="5:7" s="279" customFormat="1" hidden="1" x14ac:dyDescent="0.25">
      <c r="E203" s="277"/>
      <c r="F203" s="281"/>
      <c r="G203" s="281"/>
    </row>
    <row r="204" spans="5:7" s="279" customFormat="1" hidden="1" x14ac:dyDescent="0.25">
      <c r="E204" s="277"/>
      <c r="F204" s="281"/>
      <c r="G204" s="281"/>
    </row>
    <row r="205" spans="5:7" s="279" customFormat="1" hidden="1" x14ac:dyDescent="0.25">
      <c r="E205" s="277"/>
      <c r="F205" s="281"/>
      <c r="G205" s="281"/>
    </row>
    <row r="206" spans="5:7" s="279" customFormat="1" hidden="1" x14ac:dyDescent="0.25">
      <c r="E206" s="277"/>
      <c r="F206" s="281"/>
      <c r="G206" s="281"/>
    </row>
    <row r="207" spans="5:7" s="279" customFormat="1" hidden="1" x14ac:dyDescent="0.25">
      <c r="E207" s="277"/>
      <c r="F207" s="281"/>
      <c r="G207" s="281"/>
    </row>
    <row r="208" spans="5:7" s="279" customFormat="1" hidden="1" x14ac:dyDescent="0.25">
      <c r="E208" s="277"/>
      <c r="F208" s="281"/>
      <c r="G208" s="281"/>
    </row>
    <row r="209" spans="3:8" s="279" customFormat="1" hidden="1" x14ac:dyDescent="0.25">
      <c r="E209" s="277"/>
      <c r="F209" s="281"/>
      <c r="G209" s="281"/>
    </row>
    <row r="210" spans="3:8" s="279" customFormat="1" hidden="1" x14ac:dyDescent="0.25">
      <c r="E210" s="277"/>
      <c r="F210" s="281"/>
      <c r="G210" s="281"/>
    </row>
    <row r="211" spans="3:8" s="279" customFormat="1" hidden="1" x14ac:dyDescent="0.25">
      <c r="E211" s="277"/>
      <c r="F211" s="281"/>
      <c r="G211" s="281"/>
    </row>
    <row r="212" spans="3:8" s="279" customFormat="1" hidden="1" x14ac:dyDescent="0.25">
      <c r="E212" s="277"/>
      <c r="F212" s="281"/>
      <c r="G212" s="281"/>
    </row>
    <row r="213" spans="3:8" s="279" customFormat="1" hidden="1" x14ac:dyDescent="0.25">
      <c r="E213" s="277"/>
      <c r="F213" s="281"/>
      <c r="G213" s="281"/>
    </row>
    <row r="214" spans="3:8" s="279" customFormat="1" hidden="1" x14ac:dyDescent="0.25">
      <c r="E214" s="277"/>
      <c r="F214" s="282"/>
      <c r="G214" s="253"/>
      <c r="H214" s="201"/>
    </row>
    <row r="215" spans="3:8" hidden="1" x14ac:dyDescent="0.25">
      <c r="C215" s="281"/>
      <c r="D215" s="281"/>
      <c r="F215" s="282"/>
    </row>
    <row r="216" spans="3:8" hidden="1" x14ac:dyDescent="0.25"/>
    <row r="217" spans="3:8" hidden="1" x14ac:dyDescent="0.25"/>
    <row r="218" spans="3:8" hidden="1" x14ac:dyDescent="0.25"/>
    <row r="219" spans="3:8" hidden="1" x14ac:dyDescent="0.25"/>
    <row r="220" spans="3:8" hidden="1" x14ac:dyDescent="0.25"/>
    <row r="221" spans="3:8" hidden="1" x14ac:dyDescent="0.25"/>
    <row r="222" spans="3:8" hidden="1" x14ac:dyDescent="0.25"/>
    <row r="223" spans="3:8" hidden="1" x14ac:dyDescent="0.25"/>
    <row r="224" spans="3:8"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sheetData>
  <mergeCells count="6">
    <mergeCell ref="C1:D1"/>
    <mergeCell ref="E1:F1"/>
    <mergeCell ref="C2:D2"/>
    <mergeCell ref="E2:F2"/>
    <mergeCell ref="C3:D3"/>
    <mergeCell ref="E3:F3"/>
  </mergeCells>
  <conditionalFormatting sqref="D7:D12">
    <cfRule type="cellIs" dxfId="373" priority="6" stopIfTrue="1" operator="greaterThan">
      <formula>50</formula>
    </cfRule>
    <cfRule type="cellIs" dxfId="372" priority="15" stopIfTrue="1" operator="equal">
      <formula>0</formula>
    </cfRule>
  </conditionalFormatting>
  <conditionalFormatting sqref="G152:G154 D7:D61">
    <cfRule type="cellIs" dxfId="371" priority="13" stopIfTrue="1" operator="between">
      <formula>-0.1</formula>
      <formula>-50</formula>
    </cfRule>
    <cfRule type="cellIs" dxfId="370" priority="14" stopIfTrue="1" operator="between">
      <formula>0.1</formula>
      <formula>50</formula>
    </cfRule>
  </conditionalFormatting>
  <conditionalFormatting sqref="G7:G150 G157:G181">
    <cfRule type="cellIs" dxfId="369" priority="11" stopIfTrue="1" operator="between">
      <formula>-0.1</formula>
      <formula>-50</formula>
    </cfRule>
    <cfRule type="cellIs" dxfId="368" priority="12" stopIfTrue="1" operator="between">
      <formula>0.1</formula>
      <formula>50</formula>
    </cfRule>
  </conditionalFormatting>
  <conditionalFormatting sqref="D111:D155">
    <cfRule type="cellIs" dxfId="367" priority="9" stopIfTrue="1" operator="between">
      <formula>-0.1</formula>
      <formula>-50</formula>
    </cfRule>
    <cfRule type="cellIs" dxfId="366" priority="10" stopIfTrue="1" operator="between">
      <formula>0.1</formula>
      <formula>50</formula>
    </cfRule>
  </conditionalFormatting>
  <conditionalFormatting sqref="G165">
    <cfRule type="expression" dxfId="365" priority="8" stopIfTrue="1">
      <formula>AND($G$165&gt;0,$G$151&gt;0)</formula>
    </cfRule>
  </conditionalFormatting>
  <conditionalFormatting sqref="G151">
    <cfRule type="expression" dxfId="364" priority="5" stopIfTrue="1">
      <formula>AND($G$151&gt;0,$G$165&gt;0)</formula>
    </cfRule>
  </conditionalFormatting>
  <conditionalFormatting sqref="G155">
    <cfRule type="cellIs" dxfId="363" priority="3" stopIfTrue="1" operator="between">
      <formula>-0.1</formula>
      <formula>-50</formula>
    </cfRule>
    <cfRule type="cellIs" dxfId="362" priority="4" stopIfTrue="1" operator="between">
      <formula>0.1</formula>
      <formula>50</formula>
    </cfRule>
  </conditionalFormatting>
  <conditionalFormatting sqref="G156">
    <cfRule type="cellIs" dxfId="361" priority="1" stopIfTrue="1" operator="between">
      <formula>-0.1</formula>
      <formula>-50</formula>
    </cfRule>
    <cfRule type="cellIs" dxfId="360" priority="2" stopIfTrue="1" operator="between">
      <formula>0.1</formula>
      <formula>50</formula>
    </cfRule>
  </conditionalFormatting>
  <dataValidations count="11">
    <dataValidation allowBlank="1" sqref="G204 JB204:JC204 SX204:SY204 ACT204:ACU204 AMP204:AMQ204 AWL204:AWM204 BGH204:BGI204 BQD204:BQE204 BZZ204:CAA204 CJV204:CJW204 CTR204:CTS204 DDN204:DDO204 DNJ204:DNK204 DXF204:DXG204 EHB204:EHC204 EQX204:EQY204 FAT204:FAU204 FKP204:FKQ204 FUL204:FUM204 GEH204:GEI204 GOD204:GOE204 GXZ204:GYA204 HHV204:HHW204 HRR204:HRS204 IBN204:IBO204 ILJ204:ILK204 IVF204:IVG204 JFB204:JFC204 JOX204:JOY204 JYT204:JYU204 KIP204:KIQ204 KSL204:KSM204 LCH204:LCI204 LMD204:LME204 LVZ204:LWA204 MFV204:MFW204 MPR204:MPS204 MZN204:MZO204 NJJ204:NJK204 NTF204:NTG204 ODB204:ODC204 OMX204:OMY204 OWT204:OWU204 PGP204:PGQ204 PQL204:PQM204 QAH204:QAI204 QKD204:QKE204 QTZ204:QUA204 RDV204:RDW204 RNR204:RNS204 RXN204:RXO204 SHJ204:SHK204 SRF204:SRG204 TBB204:TBC204 TKX204:TKY204 TUT204:TUU204 UEP204:UEQ204 UOL204:UOM204 UYH204:UYI204 VID204:VIE204 VRZ204:VSA204 WBV204:WBW204 WLR204:WLS204 WVN204:WVO204 G65740 JB65740:JC65740 SX65740:SY65740 ACT65740:ACU65740 AMP65740:AMQ65740 AWL65740:AWM65740 BGH65740:BGI65740 BQD65740:BQE65740 BZZ65740:CAA65740 CJV65740:CJW65740 CTR65740:CTS65740 DDN65740:DDO65740 DNJ65740:DNK65740 DXF65740:DXG65740 EHB65740:EHC65740 EQX65740:EQY65740 FAT65740:FAU65740 FKP65740:FKQ65740 FUL65740:FUM65740 GEH65740:GEI65740 GOD65740:GOE65740 GXZ65740:GYA65740 HHV65740:HHW65740 HRR65740:HRS65740 IBN65740:IBO65740 ILJ65740:ILK65740 IVF65740:IVG65740 JFB65740:JFC65740 JOX65740:JOY65740 JYT65740:JYU65740 KIP65740:KIQ65740 KSL65740:KSM65740 LCH65740:LCI65740 LMD65740:LME65740 LVZ65740:LWA65740 MFV65740:MFW65740 MPR65740:MPS65740 MZN65740:MZO65740 NJJ65740:NJK65740 NTF65740:NTG65740 ODB65740:ODC65740 OMX65740:OMY65740 OWT65740:OWU65740 PGP65740:PGQ65740 PQL65740:PQM65740 QAH65740:QAI65740 QKD65740:QKE65740 QTZ65740:QUA65740 RDV65740:RDW65740 RNR65740:RNS65740 RXN65740:RXO65740 SHJ65740:SHK65740 SRF65740:SRG65740 TBB65740:TBC65740 TKX65740:TKY65740 TUT65740:TUU65740 UEP65740:UEQ65740 UOL65740:UOM65740 UYH65740:UYI65740 VID65740:VIE65740 VRZ65740:VSA65740 WBV65740:WBW65740 WLR65740:WLS65740 WVN65740:WVO65740 G131276 JB131276:JC131276 SX131276:SY131276 ACT131276:ACU131276 AMP131276:AMQ131276 AWL131276:AWM131276 BGH131276:BGI131276 BQD131276:BQE131276 BZZ131276:CAA131276 CJV131276:CJW131276 CTR131276:CTS131276 DDN131276:DDO131276 DNJ131276:DNK131276 DXF131276:DXG131276 EHB131276:EHC131276 EQX131276:EQY131276 FAT131276:FAU131276 FKP131276:FKQ131276 FUL131276:FUM131276 GEH131276:GEI131276 GOD131276:GOE131276 GXZ131276:GYA131276 HHV131276:HHW131276 HRR131276:HRS131276 IBN131276:IBO131276 ILJ131276:ILK131276 IVF131276:IVG131276 JFB131276:JFC131276 JOX131276:JOY131276 JYT131276:JYU131276 KIP131276:KIQ131276 KSL131276:KSM131276 LCH131276:LCI131276 LMD131276:LME131276 LVZ131276:LWA131276 MFV131276:MFW131276 MPR131276:MPS131276 MZN131276:MZO131276 NJJ131276:NJK131276 NTF131276:NTG131276 ODB131276:ODC131276 OMX131276:OMY131276 OWT131276:OWU131276 PGP131276:PGQ131276 PQL131276:PQM131276 QAH131276:QAI131276 QKD131276:QKE131276 QTZ131276:QUA131276 RDV131276:RDW131276 RNR131276:RNS131276 RXN131276:RXO131276 SHJ131276:SHK131276 SRF131276:SRG131276 TBB131276:TBC131276 TKX131276:TKY131276 TUT131276:TUU131276 UEP131276:UEQ131276 UOL131276:UOM131276 UYH131276:UYI131276 VID131276:VIE131276 VRZ131276:VSA131276 WBV131276:WBW131276 WLR131276:WLS131276 WVN131276:WVO131276 G196812 JB196812:JC196812 SX196812:SY196812 ACT196812:ACU196812 AMP196812:AMQ196812 AWL196812:AWM196812 BGH196812:BGI196812 BQD196812:BQE196812 BZZ196812:CAA196812 CJV196812:CJW196812 CTR196812:CTS196812 DDN196812:DDO196812 DNJ196812:DNK196812 DXF196812:DXG196812 EHB196812:EHC196812 EQX196812:EQY196812 FAT196812:FAU196812 FKP196812:FKQ196812 FUL196812:FUM196812 GEH196812:GEI196812 GOD196812:GOE196812 GXZ196812:GYA196812 HHV196812:HHW196812 HRR196812:HRS196812 IBN196812:IBO196812 ILJ196812:ILK196812 IVF196812:IVG196812 JFB196812:JFC196812 JOX196812:JOY196812 JYT196812:JYU196812 KIP196812:KIQ196812 KSL196812:KSM196812 LCH196812:LCI196812 LMD196812:LME196812 LVZ196812:LWA196812 MFV196812:MFW196812 MPR196812:MPS196812 MZN196812:MZO196812 NJJ196812:NJK196812 NTF196812:NTG196812 ODB196812:ODC196812 OMX196812:OMY196812 OWT196812:OWU196812 PGP196812:PGQ196812 PQL196812:PQM196812 QAH196812:QAI196812 QKD196812:QKE196812 QTZ196812:QUA196812 RDV196812:RDW196812 RNR196812:RNS196812 RXN196812:RXO196812 SHJ196812:SHK196812 SRF196812:SRG196812 TBB196812:TBC196812 TKX196812:TKY196812 TUT196812:TUU196812 UEP196812:UEQ196812 UOL196812:UOM196812 UYH196812:UYI196812 VID196812:VIE196812 VRZ196812:VSA196812 WBV196812:WBW196812 WLR196812:WLS196812 WVN196812:WVO196812 G262348 JB262348:JC262348 SX262348:SY262348 ACT262348:ACU262348 AMP262348:AMQ262348 AWL262348:AWM262348 BGH262348:BGI262348 BQD262348:BQE262348 BZZ262348:CAA262348 CJV262348:CJW262348 CTR262348:CTS262348 DDN262348:DDO262348 DNJ262348:DNK262348 DXF262348:DXG262348 EHB262348:EHC262348 EQX262348:EQY262348 FAT262348:FAU262348 FKP262348:FKQ262348 FUL262348:FUM262348 GEH262348:GEI262348 GOD262348:GOE262348 GXZ262348:GYA262348 HHV262348:HHW262348 HRR262348:HRS262348 IBN262348:IBO262348 ILJ262348:ILK262348 IVF262348:IVG262348 JFB262348:JFC262348 JOX262348:JOY262348 JYT262348:JYU262348 KIP262348:KIQ262348 KSL262348:KSM262348 LCH262348:LCI262348 LMD262348:LME262348 LVZ262348:LWA262348 MFV262348:MFW262348 MPR262348:MPS262348 MZN262348:MZO262348 NJJ262348:NJK262348 NTF262348:NTG262348 ODB262348:ODC262348 OMX262348:OMY262348 OWT262348:OWU262348 PGP262348:PGQ262348 PQL262348:PQM262348 QAH262348:QAI262348 QKD262348:QKE262348 QTZ262348:QUA262348 RDV262348:RDW262348 RNR262348:RNS262348 RXN262348:RXO262348 SHJ262348:SHK262348 SRF262348:SRG262348 TBB262348:TBC262348 TKX262348:TKY262348 TUT262348:TUU262348 UEP262348:UEQ262348 UOL262348:UOM262348 UYH262348:UYI262348 VID262348:VIE262348 VRZ262348:VSA262348 WBV262348:WBW262348 WLR262348:WLS262348 WVN262348:WVO262348 G327884 JB327884:JC327884 SX327884:SY327884 ACT327884:ACU327884 AMP327884:AMQ327884 AWL327884:AWM327884 BGH327884:BGI327884 BQD327884:BQE327884 BZZ327884:CAA327884 CJV327884:CJW327884 CTR327884:CTS327884 DDN327884:DDO327884 DNJ327884:DNK327884 DXF327884:DXG327884 EHB327884:EHC327884 EQX327884:EQY327884 FAT327884:FAU327884 FKP327884:FKQ327884 FUL327884:FUM327884 GEH327884:GEI327884 GOD327884:GOE327884 GXZ327884:GYA327884 HHV327884:HHW327884 HRR327884:HRS327884 IBN327884:IBO327884 ILJ327884:ILK327884 IVF327884:IVG327884 JFB327884:JFC327884 JOX327884:JOY327884 JYT327884:JYU327884 KIP327884:KIQ327884 KSL327884:KSM327884 LCH327884:LCI327884 LMD327884:LME327884 LVZ327884:LWA327884 MFV327884:MFW327884 MPR327884:MPS327884 MZN327884:MZO327884 NJJ327884:NJK327884 NTF327884:NTG327884 ODB327884:ODC327884 OMX327884:OMY327884 OWT327884:OWU327884 PGP327884:PGQ327884 PQL327884:PQM327884 QAH327884:QAI327884 QKD327884:QKE327884 QTZ327884:QUA327884 RDV327884:RDW327884 RNR327884:RNS327884 RXN327884:RXO327884 SHJ327884:SHK327884 SRF327884:SRG327884 TBB327884:TBC327884 TKX327884:TKY327884 TUT327884:TUU327884 UEP327884:UEQ327884 UOL327884:UOM327884 UYH327884:UYI327884 VID327884:VIE327884 VRZ327884:VSA327884 WBV327884:WBW327884 WLR327884:WLS327884 WVN327884:WVO327884 G393420 JB393420:JC393420 SX393420:SY393420 ACT393420:ACU393420 AMP393420:AMQ393420 AWL393420:AWM393420 BGH393420:BGI393420 BQD393420:BQE393420 BZZ393420:CAA393420 CJV393420:CJW393420 CTR393420:CTS393420 DDN393420:DDO393420 DNJ393420:DNK393420 DXF393420:DXG393420 EHB393420:EHC393420 EQX393420:EQY393420 FAT393420:FAU393420 FKP393420:FKQ393420 FUL393420:FUM393420 GEH393420:GEI393420 GOD393420:GOE393420 GXZ393420:GYA393420 HHV393420:HHW393420 HRR393420:HRS393420 IBN393420:IBO393420 ILJ393420:ILK393420 IVF393420:IVG393420 JFB393420:JFC393420 JOX393420:JOY393420 JYT393420:JYU393420 KIP393420:KIQ393420 KSL393420:KSM393420 LCH393420:LCI393420 LMD393420:LME393420 LVZ393420:LWA393420 MFV393420:MFW393420 MPR393420:MPS393420 MZN393420:MZO393420 NJJ393420:NJK393420 NTF393420:NTG393420 ODB393420:ODC393420 OMX393420:OMY393420 OWT393420:OWU393420 PGP393420:PGQ393420 PQL393420:PQM393420 QAH393420:QAI393420 QKD393420:QKE393420 QTZ393420:QUA393420 RDV393420:RDW393420 RNR393420:RNS393420 RXN393420:RXO393420 SHJ393420:SHK393420 SRF393420:SRG393420 TBB393420:TBC393420 TKX393420:TKY393420 TUT393420:TUU393420 UEP393420:UEQ393420 UOL393420:UOM393420 UYH393420:UYI393420 VID393420:VIE393420 VRZ393420:VSA393420 WBV393420:WBW393420 WLR393420:WLS393420 WVN393420:WVO393420 G458956 JB458956:JC458956 SX458956:SY458956 ACT458956:ACU458956 AMP458956:AMQ458956 AWL458956:AWM458956 BGH458956:BGI458956 BQD458956:BQE458956 BZZ458956:CAA458956 CJV458956:CJW458956 CTR458956:CTS458956 DDN458956:DDO458956 DNJ458956:DNK458956 DXF458956:DXG458956 EHB458956:EHC458956 EQX458956:EQY458956 FAT458956:FAU458956 FKP458956:FKQ458956 FUL458956:FUM458956 GEH458956:GEI458956 GOD458956:GOE458956 GXZ458956:GYA458956 HHV458956:HHW458956 HRR458956:HRS458956 IBN458956:IBO458956 ILJ458956:ILK458956 IVF458956:IVG458956 JFB458956:JFC458956 JOX458956:JOY458956 JYT458956:JYU458956 KIP458956:KIQ458956 KSL458956:KSM458956 LCH458956:LCI458956 LMD458956:LME458956 LVZ458956:LWA458956 MFV458956:MFW458956 MPR458956:MPS458956 MZN458956:MZO458956 NJJ458956:NJK458956 NTF458956:NTG458956 ODB458956:ODC458956 OMX458956:OMY458956 OWT458956:OWU458956 PGP458956:PGQ458956 PQL458956:PQM458956 QAH458956:QAI458956 QKD458956:QKE458956 QTZ458956:QUA458956 RDV458956:RDW458956 RNR458956:RNS458956 RXN458956:RXO458956 SHJ458956:SHK458956 SRF458956:SRG458956 TBB458956:TBC458956 TKX458956:TKY458956 TUT458956:TUU458956 UEP458956:UEQ458956 UOL458956:UOM458956 UYH458956:UYI458956 VID458956:VIE458956 VRZ458956:VSA458956 WBV458956:WBW458956 WLR458956:WLS458956 WVN458956:WVO458956 G524492 JB524492:JC524492 SX524492:SY524492 ACT524492:ACU524492 AMP524492:AMQ524492 AWL524492:AWM524492 BGH524492:BGI524492 BQD524492:BQE524492 BZZ524492:CAA524492 CJV524492:CJW524492 CTR524492:CTS524492 DDN524492:DDO524492 DNJ524492:DNK524492 DXF524492:DXG524492 EHB524492:EHC524492 EQX524492:EQY524492 FAT524492:FAU524492 FKP524492:FKQ524492 FUL524492:FUM524492 GEH524492:GEI524492 GOD524492:GOE524492 GXZ524492:GYA524492 HHV524492:HHW524492 HRR524492:HRS524492 IBN524492:IBO524492 ILJ524492:ILK524492 IVF524492:IVG524492 JFB524492:JFC524492 JOX524492:JOY524492 JYT524492:JYU524492 KIP524492:KIQ524492 KSL524492:KSM524492 LCH524492:LCI524492 LMD524492:LME524492 LVZ524492:LWA524492 MFV524492:MFW524492 MPR524492:MPS524492 MZN524492:MZO524492 NJJ524492:NJK524492 NTF524492:NTG524492 ODB524492:ODC524492 OMX524492:OMY524492 OWT524492:OWU524492 PGP524492:PGQ524492 PQL524492:PQM524492 QAH524492:QAI524492 QKD524492:QKE524492 QTZ524492:QUA524492 RDV524492:RDW524492 RNR524492:RNS524492 RXN524492:RXO524492 SHJ524492:SHK524492 SRF524492:SRG524492 TBB524492:TBC524492 TKX524492:TKY524492 TUT524492:TUU524492 UEP524492:UEQ524492 UOL524492:UOM524492 UYH524492:UYI524492 VID524492:VIE524492 VRZ524492:VSA524492 WBV524492:WBW524492 WLR524492:WLS524492 WVN524492:WVO524492 G590028 JB590028:JC590028 SX590028:SY590028 ACT590028:ACU590028 AMP590028:AMQ590028 AWL590028:AWM590028 BGH590028:BGI590028 BQD590028:BQE590028 BZZ590028:CAA590028 CJV590028:CJW590028 CTR590028:CTS590028 DDN590028:DDO590028 DNJ590028:DNK590028 DXF590028:DXG590028 EHB590028:EHC590028 EQX590028:EQY590028 FAT590028:FAU590028 FKP590028:FKQ590028 FUL590028:FUM590028 GEH590028:GEI590028 GOD590028:GOE590028 GXZ590028:GYA590028 HHV590028:HHW590028 HRR590028:HRS590028 IBN590028:IBO590028 ILJ590028:ILK590028 IVF590028:IVG590028 JFB590028:JFC590028 JOX590028:JOY590028 JYT590028:JYU590028 KIP590028:KIQ590028 KSL590028:KSM590028 LCH590028:LCI590028 LMD590028:LME590028 LVZ590028:LWA590028 MFV590028:MFW590028 MPR590028:MPS590028 MZN590028:MZO590028 NJJ590028:NJK590028 NTF590028:NTG590028 ODB590028:ODC590028 OMX590028:OMY590028 OWT590028:OWU590028 PGP590028:PGQ590028 PQL590028:PQM590028 QAH590028:QAI590028 QKD590028:QKE590028 QTZ590028:QUA590028 RDV590028:RDW590028 RNR590028:RNS590028 RXN590028:RXO590028 SHJ590028:SHK590028 SRF590028:SRG590028 TBB590028:TBC590028 TKX590028:TKY590028 TUT590028:TUU590028 UEP590028:UEQ590028 UOL590028:UOM590028 UYH590028:UYI590028 VID590028:VIE590028 VRZ590028:VSA590028 WBV590028:WBW590028 WLR590028:WLS590028 WVN590028:WVO590028 G655564 JB655564:JC655564 SX655564:SY655564 ACT655564:ACU655564 AMP655564:AMQ655564 AWL655564:AWM655564 BGH655564:BGI655564 BQD655564:BQE655564 BZZ655564:CAA655564 CJV655564:CJW655564 CTR655564:CTS655564 DDN655564:DDO655564 DNJ655564:DNK655564 DXF655564:DXG655564 EHB655564:EHC655564 EQX655564:EQY655564 FAT655564:FAU655564 FKP655564:FKQ655564 FUL655564:FUM655564 GEH655564:GEI655564 GOD655564:GOE655564 GXZ655564:GYA655564 HHV655564:HHW655564 HRR655564:HRS655564 IBN655564:IBO655564 ILJ655564:ILK655564 IVF655564:IVG655564 JFB655564:JFC655564 JOX655564:JOY655564 JYT655564:JYU655564 KIP655564:KIQ655564 KSL655564:KSM655564 LCH655564:LCI655564 LMD655564:LME655564 LVZ655564:LWA655564 MFV655564:MFW655564 MPR655564:MPS655564 MZN655564:MZO655564 NJJ655564:NJK655564 NTF655564:NTG655564 ODB655564:ODC655564 OMX655564:OMY655564 OWT655564:OWU655564 PGP655564:PGQ655564 PQL655564:PQM655564 QAH655564:QAI655564 QKD655564:QKE655564 QTZ655564:QUA655564 RDV655564:RDW655564 RNR655564:RNS655564 RXN655564:RXO655564 SHJ655564:SHK655564 SRF655564:SRG655564 TBB655564:TBC655564 TKX655564:TKY655564 TUT655564:TUU655564 UEP655564:UEQ655564 UOL655564:UOM655564 UYH655564:UYI655564 VID655564:VIE655564 VRZ655564:VSA655564 WBV655564:WBW655564 WLR655564:WLS655564 WVN655564:WVO655564 G721100 JB721100:JC721100 SX721100:SY721100 ACT721100:ACU721100 AMP721100:AMQ721100 AWL721100:AWM721100 BGH721100:BGI721100 BQD721100:BQE721100 BZZ721100:CAA721100 CJV721100:CJW721100 CTR721100:CTS721100 DDN721100:DDO721100 DNJ721100:DNK721100 DXF721100:DXG721100 EHB721100:EHC721100 EQX721100:EQY721100 FAT721100:FAU721100 FKP721100:FKQ721100 FUL721100:FUM721100 GEH721100:GEI721100 GOD721100:GOE721100 GXZ721100:GYA721100 HHV721100:HHW721100 HRR721100:HRS721100 IBN721100:IBO721100 ILJ721100:ILK721100 IVF721100:IVG721100 JFB721100:JFC721100 JOX721100:JOY721100 JYT721100:JYU721100 KIP721100:KIQ721100 KSL721100:KSM721100 LCH721100:LCI721100 LMD721100:LME721100 LVZ721100:LWA721100 MFV721100:MFW721100 MPR721100:MPS721100 MZN721100:MZO721100 NJJ721100:NJK721100 NTF721100:NTG721100 ODB721100:ODC721100 OMX721100:OMY721100 OWT721100:OWU721100 PGP721100:PGQ721100 PQL721100:PQM721100 QAH721100:QAI721100 QKD721100:QKE721100 QTZ721100:QUA721100 RDV721100:RDW721100 RNR721100:RNS721100 RXN721100:RXO721100 SHJ721100:SHK721100 SRF721100:SRG721100 TBB721100:TBC721100 TKX721100:TKY721100 TUT721100:TUU721100 UEP721100:UEQ721100 UOL721100:UOM721100 UYH721100:UYI721100 VID721100:VIE721100 VRZ721100:VSA721100 WBV721100:WBW721100 WLR721100:WLS721100 WVN721100:WVO721100 G786636 JB786636:JC786636 SX786636:SY786636 ACT786636:ACU786636 AMP786636:AMQ786636 AWL786636:AWM786636 BGH786636:BGI786636 BQD786636:BQE786636 BZZ786636:CAA786636 CJV786636:CJW786636 CTR786636:CTS786636 DDN786636:DDO786636 DNJ786636:DNK786636 DXF786636:DXG786636 EHB786636:EHC786636 EQX786636:EQY786636 FAT786636:FAU786636 FKP786636:FKQ786636 FUL786636:FUM786636 GEH786636:GEI786636 GOD786636:GOE786636 GXZ786636:GYA786636 HHV786636:HHW786636 HRR786636:HRS786636 IBN786636:IBO786636 ILJ786636:ILK786636 IVF786636:IVG786636 JFB786636:JFC786636 JOX786636:JOY786636 JYT786636:JYU786636 KIP786636:KIQ786636 KSL786636:KSM786636 LCH786636:LCI786636 LMD786636:LME786636 LVZ786636:LWA786636 MFV786636:MFW786636 MPR786636:MPS786636 MZN786636:MZO786636 NJJ786636:NJK786636 NTF786636:NTG786636 ODB786636:ODC786636 OMX786636:OMY786636 OWT786636:OWU786636 PGP786636:PGQ786636 PQL786636:PQM786636 QAH786636:QAI786636 QKD786636:QKE786636 QTZ786636:QUA786636 RDV786636:RDW786636 RNR786636:RNS786636 RXN786636:RXO786636 SHJ786636:SHK786636 SRF786636:SRG786636 TBB786636:TBC786636 TKX786636:TKY786636 TUT786636:TUU786636 UEP786636:UEQ786636 UOL786636:UOM786636 UYH786636:UYI786636 VID786636:VIE786636 VRZ786636:VSA786636 WBV786636:WBW786636 WLR786636:WLS786636 WVN786636:WVO786636 G852172 JB852172:JC852172 SX852172:SY852172 ACT852172:ACU852172 AMP852172:AMQ852172 AWL852172:AWM852172 BGH852172:BGI852172 BQD852172:BQE852172 BZZ852172:CAA852172 CJV852172:CJW852172 CTR852172:CTS852172 DDN852172:DDO852172 DNJ852172:DNK852172 DXF852172:DXG852172 EHB852172:EHC852172 EQX852172:EQY852172 FAT852172:FAU852172 FKP852172:FKQ852172 FUL852172:FUM852172 GEH852172:GEI852172 GOD852172:GOE852172 GXZ852172:GYA852172 HHV852172:HHW852172 HRR852172:HRS852172 IBN852172:IBO852172 ILJ852172:ILK852172 IVF852172:IVG852172 JFB852172:JFC852172 JOX852172:JOY852172 JYT852172:JYU852172 KIP852172:KIQ852172 KSL852172:KSM852172 LCH852172:LCI852172 LMD852172:LME852172 LVZ852172:LWA852172 MFV852172:MFW852172 MPR852172:MPS852172 MZN852172:MZO852172 NJJ852172:NJK852172 NTF852172:NTG852172 ODB852172:ODC852172 OMX852172:OMY852172 OWT852172:OWU852172 PGP852172:PGQ852172 PQL852172:PQM852172 QAH852172:QAI852172 QKD852172:QKE852172 QTZ852172:QUA852172 RDV852172:RDW852172 RNR852172:RNS852172 RXN852172:RXO852172 SHJ852172:SHK852172 SRF852172:SRG852172 TBB852172:TBC852172 TKX852172:TKY852172 TUT852172:TUU852172 UEP852172:UEQ852172 UOL852172:UOM852172 UYH852172:UYI852172 VID852172:VIE852172 VRZ852172:VSA852172 WBV852172:WBW852172 WLR852172:WLS852172 WVN852172:WVO852172 G917708 JB917708:JC917708 SX917708:SY917708 ACT917708:ACU917708 AMP917708:AMQ917708 AWL917708:AWM917708 BGH917708:BGI917708 BQD917708:BQE917708 BZZ917708:CAA917708 CJV917708:CJW917708 CTR917708:CTS917708 DDN917708:DDO917708 DNJ917708:DNK917708 DXF917708:DXG917708 EHB917708:EHC917708 EQX917708:EQY917708 FAT917708:FAU917708 FKP917708:FKQ917708 FUL917708:FUM917708 GEH917708:GEI917708 GOD917708:GOE917708 GXZ917708:GYA917708 HHV917708:HHW917708 HRR917708:HRS917708 IBN917708:IBO917708 ILJ917708:ILK917708 IVF917708:IVG917708 JFB917708:JFC917708 JOX917708:JOY917708 JYT917708:JYU917708 KIP917708:KIQ917708 KSL917708:KSM917708 LCH917708:LCI917708 LMD917708:LME917708 LVZ917708:LWA917708 MFV917708:MFW917708 MPR917708:MPS917708 MZN917708:MZO917708 NJJ917708:NJK917708 NTF917708:NTG917708 ODB917708:ODC917708 OMX917708:OMY917708 OWT917708:OWU917708 PGP917708:PGQ917708 PQL917708:PQM917708 QAH917708:QAI917708 QKD917708:QKE917708 QTZ917708:QUA917708 RDV917708:RDW917708 RNR917708:RNS917708 RXN917708:RXO917708 SHJ917708:SHK917708 SRF917708:SRG917708 TBB917708:TBC917708 TKX917708:TKY917708 TUT917708:TUU917708 UEP917708:UEQ917708 UOL917708:UOM917708 UYH917708:UYI917708 VID917708:VIE917708 VRZ917708:VSA917708 WBV917708:WBW917708 WLR917708:WLS917708 WVN917708:WVO917708 G983244 JB983244:JC983244 SX983244:SY983244 ACT983244:ACU983244 AMP983244:AMQ983244 AWL983244:AWM983244 BGH983244:BGI983244 BQD983244:BQE983244 BZZ983244:CAA983244 CJV983244:CJW983244 CTR983244:CTS983244 DDN983244:DDO983244 DNJ983244:DNK983244 DXF983244:DXG983244 EHB983244:EHC983244 EQX983244:EQY983244 FAT983244:FAU983244 FKP983244:FKQ983244 FUL983244:FUM983244 GEH983244:GEI983244 GOD983244:GOE983244 GXZ983244:GYA983244 HHV983244:HHW983244 HRR983244:HRS983244 IBN983244:IBO983244 ILJ983244:ILK983244 IVF983244:IVG983244 JFB983244:JFC983244 JOX983244:JOY983244 JYT983244:JYU983244 KIP983244:KIQ983244 KSL983244:KSM983244 LCH983244:LCI983244 LMD983244:LME983244 LVZ983244:LWA983244 MFV983244:MFW983244 MPR983244:MPS983244 MZN983244:MZO983244 NJJ983244:NJK983244 NTF983244:NTG983244 ODB983244:ODC983244 OMX983244:OMY983244 OWT983244:OWU983244 PGP983244:PGQ983244 PQL983244:PQM983244 QAH983244:QAI983244 QKD983244:QKE983244 QTZ983244:QUA983244 RDV983244:RDW983244 RNR983244:RNS983244 RXN983244:RXO983244 SHJ983244:SHK983244 SRF983244:SRG983244 TBB983244:TBC983244 TKX983244:TKY983244 TUT983244:TUU983244 UEP983244:UEQ983244 UOL983244:UOM983244 UYH983244:UYI983244 VID983244:VIE983244 VRZ983244:VSA983244 WBV983244:WBW983244 WLR983244:WLS983244 WVN983244:WVO983244"/>
    <dataValidation allowBlank="1" errorTitle="Error de datos" error="Debe introducir una fecha válida" sqref="E3 IZ3 SV3 ACR3 AMN3 AWJ3 BGF3 BQB3 BZX3 CJT3 CTP3 DDL3 DNH3 DXD3 EGZ3 EQV3 FAR3 FKN3 FUJ3 GEF3 GOB3 GXX3 HHT3 HRP3 IBL3 ILH3 IVD3 JEZ3 JOV3 JYR3 KIN3 KSJ3 LCF3 LMB3 LVX3 MFT3 MPP3 MZL3 NJH3 NTD3 OCZ3 OMV3 OWR3 PGN3 PQJ3 QAF3 QKB3 QTX3 RDT3 RNP3 RXL3 SHH3 SRD3 TAZ3 TKV3 TUR3 UEN3 UOJ3 UYF3 VIB3 VRX3 WBT3 WLP3 WVL3 E65539 IZ65539 SV65539 ACR65539 AMN65539 AWJ65539 BGF65539 BQB65539 BZX65539 CJT65539 CTP65539 DDL65539 DNH65539 DXD65539 EGZ65539 EQV65539 FAR65539 FKN65539 FUJ65539 GEF65539 GOB65539 GXX65539 HHT65539 HRP65539 IBL65539 ILH65539 IVD65539 JEZ65539 JOV65539 JYR65539 KIN65539 KSJ65539 LCF65539 LMB65539 LVX65539 MFT65539 MPP65539 MZL65539 NJH65539 NTD65539 OCZ65539 OMV65539 OWR65539 PGN65539 PQJ65539 QAF65539 QKB65539 QTX65539 RDT65539 RNP65539 RXL65539 SHH65539 SRD65539 TAZ65539 TKV65539 TUR65539 UEN65539 UOJ65539 UYF65539 VIB65539 VRX65539 WBT65539 WLP65539 WVL65539 E131075 IZ131075 SV131075 ACR131075 AMN131075 AWJ131075 BGF131075 BQB131075 BZX131075 CJT131075 CTP131075 DDL131075 DNH131075 DXD131075 EGZ131075 EQV131075 FAR131075 FKN131075 FUJ131075 GEF131075 GOB131075 GXX131075 HHT131075 HRP131075 IBL131075 ILH131075 IVD131075 JEZ131075 JOV131075 JYR131075 KIN131075 KSJ131075 LCF131075 LMB131075 LVX131075 MFT131075 MPP131075 MZL131075 NJH131075 NTD131075 OCZ131075 OMV131075 OWR131075 PGN131075 PQJ131075 QAF131075 QKB131075 QTX131075 RDT131075 RNP131075 RXL131075 SHH131075 SRD131075 TAZ131075 TKV131075 TUR131075 UEN131075 UOJ131075 UYF131075 VIB131075 VRX131075 WBT131075 WLP131075 WVL131075 E196611 IZ196611 SV196611 ACR196611 AMN196611 AWJ196611 BGF196611 BQB196611 BZX196611 CJT196611 CTP196611 DDL196611 DNH196611 DXD196611 EGZ196611 EQV196611 FAR196611 FKN196611 FUJ196611 GEF196611 GOB196611 GXX196611 HHT196611 HRP196611 IBL196611 ILH196611 IVD196611 JEZ196611 JOV196611 JYR196611 KIN196611 KSJ196611 LCF196611 LMB196611 LVX196611 MFT196611 MPP196611 MZL196611 NJH196611 NTD196611 OCZ196611 OMV196611 OWR196611 PGN196611 PQJ196611 QAF196611 QKB196611 QTX196611 RDT196611 RNP196611 RXL196611 SHH196611 SRD196611 TAZ196611 TKV196611 TUR196611 UEN196611 UOJ196611 UYF196611 VIB196611 VRX196611 WBT196611 WLP196611 WVL196611 E262147 IZ262147 SV262147 ACR262147 AMN262147 AWJ262147 BGF262147 BQB262147 BZX262147 CJT262147 CTP262147 DDL262147 DNH262147 DXD262147 EGZ262147 EQV262147 FAR262147 FKN262147 FUJ262147 GEF262147 GOB262147 GXX262147 HHT262147 HRP262147 IBL262147 ILH262147 IVD262147 JEZ262147 JOV262147 JYR262147 KIN262147 KSJ262147 LCF262147 LMB262147 LVX262147 MFT262147 MPP262147 MZL262147 NJH262147 NTD262147 OCZ262147 OMV262147 OWR262147 PGN262147 PQJ262147 QAF262147 QKB262147 QTX262147 RDT262147 RNP262147 RXL262147 SHH262147 SRD262147 TAZ262147 TKV262147 TUR262147 UEN262147 UOJ262147 UYF262147 VIB262147 VRX262147 WBT262147 WLP262147 WVL262147 E327683 IZ327683 SV327683 ACR327683 AMN327683 AWJ327683 BGF327683 BQB327683 BZX327683 CJT327683 CTP327683 DDL327683 DNH327683 DXD327683 EGZ327683 EQV327683 FAR327683 FKN327683 FUJ327683 GEF327683 GOB327683 GXX327683 HHT327683 HRP327683 IBL327683 ILH327683 IVD327683 JEZ327683 JOV327683 JYR327683 KIN327683 KSJ327683 LCF327683 LMB327683 LVX327683 MFT327683 MPP327683 MZL327683 NJH327683 NTD327683 OCZ327683 OMV327683 OWR327683 PGN327683 PQJ327683 QAF327683 QKB327683 QTX327683 RDT327683 RNP327683 RXL327683 SHH327683 SRD327683 TAZ327683 TKV327683 TUR327683 UEN327683 UOJ327683 UYF327683 VIB327683 VRX327683 WBT327683 WLP327683 WVL327683 E393219 IZ393219 SV393219 ACR393219 AMN393219 AWJ393219 BGF393219 BQB393219 BZX393219 CJT393219 CTP393219 DDL393219 DNH393219 DXD393219 EGZ393219 EQV393219 FAR393219 FKN393219 FUJ393219 GEF393219 GOB393219 GXX393219 HHT393219 HRP393219 IBL393219 ILH393219 IVD393219 JEZ393219 JOV393219 JYR393219 KIN393219 KSJ393219 LCF393219 LMB393219 LVX393219 MFT393219 MPP393219 MZL393219 NJH393219 NTD393219 OCZ393219 OMV393219 OWR393219 PGN393219 PQJ393219 QAF393219 QKB393219 QTX393219 RDT393219 RNP393219 RXL393219 SHH393219 SRD393219 TAZ393219 TKV393219 TUR393219 UEN393219 UOJ393219 UYF393219 VIB393219 VRX393219 WBT393219 WLP393219 WVL393219 E458755 IZ458755 SV458755 ACR458755 AMN458755 AWJ458755 BGF458755 BQB458755 BZX458755 CJT458755 CTP458755 DDL458755 DNH458755 DXD458755 EGZ458755 EQV458755 FAR458755 FKN458755 FUJ458755 GEF458755 GOB458755 GXX458755 HHT458755 HRP458755 IBL458755 ILH458755 IVD458755 JEZ458755 JOV458755 JYR458755 KIN458755 KSJ458755 LCF458755 LMB458755 LVX458755 MFT458755 MPP458755 MZL458755 NJH458755 NTD458755 OCZ458755 OMV458755 OWR458755 PGN458755 PQJ458755 QAF458755 QKB458755 QTX458755 RDT458755 RNP458755 RXL458755 SHH458755 SRD458755 TAZ458755 TKV458755 TUR458755 UEN458755 UOJ458755 UYF458755 VIB458755 VRX458755 WBT458755 WLP458755 WVL458755 E524291 IZ524291 SV524291 ACR524291 AMN524291 AWJ524291 BGF524291 BQB524291 BZX524291 CJT524291 CTP524291 DDL524291 DNH524291 DXD524291 EGZ524291 EQV524291 FAR524291 FKN524291 FUJ524291 GEF524291 GOB524291 GXX524291 HHT524291 HRP524291 IBL524291 ILH524291 IVD524291 JEZ524291 JOV524291 JYR524291 KIN524291 KSJ524291 LCF524291 LMB524291 LVX524291 MFT524291 MPP524291 MZL524291 NJH524291 NTD524291 OCZ524291 OMV524291 OWR524291 PGN524291 PQJ524291 QAF524291 QKB524291 QTX524291 RDT524291 RNP524291 RXL524291 SHH524291 SRD524291 TAZ524291 TKV524291 TUR524291 UEN524291 UOJ524291 UYF524291 VIB524291 VRX524291 WBT524291 WLP524291 WVL524291 E589827 IZ589827 SV589827 ACR589827 AMN589827 AWJ589827 BGF589827 BQB589827 BZX589827 CJT589827 CTP589827 DDL589827 DNH589827 DXD589827 EGZ589827 EQV589827 FAR589827 FKN589827 FUJ589827 GEF589827 GOB589827 GXX589827 HHT589827 HRP589827 IBL589827 ILH589827 IVD589827 JEZ589827 JOV589827 JYR589827 KIN589827 KSJ589827 LCF589827 LMB589827 LVX589827 MFT589827 MPP589827 MZL589827 NJH589827 NTD589827 OCZ589827 OMV589827 OWR589827 PGN589827 PQJ589827 QAF589827 QKB589827 QTX589827 RDT589827 RNP589827 RXL589827 SHH589827 SRD589827 TAZ589827 TKV589827 TUR589827 UEN589827 UOJ589827 UYF589827 VIB589827 VRX589827 WBT589827 WLP589827 WVL589827 E655363 IZ655363 SV655363 ACR655363 AMN655363 AWJ655363 BGF655363 BQB655363 BZX655363 CJT655363 CTP655363 DDL655363 DNH655363 DXD655363 EGZ655363 EQV655363 FAR655363 FKN655363 FUJ655363 GEF655363 GOB655363 GXX655363 HHT655363 HRP655363 IBL655363 ILH655363 IVD655363 JEZ655363 JOV655363 JYR655363 KIN655363 KSJ655363 LCF655363 LMB655363 LVX655363 MFT655363 MPP655363 MZL655363 NJH655363 NTD655363 OCZ655363 OMV655363 OWR655363 PGN655363 PQJ655363 QAF655363 QKB655363 QTX655363 RDT655363 RNP655363 RXL655363 SHH655363 SRD655363 TAZ655363 TKV655363 TUR655363 UEN655363 UOJ655363 UYF655363 VIB655363 VRX655363 WBT655363 WLP655363 WVL655363 E720899 IZ720899 SV720899 ACR720899 AMN720899 AWJ720899 BGF720899 BQB720899 BZX720899 CJT720899 CTP720899 DDL720899 DNH720899 DXD720899 EGZ720899 EQV720899 FAR720899 FKN720899 FUJ720899 GEF720899 GOB720899 GXX720899 HHT720899 HRP720899 IBL720899 ILH720899 IVD720899 JEZ720899 JOV720899 JYR720899 KIN720899 KSJ720899 LCF720899 LMB720899 LVX720899 MFT720899 MPP720899 MZL720899 NJH720899 NTD720899 OCZ720899 OMV720899 OWR720899 PGN720899 PQJ720899 QAF720899 QKB720899 QTX720899 RDT720899 RNP720899 RXL720899 SHH720899 SRD720899 TAZ720899 TKV720899 TUR720899 UEN720899 UOJ720899 UYF720899 VIB720899 VRX720899 WBT720899 WLP720899 WVL720899 E786435 IZ786435 SV786435 ACR786435 AMN786435 AWJ786435 BGF786435 BQB786435 BZX786435 CJT786435 CTP786435 DDL786435 DNH786435 DXD786435 EGZ786435 EQV786435 FAR786435 FKN786435 FUJ786435 GEF786435 GOB786435 GXX786435 HHT786435 HRP786435 IBL786435 ILH786435 IVD786435 JEZ786435 JOV786435 JYR786435 KIN786435 KSJ786435 LCF786435 LMB786435 LVX786435 MFT786435 MPP786435 MZL786435 NJH786435 NTD786435 OCZ786435 OMV786435 OWR786435 PGN786435 PQJ786435 QAF786435 QKB786435 QTX786435 RDT786435 RNP786435 RXL786435 SHH786435 SRD786435 TAZ786435 TKV786435 TUR786435 UEN786435 UOJ786435 UYF786435 VIB786435 VRX786435 WBT786435 WLP786435 WVL786435 E851971 IZ851971 SV851971 ACR851971 AMN851971 AWJ851971 BGF851971 BQB851971 BZX851971 CJT851971 CTP851971 DDL851971 DNH851971 DXD851971 EGZ851971 EQV851971 FAR851971 FKN851971 FUJ851971 GEF851971 GOB851971 GXX851971 HHT851971 HRP851971 IBL851971 ILH851971 IVD851971 JEZ851971 JOV851971 JYR851971 KIN851971 KSJ851971 LCF851971 LMB851971 LVX851971 MFT851971 MPP851971 MZL851971 NJH851971 NTD851971 OCZ851971 OMV851971 OWR851971 PGN851971 PQJ851971 QAF851971 QKB851971 QTX851971 RDT851971 RNP851971 RXL851971 SHH851971 SRD851971 TAZ851971 TKV851971 TUR851971 UEN851971 UOJ851971 UYF851971 VIB851971 VRX851971 WBT851971 WLP851971 WVL851971 E917507 IZ917507 SV917507 ACR917507 AMN917507 AWJ917507 BGF917507 BQB917507 BZX917507 CJT917507 CTP917507 DDL917507 DNH917507 DXD917507 EGZ917507 EQV917507 FAR917507 FKN917507 FUJ917507 GEF917507 GOB917507 GXX917507 HHT917507 HRP917507 IBL917507 ILH917507 IVD917507 JEZ917507 JOV917507 JYR917507 KIN917507 KSJ917507 LCF917507 LMB917507 LVX917507 MFT917507 MPP917507 MZL917507 NJH917507 NTD917507 OCZ917507 OMV917507 OWR917507 PGN917507 PQJ917507 QAF917507 QKB917507 QTX917507 RDT917507 RNP917507 RXL917507 SHH917507 SRD917507 TAZ917507 TKV917507 TUR917507 UEN917507 UOJ917507 UYF917507 VIB917507 VRX917507 WBT917507 WLP917507 WVL917507 E983043 IZ983043 SV983043 ACR983043 AMN983043 AWJ983043 BGF983043 BQB983043 BZX983043 CJT983043 CTP983043 DDL983043 DNH983043 DXD983043 EGZ983043 EQV983043 FAR983043 FKN983043 FUJ983043 GEF983043 GOB983043 GXX983043 HHT983043 HRP983043 IBL983043 ILH983043 IVD983043 JEZ983043 JOV983043 JYR983043 KIN983043 KSJ983043 LCF983043 LMB983043 LVX983043 MFT983043 MPP983043 MZL983043 NJH983043 NTD983043 OCZ983043 OMV983043 OWR983043 PGN983043 PQJ983043 QAF983043 QKB983043 QTX983043 RDT983043 RNP983043 RXL983043 SHH983043 SRD983043 TAZ983043 TKV983043 TUR983043 UEN983043 UOJ983043 UYF983043 VIB983043 VRX983043 WBT983043 WLP983043 WVL983043"/>
    <dataValidation type="whole" allowBlank="1" showErrorMessage="1" errorTitle="Error de datos" error="Debe ingresar un valor entre 1 y 12" sqref="G1:G3 JB1:JB3 SX1:SX3 ACT1:ACT3 AMP1:AMP3 AWL1:AWL3 BGH1:BGH3 BQD1:BQD3 BZZ1:BZZ3 CJV1:CJV3 CTR1:CTR3 DDN1:DDN3 DNJ1:DNJ3 DXF1:DXF3 EHB1:EHB3 EQX1:EQX3 FAT1:FAT3 FKP1:FKP3 FUL1:FUL3 GEH1:GEH3 GOD1:GOD3 GXZ1:GXZ3 HHV1:HHV3 HRR1:HRR3 IBN1:IBN3 ILJ1:ILJ3 IVF1:IVF3 JFB1:JFB3 JOX1:JOX3 JYT1:JYT3 KIP1:KIP3 KSL1:KSL3 LCH1:LCH3 LMD1:LMD3 LVZ1:LVZ3 MFV1:MFV3 MPR1:MPR3 MZN1:MZN3 NJJ1:NJJ3 NTF1:NTF3 ODB1:ODB3 OMX1:OMX3 OWT1:OWT3 PGP1:PGP3 PQL1:PQL3 QAH1:QAH3 QKD1:QKD3 QTZ1:QTZ3 RDV1:RDV3 RNR1:RNR3 RXN1:RXN3 SHJ1:SHJ3 SRF1:SRF3 TBB1:TBB3 TKX1:TKX3 TUT1:TUT3 UEP1:UEP3 UOL1:UOL3 UYH1:UYH3 VID1:VID3 VRZ1:VRZ3 WBV1:WBV3 WLR1:WLR3 WVN1:WVN3 G65537:G65539 JB65537:JB65539 SX65537:SX65539 ACT65537:ACT65539 AMP65537:AMP65539 AWL65537:AWL65539 BGH65537:BGH65539 BQD65537:BQD65539 BZZ65537:BZZ65539 CJV65537:CJV65539 CTR65537:CTR65539 DDN65537:DDN65539 DNJ65537:DNJ65539 DXF65537:DXF65539 EHB65537:EHB65539 EQX65537:EQX65539 FAT65537:FAT65539 FKP65537:FKP65539 FUL65537:FUL65539 GEH65537:GEH65539 GOD65537:GOD65539 GXZ65537:GXZ65539 HHV65537:HHV65539 HRR65537:HRR65539 IBN65537:IBN65539 ILJ65537:ILJ65539 IVF65537:IVF65539 JFB65537:JFB65539 JOX65537:JOX65539 JYT65537:JYT65539 KIP65537:KIP65539 KSL65537:KSL65539 LCH65537:LCH65539 LMD65537:LMD65539 LVZ65537:LVZ65539 MFV65537:MFV65539 MPR65537:MPR65539 MZN65537:MZN65539 NJJ65537:NJJ65539 NTF65537:NTF65539 ODB65537:ODB65539 OMX65537:OMX65539 OWT65537:OWT65539 PGP65537:PGP65539 PQL65537:PQL65539 QAH65537:QAH65539 QKD65537:QKD65539 QTZ65537:QTZ65539 RDV65537:RDV65539 RNR65537:RNR65539 RXN65537:RXN65539 SHJ65537:SHJ65539 SRF65537:SRF65539 TBB65537:TBB65539 TKX65537:TKX65539 TUT65537:TUT65539 UEP65537:UEP65539 UOL65537:UOL65539 UYH65537:UYH65539 VID65537:VID65539 VRZ65537:VRZ65539 WBV65537:WBV65539 WLR65537:WLR65539 WVN65537:WVN65539 G131073:G131075 JB131073:JB131075 SX131073:SX131075 ACT131073:ACT131075 AMP131073:AMP131075 AWL131073:AWL131075 BGH131073:BGH131075 BQD131073:BQD131075 BZZ131073:BZZ131075 CJV131073:CJV131075 CTR131073:CTR131075 DDN131073:DDN131075 DNJ131073:DNJ131075 DXF131073:DXF131075 EHB131073:EHB131075 EQX131073:EQX131075 FAT131073:FAT131075 FKP131073:FKP131075 FUL131073:FUL131075 GEH131073:GEH131075 GOD131073:GOD131075 GXZ131073:GXZ131075 HHV131073:HHV131075 HRR131073:HRR131075 IBN131073:IBN131075 ILJ131073:ILJ131075 IVF131073:IVF131075 JFB131073:JFB131075 JOX131073:JOX131075 JYT131073:JYT131075 KIP131073:KIP131075 KSL131073:KSL131075 LCH131073:LCH131075 LMD131073:LMD131075 LVZ131073:LVZ131075 MFV131073:MFV131075 MPR131073:MPR131075 MZN131073:MZN131075 NJJ131073:NJJ131075 NTF131073:NTF131075 ODB131073:ODB131075 OMX131073:OMX131075 OWT131073:OWT131075 PGP131073:PGP131075 PQL131073:PQL131075 QAH131073:QAH131075 QKD131073:QKD131075 QTZ131073:QTZ131075 RDV131073:RDV131075 RNR131073:RNR131075 RXN131073:RXN131075 SHJ131073:SHJ131075 SRF131073:SRF131075 TBB131073:TBB131075 TKX131073:TKX131075 TUT131073:TUT131075 UEP131073:UEP131075 UOL131073:UOL131075 UYH131073:UYH131075 VID131073:VID131075 VRZ131073:VRZ131075 WBV131073:WBV131075 WLR131073:WLR131075 WVN131073:WVN131075 G196609:G196611 JB196609:JB196611 SX196609:SX196611 ACT196609:ACT196611 AMP196609:AMP196611 AWL196609:AWL196611 BGH196609:BGH196611 BQD196609:BQD196611 BZZ196609:BZZ196611 CJV196609:CJV196611 CTR196609:CTR196611 DDN196609:DDN196611 DNJ196609:DNJ196611 DXF196609:DXF196611 EHB196609:EHB196611 EQX196609:EQX196611 FAT196609:FAT196611 FKP196609:FKP196611 FUL196609:FUL196611 GEH196609:GEH196611 GOD196609:GOD196611 GXZ196609:GXZ196611 HHV196609:HHV196611 HRR196609:HRR196611 IBN196609:IBN196611 ILJ196609:ILJ196611 IVF196609:IVF196611 JFB196609:JFB196611 JOX196609:JOX196611 JYT196609:JYT196611 KIP196609:KIP196611 KSL196609:KSL196611 LCH196609:LCH196611 LMD196609:LMD196611 LVZ196609:LVZ196611 MFV196609:MFV196611 MPR196609:MPR196611 MZN196609:MZN196611 NJJ196609:NJJ196611 NTF196609:NTF196611 ODB196609:ODB196611 OMX196609:OMX196611 OWT196609:OWT196611 PGP196609:PGP196611 PQL196609:PQL196611 QAH196609:QAH196611 QKD196609:QKD196611 QTZ196609:QTZ196611 RDV196609:RDV196611 RNR196609:RNR196611 RXN196609:RXN196611 SHJ196609:SHJ196611 SRF196609:SRF196611 TBB196609:TBB196611 TKX196609:TKX196611 TUT196609:TUT196611 UEP196609:UEP196611 UOL196609:UOL196611 UYH196609:UYH196611 VID196609:VID196611 VRZ196609:VRZ196611 WBV196609:WBV196611 WLR196609:WLR196611 WVN196609:WVN196611 G262145:G262147 JB262145:JB262147 SX262145:SX262147 ACT262145:ACT262147 AMP262145:AMP262147 AWL262145:AWL262147 BGH262145:BGH262147 BQD262145:BQD262147 BZZ262145:BZZ262147 CJV262145:CJV262147 CTR262145:CTR262147 DDN262145:DDN262147 DNJ262145:DNJ262147 DXF262145:DXF262147 EHB262145:EHB262147 EQX262145:EQX262147 FAT262145:FAT262147 FKP262145:FKP262147 FUL262145:FUL262147 GEH262145:GEH262147 GOD262145:GOD262147 GXZ262145:GXZ262147 HHV262145:HHV262147 HRR262145:HRR262147 IBN262145:IBN262147 ILJ262145:ILJ262147 IVF262145:IVF262147 JFB262145:JFB262147 JOX262145:JOX262147 JYT262145:JYT262147 KIP262145:KIP262147 KSL262145:KSL262147 LCH262145:LCH262147 LMD262145:LMD262147 LVZ262145:LVZ262147 MFV262145:MFV262147 MPR262145:MPR262147 MZN262145:MZN262147 NJJ262145:NJJ262147 NTF262145:NTF262147 ODB262145:ODB262147 OMX262145:OMX262147 OWT262145:OWT262147 PGP262145:PGP262147 PQL262145:PQL262147 QAH262145:QAH262147 QKD262145:QKD262147 QTZ262145:QTZ262147 RDV262145:RDV262147 RNR262145:RNR262147 RXN262145:RXN262147 SHJ262145:SHJ262147 SRF262145:SRF262147 TBB262145:TBB262147 TKX262145:TKX262147 TUT262145:TUT262147 UEP262145:UEP262147 UOL262145:UOL262147 UYH262145:UYH262147 VID262145:VID262147 VRZ262145:VRZ262147 WBV262145:WBV262147 WLR262145:WLR262147 WVN262145:WVN262147 G327681:G327683 JB327681:JB327683 SX327681:SX327683 ACT327681:ACT327683 AMP327681:AMP327683 AWL327681:AWL327683 BGH327681:BGH327683 BQD327681:BQD327683 BZZ327681:BZZ327683 CJV327681:CJV327683 CTR327681:CTR327683 DDN327681:DDN327683 DNJ327681:DNJ327683 DXF327681:DXF327683 EHB327681:EHB327683 EQX327681:EQX327683 FAT327681:FAT327683 FKP327681:FKP327683 FUL327681:FUL327683 GEH327681:GEH327683 GOD327681:GOD327683 GXZ327681:GXZ327683 HHV327681:HHV327683 HRR327681:HRR327683 IBN327681:IBN327683 ILJ327681:ILJ327683 IVF327681:IVF327683 JFB327681:JFB327683 JOX327681:JOX327683 JYT327681:JYT327683 KIP327681:KIP327683 KSL327681:KSL327683 LCH327681:LCH327683 LMD327681:LMD327683 LVZ327681:LVZ327683 MFV327681:MFV327683 MPR327681:MPR327683 MZN327681:MZN327683 NJJ327681:NJJ327683 NTF327681:NTF327683 ODB327681:ODB327683 OMX327681:OMX327683 OWT327681:OWT327683 PGP327681:PGP327683 PQL327681:PQL327683 QAH327681:QAH327683 QKD327681:QKD327683 QTZ327681:QTZ327683 RDV327681:RDV327683 RNR327681:RNR327683 RXN327681:RXN327683 SHJ327681:SHJ327683 SRF327681:SRF327683 TBB327681:TBB327683 TKX327681:TKX327683 TUT327681:TUT327683 UEP327681:UEP327683 UOL327681:UOL327683 UYH327681:UYH327683 VID327681:VID327683 VRZ327681:VRZ327683 WBV327681:WBV327683 WLR327681:WLR327683 WVN327681:WVN327683 G393217:G393219 JB393217:JB393219 SX393217:SX393219 ACT393217:ACT393219 AMP393217:AMP393219 AWL393217:AWL393219 BGH393217:BGH393219 BQD393217:BQD393219 BZZ393217:BZZ393219 CJV393217:CJV393219 CTR393217:CTR393219 DDN393217:DDN393219 DNJ393217:DNJ393219 DXF393217:DXF393219 EHB393217:EHB393219 EQX393217:EQX393219 FAT393217:FAT393219 FKP393217:FKP393219 FUL393217:FUL393219 GEH393217:GEH393219 GOD393217:GOD393219 GXZ393217:GXZ393219 HHV393217:HHV393219 HRR393217:HRR393219 IBN393217:IBN393219 ILJ393217:ILJ393219 IVF393217:IVF393219 JFB393217:JFB393219 JOX393217:JOX393219 JYT393217:JYT393219 KIP393217:KIP393219 KSL393217:KSL393219 LCH393217:LCH393219 LMD393217:LMD393219 LVZ393217:LVZ393219 MFV393217:MFV393219 MPR393217:MPR393219 MZN393217:MZN393219 NJJ393217:NJJ393219 NTF393217:NTF393219 ODB393217:ODB393219 OMX393217:OMX393219 OWT393217:OWT393219 PGP393217:PGP393219 PQL393217:PQL393219 QAH393217:QAH393219 QKD393217:QKD393219 QTZ393217:QTZ393219 RDV393217:RDV393219 RNR393217:RNR393219 RXN393217:RXN393219 SHJ393217:SHJ393219 SRF393217:SRF393219 TBB393217:TBB393219 TKX393217:TKX393219 TUT393217:TUT393219 UEP393217:UEP393219 UOL393217:UOL393219 UYH393217:UYH393219 VID393217:VID393219 VRZ393217:VRZ393219 WBV393217:WBV393219 WLR393217:WLR393219 WVN393217:WVN393219 G458753:G458755 JB458753:JB458755 SX458753:SX458755 ACT458753:ACT458755 AMP458753:AMP458755 AWL458753:AWL458755 BGH458753:BGH458755 BQD458753:BQD458755 BZZ458753:BZZ458755 CJV458753:CJV458755 CTR458753:CTR458755 DDN458753:DDN458755 DNJ458753:DNJ458755 DXF458753:DXF458755 EHB458753:EHB458755 EQX458753:EQX458755 FAT458753:FAT458755 FKP458753:FKP458755 FUL458753:FUL458755 GEH458753:GEH458755 GOD458753:GOD458755 GXZ458753:GXZ458755 HHV458753:HHV458755 HRR458753:HRR458755 IBN458753:IBN458755 ILJ458753:ILJ458755 IVF458753:IVF458755 JFB458753:JFB458755 JOX458753:JOX458755 JYT458753:JYT458755 KIP458753:KIP458755 KSL458753:KSL458755 LCH458753:LCH458755 LMD458753:LMD458755 LVZ458753:LVZ458755 MFV458753:MFV458755 MPR458753:MPR458755 MZN458753:MZN458755 NJJ458753:NJJ458755 NTF458753:NTF458755 ODB458753:ODB458755 OMX458753:OMX458755 OWT458753:OWT458755 PGP458753:PGP458755 PQL458753:PQL458755 QAH458753:QAH458755 QKD458753:QKD458755 QTZ458753:QTZ458755 RDV458753:RDV458755 RNR458753:RNR458755 RXN458753:RXN458755 SHJ458753:SHJ458755 SRF458753:SRF458755 TBB458753:TBB458755 TKX458753:TKX458755 TUT458753:TUT458755 UEP458753:UEP458755 UOL458753:UOL458755 UYH458753:UYH458755 VID458753:VID458755 VRZ458753:VRZ458755 WBV458753:WBV458755 WLR458753:WLR458755 WVN458753:WVN458755 G524289:G524291 JB524289:JB524291 SX524289:SX524291 ACT524289:ACT524291 AMP524289:AMP524291 AWL524289:AWL524291 BGH524289:BGH524291 BQD524289:BQD524291 BZZ524289:BZZ524291 CJV524289:CJV524291 CTR524289:CTR524291 DDN524289:DDN524291 DNJ524289:DNJ524291 DXF524289:DXF524291 EHB524289:EHB524291 EQX524289:EQX524291 FAT524289:FAT524291 FKP524289:FKP524291 FUL524289:FUL524291 GEH524289:GEH524291 GOD524289:GOD524291 GXZ524289:GXZ524291 HHV524289:HHV524291 HRR524289:HRR524291 IBN524289:IBN524291 ILJ524289:ILJ524291 IVF524289:IVF524291 JFB524289:JFB524291 JOX524289:JOX524291 JYT524289:JYT524291 KIP524289:KIP524291 KSL524289:KSL524291 LCH524289:LCH524291 LMD524289:LMD524291 LVZ524289:LVZ524291 MFV524289:MFV524291 MPR524289:MPR524291 MZN524289:MZN524291 NJJ524289:NJJ524291 NTF524289:NTF524291 ODB524289:ODB524291 OMX524289:OMX524291 OWT524289:OWT524291 PGP524289:PGP524291 PQL524289:PQL524291 QAH524289:QAH524291 QKD524289:QKD524291 QTZ524289:QTZ524291 RDV524289:RDV524291 RNR524289:RNR524291 RXN524289:RXN524291 SHJ524289:SHJ524291 SRF524289:SRF524291 TBB524289:TBB524291 TKX524289:TKX524291 TUT524289:TUT524291 UEP524289:UEP524291 UOL524289:UOL524291 UYH524289:UYH524291 VID524289:VID524291 VRZ524289:VRZ524291 WBV524289:WBV524291 WLR524289:WLR524291 WVN524289:WVN524291 G589825:G589827 JB589825:JB589827 SX589825:SX589827 ACT589825:ACT589827 AMP589825:AMP589827 AWL589825:AWL589827 BGH589825:BGH589827 BQD589825:BQD589827 BZZ589825:BZZ589827 CJV589825:CJV589827 CTR589825:CTR589827 DDN589825:DDN589827 DNJ589825:DNJ589827 DXF589825:DXF589827 EHB589825:EHB589827 EQX589825:EQX589827 FAT589825:FAT589827 FKP589825:FKP589827 FUL589825:FUL589827 GEH589825:GEH589827 GOD589825:GOD589827 GXZ589825:GXZ589827 HHV589825:HHV589827 HRR589825:HRR589827 IBN589825:IBN589827 ILJ589825:ILJ589827 IVF589825:IVF589827 JFB589825:JFB589827 JOX589825:JOX589827 JYT589825:JYT589827 KIP589825:KIP589827 KSL589825:KSL589827 LCH589825:LCH589827 LMD589825:LMD589827 LVZ589825:LVZ589827 MFV589825:MFV589827 MPR589825:MPR589827 MZN589825:MZN589827 NJJ589825:NJJ589827 NTF589825:NTF589827 ODB589825:ODB589827 OMX589825:OMX589827 OWT589825:OWT589827 PGP589825:PGP589827 PQL589825:PQL589827 QAH589825:QAH589827 QKD589825:QKD589827 QTZ589825:QTZ589827 RDV589825:RDV589827 RNR589825:RNR589827 RXN589825:RXN589827 SHJ589825:SHJ589827 SRF589825:SRF589827 TBB589825:TBB589827 TKX589825:TKX589827 TUT589825:TUT589827 UEP589825:UEP589827 UOL589825:UOL589827 UYH589825:UYH589827 VID589825:VID589827 VRZ589825:VRZ589827 WBV589825:WBV589827 WLR589825:WLR589827 WVN589825:WVN589827 G655361:G655363 JB655361:JB655363 SX655361:SX655363 ACT655361:ACT655363 AMP655361:AMP655363 AWL655361:AWL655363 BGH655361:BGH655363 BQD655361:BQD655363 BZZ655361:BZZ655363 CJV655361:CJV655363 CTR655361:CTR655363 DDN655361:DDN655363 DNJ655361:DNJ655363 DXF655361:DXF655363 EHB655361:EHB655363 EQX655361:EQX655363 FAT655361:FAT655363 FKP655361:FKP655363 FUL655361:FUL655363 GEH655361:GEH655363 GOD655361:GOD655363 GXZ655361:GXZ655363 HHV655361:HHV655363 HRR655361:HRR655363 IBN655361:IBN655363 ILJ655361:ILJ655363 IVF655361:IVF655363 JFB655361:JFB655363 JOX655361:JOX655363 JYT655361:JYT655363 KIP655361:KIP655363 KSL655361:KSL655363 LCH655361:LCH655363 LMD655361:LMD655363 LVZ655361:LVZ655363 MFV655361:MFV655363 MPR655361:MPR655363 MZN655361:MZN655363 NJJ655361:NJJ655363 NTF655361:NTF655363 ODB655361:ODB655363 OMX655361:OMX655363 OWT655361:OWT655363 PGP655361:PGP655363 PQL655361:PQL655363 QAH655361:QAH655363 QKD655361:QKD655363 QTZ655361:QTZ655363 RDV655361:RDV655363 RNR655361:RNR655363 RXN655361:RXN655363 SHJ655361:SHJ655363 SRF655361:SRF655363 TBB655361:TBB655363 TKX655361:TKX655363 TUT655361:TUT655363 UEP655361:UEP655363 UOL655361:UOL655363 UYH655361:UYH655363 VID655361:VID655363 VRZ655361:VRZ655363 WBV655361:WBV655363 WLR655361:WLR655363 WVN655361:WVN655363 G720897:G720899 JB720897:JB720899 SX720897:SX720899 ACT720897:ACT720899 AMP720897:AMP720899 AWL720897:AWL720899 BGH720897:BGH720899 BQD720897:BQD720899 BZZ720897:BZZ720899 CJV720897:CJV720899 CTR720897:CTR720899 DDN720897:DDN720899 DNJ720897:DNJ720899 DXF720897:DXF720899 EHB720897:EHB720899 EQX720897:EQX720899 FAT720897:FAT720899 FKP720897:FKP720899 FUL720897:FUL720899 GEH720897:GEH720899 GOD720897:GOD720899 GXZ720897:GXZ720899 HHV720897:HHV720899 HRR720897:HRR720899 IBN720897:IBN720899 ILJ720897:ILJ720899 IVF720897:IVF720899 JFB720897:JFB720899 JOX720897:JOX720899 JYT720897:JYT720899 KIP720897:KIP720899 KSL720897:KSL720899 LCH720897:LCH720899 LMD720897:LMD720899 LVZ720897:LVZ720899 MFV720897:MFV720899 MPR720897:MPR720899 MZN720897:MZN720899 NJJ720897:NJJ720899 NTF720897:NTF720899 ODB720897:ODB720899 OMX720897:OMX720899 OWT720897:OWT720899 PGP720897:PGP720899 PQL720897:PQL720899 QAH720897:QAH720899 QKD720897:QKD720899 QTZ720897:QTZ720899 RDV720897:RDV720899 RNR720897:RNR720899 RXN720897:RXN720899 SHJ720897:SHJ720899 SRF720897:SRF720899 TBB720897:TBB720899 TKX720897:TKX720899 TUT720897:TUT720899 UEP720897:UEP720899 UOL720897:UOL720899 UYH720897:UYH720899 VID720897:VID720899 VRZ720897:VRZ720899 WBV720897:WBV720899 WLR720897:WLR720899 WVN720897:WVN720899 G786433:G786435 JB786433:JB786435 SX786433:SX786435 ACT786433:ACT786435 AMP786433:AMP786435 AWL786433:AWL786435 BGH786433:BGH786435 BQD786433:BQD786435 BZZ786433:BZZ786435 CJV786433:CJV786435 CTR786433:CTR786435 DDN786433:DDN786435 DNJ786433:DNJ786435 DXF786433:DXF786435 EHB786433:EHB786435 EQX786433:EQX786435 FAT786433:FAT786435 FKP786433:FKP786435 FUL786433:FUL786435 GEH786433:GEH786435 GOD786433:GOD786435 GXZ786433:GXZ786435 HHV786433:HHV786435 HRR786433:HRR786435 IBN786433:IBN786435 ILJ786433:ILJ786435 IVF786433:IVF786435 JFB786433:JFB786435 JOX786433:JOX786435 JYT786433:JYT786435 KIP786433:KIP786435 KSL786433:KSL786435 LCH786433:LCH786435 LMD786433:LMD786435 LVZ786433:LVZ786435 MFV786433:MFV786435 MPR786433:MPR786435 MZN786433:MZN786435 NJJ786433:NJJ786435 NTF786433:NTF786435 ODB786433:ODB786435 OMX786433:OMX786435 OWT786433:OWT786435 PGP786433:PGP786435 PQL786433:PQL786435 QAH786433:QAH786435 QKD786433:QKD786435 QTZ786433:QTZ786435 RDV786433:RDV786435 RNR786433:RNR786435 RXN786433:RXN786435 SHJ786433:SHJ786435 SRF786433:SRF786435 TBB786433:TBB786435 TKX786433:TKX786435 TUT786433:TUT786435 UEP786433:UEP786435 UOL786433:UOL786435 UYH786433:UYH786435 VID786433:VID786435 VRZ786433:VRZ786435 WBV786433:WBV786435 WLR786433:WLR786435 WVN786433:WVN786435 G851969:G851971 JB851969:JB851971 SX851969:SX851971 ACT851969:ACT851971 AMP851969:AMP851971 AWL851969:AWL851971 BGH851969:BGH851971 BQD851969:BQD851971 BZZ851969:BZZ851971 CJV851969:CJV851971 CTR851969:CTR851971 DDN851969:DDN851971 DNJ851969:DNJ851971 DXF851969:DXF851971 EHB851969:EHB851971 EQX851969:EQX851971 FAT851969:FAT851971 FKP851969:FKP851971 FUL851969:FUL851971 GEH851969:GEH851971 GOD851969:GOD851971 GXZ851969:GXZ851971 HHV851969:HHV851971 HRR851969:HRR851971 IBN851969:IBN851971 ILJ851969:ILJ851971 IVF851969:IVF851971 JFB851969:JFB851971 JOX851969:JOX851971 JYT851969:JYT851971 KIP851969:KIP851971 KSL851969:KSL851971 LCH851969:LCH851971 LMD851969:LMD851971 LVZ851969:LVZ851971 MFV851969:MFV851971 MPR851969:MPR851971 MZN851969:MZN851971 NJJ851969:NJJ851971 NTF851969:NTF851971 ODB851969:ODB851971 OMX851969:OMX851971 OWT851969:OWT851971 PGP851969:PGP851971 PQL851969:PQL851971 QAH851969:QAH851971 QKD851969:QKD851971 QTZ851969:QTZ851971 RDV851969:RDV851971 RNR851969:RNR851971 RXN851969:RXN851971 SHJ851969:SHJ851971 SRF851969:SRF851971 TBB851969:TBB851971 TKX851969:TKX851971 TUT851969:TUT851971 UEP851969:UEP851971 UOL851969:UOL851971 UYH851969:UYH851971 VID851969:VID851971 VRZ851969:VRZ851971 WBV851969:WBV851971 WLR851969:WLR851971 WVN851969:WVN851971 G917505:G917507 JB917505:JB917507 SX917505:SX917507 ACT917505:ACT917507 AMP917505:AMP917507 AWL917505:AWL917507 BGH917505:BGH917507 BQD917505:BQD917507 BZZ917505:BZZ917507 CJV917505:CJV917507 CTR917505:CTR917507 DDN917505:DDN917507 DNJ917505:DNJ917507 DXF917505:DXF917507 EHB917505:EHB917507 EQX917505:EQX917507 FAT917505:FAT917507 FKP917505:FKP917507 FUL917505:FUL917507 GEH917505:GEH917507 GOD917505:GOD917507 GXZ917505:GXZ917507 HHV917505:HHV917507 HRR917505:HRR917507 IBN917505:IBN917507 ILJ917505:ILJ917507 IVF917505:IVF917507 JFB917505:JFB917507 JOX917505:JOX917507 JYT917505:JYT917507 KIP917505:KIP917507 KSL917505:KSL917507 LCH917505:LCH917507 LMD917505:LMD917507 LVZ917505:LVZ917507 MFV917505:MFV917507 MPR917505:MPR917507 MZN917505:MZN917507 NJJ917505:NJJ917507 NTF917505:NTF917507 ODB917505:ODB917507 OMX917505:OMX917507 OWT917505:OWT917507 PGP917505:PGP917507 PQL917505:PQL917507 QAH917505:QAH917507 QKD917505:QKD917507 QTZ917505:QTZ917507 RDV917505:RDV917507 RNR917505:RNR917507 RXN917505:RXN917507 SHJ917505:SHJ917507 SRF917505:SRF917507 TBB917505:TBB917507 TKX917505:TKX917507 TUT917505:TUT917507 UEP917505:UEP917507 UOL917505:UOL917507 UYH917505:UYH917507 VID917505:VID917507 VRZ917505:VRZ917507 WBV917505:WBV917507 WLR917505:WLR917507 WVN917505:WVN917507 G983041:G983043 JB983041:JB983043 SX983041:SX983043 ACT983041:ACT983043 AMP983041:AMP983043 AWL983041:AWL983043 BGH983041:BGH983043 BQD983041:BQD983043 BZZ983041:BZZ983043 CJV983041:CJV983043 CTR983041:CTR983043 DDN983041:DDN983043 DNJ983041:DNJ983043 DXF983041:DXF983043 EHB983041:EHB983043 EQX983041:EQX983043 FAT983041:FAT983043 FKP983041:FKP983043 FUL983041:FUL983043 GEH983041:GEH983043 GOD983041:GOD983043 GXZ983041:GXZ983043 HHV983041:HHV983043 HRR983041:HRR983043 IBN983041:IBN983043 ILJ983041:ILJ983043 IVF983041:IVF983043 JFB983041:JFB983043 JOX983041:JOX983043 JYT983041:JYT983043 KIP983041:KIP983043 KSL983041:KSL983043 LCH983041:LCH983043 LMD983041:LMD983043 LVZ983041:LVZ983043 MFV983041:MFV983043 MPR983041:MPR983043 MZN983041:MZN983043 NJJ983041:NJJ983043 NTF983041:NTF983043 ODB983041:ODB983043 OMX983041:OMX983043 OWT983041:OWT983043 PGP983041:PGP983043 PQL983041:PQL983043 QAH983041:QAH983043 QKD983041:QKD983043 QTZ983041:QTZ983043 RDV983041:RDV983043 RNR983041:RNR983043 RXN983041:RXN983043 SHJ983041:SHJ983043 SRF983041:SRF983043 TBB983041:TBB983043 TKX983041:TKX983043 TUT983041:TUT983043 UEP983041:UEP983043 UOL983041:UOL983043 UYH983041:UYH983043 VID983041:VID983043 VRZ983041:VRZ983043 WBV983041:WBV983043 WLR983041:WLR983043 WVN983041:WVN983043">
      <formula1>1</formula1>
      <formula2>12</formula2>
    </dataValidation>
    <dataValidation type="custom" operator="greaterThan" showInputMessage="1" showErrorMessage="1" errorTitle="eee" sqref="D60:D61 IX60:IY61 ST60:SU61 ACP60:ACQ61 AML60:AMM61 AWH60:AWI61 BGD60:BGE61 BPZ60:BQA61 BZV60:BZW61 CJR60:CJS61 CTN60:CTO61 DDJ60:DDK61 DNF60:DNG61 DXB60:DXC61 EGX60:EGY61 EQT60:EQU61 FAP60:FAQ61 FKL60:FKM61 FUH60:FUI61 GED60:GEE61 GNZ60:GOA61 GXV60:GXW61 HHR60:HHS61 HRN60:HRO61 IBJ60:IBK61 ILF60:ILG61 IVB60:IVC61 JEX60:JEY61 JOT60:JOU61 JYP60:JYQ61 KIL60:KIM61 KSH60:KSI61 LCD60:LCE61 LLZ60:LMA61 LVV60:LVW61 MFR60:MFS61 MPN60:MPO61 MZJ60:MZK61 NJF60:NJG61 NTB60:NTC61 OCX60:OCY61 OMT60:OMU61 OWP60:OWQ61 PGL60:PGM61 PQH60:PQI61 QAD60:QAE61 QJZ60:QKA61 QTV60:QTW61 RDR60:RDS61 RNN60:RNO61 RXJ60:RXK61 SHF60:SHG61 SRB60:SRC61 TAX60:TAY61 TKT60:TKU61 TUP60:TUQ61 UEL60:UEM61 UOH60:UOI61 UYD60:UYE61 VHZ60:VIA61 VRV60:VRW61 WBR60:WBS61 WLN60:WLO61 WVJ60:WVK61 D65596:D65597 IX65596:IY65597 ST65596:SU65597 ACP65596:ACQ65597 AML65596:AMM65597 AWH65596:AWI65597 BGD65596:BGE65597 BPZ65596:BQA65597 BZV65596:BZW65597 CJR65596:CJS65597 CTN65596:CTO65597 DDJ65596:DDK65597 DNF65596:DNG65597 DXB65596:DXC65597 EGX65596:EGY65597 EQT65596:EQU65597 FAP65596:FAQ65597 FKL65596:FKM65597 FUH65596:FUI65597 GED65596:GEE65597 GNZ65596:GOA65597 GXV65596:GXW65597 HHR65596:HHS65597 HRN65596:HRO65597 IBJ65596:IBK65597 ILF65596:ILG65597 IVB65596:IVC65597 JEX65596:JEY65597 JOT65596:JOU65597 JYP65596:JYQ65597 KIL65596:KIM65597 KSH65596:KSI65597 LCD65596:LCE65597 LLZ65596:LMA65597 LVV65596:LVW65597 MFR65596:MFS65597 MPN65596:MPO65597 MZJ65596:MZK65597 NJF65596:NJG65597 NTB65596:NTC65597 OCX65596:OCY65597 OMT65596:OMU65597 OWP65596:OWQ65597 PGL65596:PGM65597 PQH65596:PQI65597 QAD65596:QAE65597 QJZ65596:QKA65597 QTV65596:QTW65597 RDR65596:RDS65597 RNN65596:RNO65597 RXJ65596:RXK65597 SHF65596:SHG65597 SRB65596:SRC65597 TAX65596:TAY65597 TKT65596:TKU65597 TUP65596:TUQ65597 UEL65596:UEM65597 UOH65596:UOI65597 UYD65596:UYE65597 VHZ65596:VIA65597 VRV65596:VRW65597 WBR65596:WBS65597 WLN65596:WLO65597 WVJ65596:WVK65597 D131132:D131133 IX131132:IY131133 ST131132:SU131133 ACP131132:ACQ131133 AML131132:AMM131133 AWH131132:AWI131133 BGD131132:BGE131133 BPZ131132:BQA131133 BZV131132:BZW131133 CJR131132:CJS131133 CTN131132:CTO131133 DDJ131132:DDK131133 DNF131132:DNG131133 DXB131132:DXC131133 EGX131132:EGY131133 EQT131132:EQU131133 FAP131132:FAQ131133 FKL131132:FKM131133 FUH131132:FUI131133 GED131132:GEE131133 GNZ131132:GOA131133 GXV131132:GXW131133 HHR131132:HHS131133 HRN131132:HRO131133 IBJ131132:IBK131133 ILF131132:ILG131133 IVB131132:IVC131133 JEX131132:JEY131133 JOT131132:JOU131133 JYP131132:JYQ131133 KIL131132:KIM131133 KSH131132:KSI131133 LCD131132:LCE131133 LLZ131132:LMA131133 LVV131132:LVW131133 MFR131132:MFS131133 MPN131132:MPO131133 MZJ131132:MZK131133 NJF131132:NJG131133 NTB131132:NTC131133 OCX131132:OCY131133 OMT131132:OMU131133 OWP131132:OWQ131133 PGL131132:PGM131133 PQH131132:PQI131133 QAD131132:QAE131133 QJZ131132:QKA131133 QTV131132:QTW131133 RDR131132:RDS131133 RNN131132:RNO131133 RXJ131132:RXK131133 SHF131132:SHG131133 SRB131132:SRC131133 TAX131132:TAY131133 TKT131132:TKU131133 TUP131132:TUQ131133 UEL131132:UEM131133 UOH131132:UOI131133 UYD131132:UYE131133 VHZ131132:VIA131133 VRV131132:VRW131133 WBR131132:WBS131133 WLN131132:WLO131133 WVJ131132:WVK131133 D196668:D196669 IX196668:IY196669 ST196668:SU196669 ACP196668:ACQ196669 AML196668:AMM196669 AWH196668:AWI196669 BGD196668:BGE196669 BPZ196668:BQA196669 BZV196668:BZW196669 CJR196668:CJS196669 CTN196668:CTO196669 DDJ196668:DDK196669 DNF196668:DNG196669 DXB196668:DXC196669 EGX196668:EGY196669 EQT196668:EQU196669 FAP196668:FAQ196669 FKL196668:FKM196669 FUH196668:FUI196669 GED196668:GEE196669 GNZ196668:GOA196669 GXV196668:GXW196669 HHR196668:HHS196669 HRN196668:HRO196669 IBJ196668:IBK196669 ILF196668:ILG196669 IVB196668:IVC196669 JEX196668:JEY196669 JOT196668:JOU196669 JYP196668:JYQ196669 KIL196668:KIM196669 KSH196668:KSI196669 LCD196668:LCE196669 LLZ196668:LMA196669 LVV196668:LVW196669 MFR196668:MFS196669 MPN196668:MPO196669 MZJ196668:MZK196669 NJF196668:NJG196669 NTB196668:NTC196669 OCX196668:OCY196669 OMT196668:OMU196669 OWP196668:OWQ196669 PGL196668:PGM196669 PQH196668:PQI196669 QAD196668:QAE196669 QJZ196668:QKA196669 QTV196668:QTW196669 RDR196668:RDS196669 RNN196668:RNO196669 RXJ196668:RXK196669 SHF196668:SHG196669 SRB196668:SRC196669 TAX196668:TAY196669 TKT196668:TKU196669 TUP196668:TUQ196669 UEL196668:UEM196669 UOH196668:UOI196669 UYD196668:UYE196669 VHZ196668:VIA196669 VRV196668:VRW196669 WBR196668:WBS196669 WLN196668:WLO196669 WVJ196668:WVK196669 D262204:D262205 IX262204:IY262205 ST262204:SU262205 ACP262204:ACQ262205 AML262204:AMM262205 AWH262204:AWI262205 BGD262204:BGE262205 BPZ262204:BQA262205 BZV262204:BZW262205 CJR262204:CJS262205 CTN262204:CTO262205 DDJ262204:DDK262205 DNF262204:DNG262205 DXB262204:DXC262205 EGX262204:EGY262205 EQT262204:EQU262205 FAP262204:FAQ262205 FKL262204:FKM262205 FUH262204:FUI262205 GED262204:GEE262205 GNZ262204:GOA262205 GXV262204:GXW262205 HHR262204:HHS262205 HRN262204:HRO262205 IBJ262204:IBK262205 ILF262204:ILG262205 IVB262204:IVC262205 JEX262204:JEY262205 JOT262204:JOU262205 JYP262204:JYQ262205 KIL262204:KIM262205 KSH262204:KSI262205 LCD262204:LCE262205 LLZ262204:LMA262205 LVV262204:LVW262205 MFR262204:MFS262205 MPN262204:MPO262205 MZJ262204:MZK262205 NJF262204:NJG262205 NTB262204:NTC262205 OCX262204:OCY262205 OMT262204:OMU262205 OWP262204:OWQ262205 PGL262204:PGM262205 PQH262204:PQI262205 QAD262204:QAE262205 QJZ262204:QKA262205 QTV262204:QTW262205 RDR262204:RDS262205 RNN262204:RNO262205 RXJ262204:RXK262205 SHF262204:SHG262205 SRB262204:SRC262205 TAX262204:TAY262205 TKT262204:TKU262205 TUP262204:TUQ262205 UEL262204:UEM262205 UOH262204:UOI262205 UYD262204:UYE262205 VHZ262204:VIA262205 VRV262204:VRW262205 WBR262204:WBS262205 WLN262204:WLO262205 WVJ262204:WVK262205 D327740:D327741 IX327740:IY327741 ST327740:SU327741 ACP327740:ACQ327741 AML327740:AMM327741 AWH327740:AWI327741 BGD327740:BGE327741 BPZ327740:BQA327741 BZV327740:BZW327741 CJR327740:CJS327741 CTN327740:CTO327741 DDJ327740:DDK327741 DNF327740:DNG327741 DXB327740:DXC327741 EGX327740:EGY327741 EQT327740:EQU327741 FAP327740:FAQ327741 FKL327740:FKM327741 FUH327740:FUI327741 GED327740:GEE327741 GNZ327740:GOA327741 GXV327740:GXW327741 HHR327740:HHS327741 HRN327740:HRO327741 IBJ327740:IBK327741 ILF327740:ILG327741 IVB327740:IVC327741 JEX327740:JEY327741 JOT327740:JOU327741 JYP327740:JYQ327741 KIL327740:KIM327741 KSH327740:KSI327741 LCD327740:LCE327741 LLZ327740:LMA327741 LVV327740:LVW327741 MFR327740:MFS327741 MPN327740:MPO327741 MZJ327740:MZK327741 NJF327740:NJG327741 NTB327740:NTC327741 OCX327740:OCY327741 OMT327740:OMU327741 OWP327740:OWQ327741 PGL327740:PGM327741 PQH327740:PQI327741 QAD327740:QAE327741 QJZ327740:QKA327741 QTV327740:QTW327741 RDR327740:RDS327741 RNN327740:RNO327741 RXJ327740:RXK327741 SHF327740:SHG327741 SRB327740:SRC327741 TAX327740:TAY327741 TKT327740:TKU327741 TUP327740:TUQ327741 UEL327740:UEM327741 UOH327740:UOI327741 UYD327740:UYE327741 VHZ327740:VIA327741 VRV327740:VRW327741 WBR327740:WBS327741 WLN327740:WLO327741 WVJ327740:WVK327741 D393276:D393277 IX393276:IY393277 ST393276:SU393277 ACP393276:ACQ393277 AML393276:AMM393277 AWH393276:AWI393277 BGD393276:BGE393277 BPZ393276:BQA393277 BZV393276:BZW393277 CJR393276:CJS393277 CTN393276:CTO393277 DDJ393276:DDK393277 DNF393276:DNG393277 DXB393276:DXC393277 EGX393276:EGY393277 EQT393276:EQU393277 FAP393276:FAQ393277 FKL393276:FKM393277 FUH393276:FUI393277 GED393276:GEE393277 GNZ393276:GOA393277 GXV393276:GXW393277 HHR393276:HHS393277 HRN393276:HRO393277 IBJ393276:IBK393277 ILF393276:ILG393277 IVB393276:IVC393277 JEX393276:JEY393277 JOT393276:JOU393277 JYP393276:JYQ393277 KIL393276:KIM393277 KSH393276:KSI393277 LCD393276:LCE393277 LLZ393276:LMA393277 LVV393276:LVW393277 MFR393276:MFS393277 MPN393276:MPO393277 MZJ393276:MZK393277 NJF393276:NJG393277 NTB393276:NTC393277 OCX393276:OCY393277 OMT393276:OMU393277 OWP393276:OWQ393277 PGL393276:PGM393277 PQH393276:PQI393277 QAD393276:QAE393277 QJZ393276:QKA393277 QTV393276:QTW393277 RDR393276:RDS393277 RNN393276:RNO393277 RXJ393276:RXK393277 SHF393276:SHG393277 SRB393276:SRC393277 TAX393276:TAY393277 TKT393276:TKU393277 TUP393276:TUQ393277 UEL393276:UEM393277 UOH393276:UOI393277 UYD393276:UYE393277 VHZ393276:VIA393277 VRV393276:VRW393277 WBR393276:WBS393277 WLN393276:WLO393277 WVJ393276:WVK393277 D458812:D458813 IX458812:IY458813 ST458812:SU458813 ACP458812:ACQ458813 AML458812:AMM458813 AWH458812:AWI458813 BGD458812:BGE458813 BPZ458812:BQA458813 BZV458812:BZW458813 CJR458812:CJS458813 CTN458812:CTO458813 DDJ458812:DDK458813 DNF458812:DNG458813 DXB458812:DXC458813 EGX458812:EGY458813 EQT458812:EQU458813 FAP458812:FAQ458813 FKL458812:FKM458813 FUH458812:FUI458813 GED458812:GEE458813 GNZ458812:GOA458813 GXV458812:GXW458813 HHR458812:HHS458813 HRN458812:HRO458813 IBJ458812:IBK458813 ILF458812:ILG458813 IVB458812:IVC458813 JEX458812:JEY458813 JOT458812:JOU458813 JYP458812:JYQ458813 KIL458812:KIM458813 KSH458812:KSI458813 LCD458812:LCE458813 LLZ458812:LMA458813 LVV458812:LVW458813 MFR458812:MFS458813 MPN458812:MPO458813 MZJ458812:MZK458813 NJF458812:NJG458813 NTB458812:NTC458813 OCX458812:OCY458813 OMT458812:OMU458813 OWP458812:OWQ458813 PGL458812:PGM458813 PQH458812:PQI458813 QAD458812:QAE458813 QJZ458812:QKA458813 QTV458812:QTW458813 RDR458812:RDS458813 RNN458812:RNO458813 RXJ458812:RXK458813 SHF458812:SHG458813 SRB458812:SRC458813 TAX458812:TAY458813 TKT458812:TKU458813 TUP458812:TUQ458813 UEL458812:UEM458813 UOH458812:UOI458813 UYD458812:UYE458813 VHZ458812:VIA458813 VRV458812:VRW458813 WBR458812:WBS458813 WLN458812:WLO458813 WVJ458812:WVK458813 D524348:D524349 IX524348:IY524349 ST524348:SU524349 ACP524348:ACQ524349 AML524348:AMM524349 AWH524348:AWI524349 BGD524348:BGE524349 BPZ524348:BQA524349 BZV524348:BZW524349 CJR524348:CJS524349 CTN524348:CTO524349 DDJ524348:DDK524349 DNF524348:DNG524349 DXB524348:DXC524349 EGX524348:EGY524349 EQT524348:EQU524349 FAP524348:FAQ524349 FKL524348:FKM524349 FUH524348:FUI524349 GED524348:GEE524349 GNZ524348:GOA524349 GXV524348:GXW524349 HHR524348:HHS524349 HRN524348:HRO524349 IBJ524348:IBK524349 ILF524348:ILG524349 IVB524348:IVC524349 JEX524348:JEY524349 JOT524348:JOU524349 JYP524348:JYQ524349 KIL524348:KIM524349 KSH524348:KSI524349 LCD524348:LCE524349 LLZ524348:LMA524349 LVV524348:LVW524349 MFR524348:MFS524349 MPN524348:MPO524349 MZJ524348:MZK524349 NJF524348:NJG524349 NTB524348:NTC524349 OCX524348:OCY524349 OMT524348:OMU524349 OWP524348:OWQ524349 PGL524348:PGM524349 PQH524348:PQI524349 QAD524348:QAE524349 QJZ524348:QKA524349 QTV524348:QTW524349 RDR524348:RDS524349 RNN524348:RNO524349 RXJ524348:RXK524349 SHF524348:SHG524349 SRB524348:SRC524349 TAX524348:TAY524349 TKT524348:TKU524349 TUP524348:TUQ524349 UEL524348:UEM524349 UOH524348:UOI524349 UYD524348:UYE524349 VHZ524348:VIA524349 VRV524348:VRW524349 WBR524348:WBS524349 WLN524348:WLO524349 WVJ524348:WVK524349 D589884:D589885 IX589884:IY589885 ST589884:SU589885 ACP589884:ACQ589885 AML589884:AMM589885 AWH589884:AWI589885 BGD589884:BGE589885 BPZ589884:BQA589885 BZV589884:BZW589885 CJR589884:CJS589885 CTN589884:CTO589885 DDJ589884:DDK589885 DNF589884:DNG589885 DXB589884:DXC589885 EGX589884:EGY589885 EQT589884:EQU589885 FAP589884:FAQ589885 FKL589884:FKM589885 FUH589884:FUI589885 GED589884:GEE589885 GNZ589884:GOA589885 GXV589884:GXW589885 HHR589884:HHS589885 HRN589884:HRO589885 IBJ589884:IBK589885 ILF589884:ILG589885 IVB589884:IVC589885 JEX589884:JEY589885 JOT589884:JOU589885 JYP589884:JYQ589885 KIL589884:KIM589885 KSH589884:KSI589885 LCD589884:LCE589885 LLZ589884:LMA589885 LVV589884:LVW589885 MFR589884:MFS589885 MPN589884:MPO589885 MZJ589884:MZK589885 NJF589884:NJG589885 NTB589884:NTC589885 OCX589884:OCY589885 OMT589884:OMU589885 OWP589884:OWQ589885 PGL589884:PGM589885 PQH589884:PQI589885 QAD589884:QAE589885 QJZ589884:QKA589885 QTV589884:QTW589885 RDR589884:RDS589885 RNN589884:RNO589885 RXJ589884:RXK589885 SHF589884:SHG589885 SRB589884:SRC589885 TAX589884:TAY589885 TKT589884:TKU589885 TUP589884:TUQ589885 UEL589884:UEM589885 UOH589884:UOI589885 UYD589884:UYE589885 VHZ589884:VIA589885 VRV589884:VRW589885 WBR589884:WBS589885 WLN589884:WLO589885 WVJ589884:WVK589885 D655420:D655421 IX655420:IY655421 ST655420:SU655421 ACP655420:ACQ655421 AML655420:AMM655421 AWH655420:AWI655421 BGD655420:BGE655421 BPZ655420:BQA655421 BZV655420:BZW655421 CJR655420:CJS655421 CTN655420:CTO655421 DDJ655420:DDK655421 DNF655420:DNG655421 DXB655420:DXC655421 EGX655420:EGY655421 EQT655420:EQU655421 FAP655420:FAQ655421 FKL655420:FKM655421 FUH655420:FUI655421 GED655420:GEE655421 GNZ655420:GOA655421 GXV655420:GXW655421 HHR655420:HHS655421 HRN655420:HRO655421 IBJ655420:IBK655421 ILF655420:ILG655421 IVB655420:IVC655421 JEX655420:JEY655421 JOT655420:JOU655421 JYP655420:JYQ655421 KIL655420:KIM655421 KSH655420:KSI655421 LCD655420:LCE655421 LLZ655420:LMA655421 LVV655420:LVW655421 MFR655420:MFS655421 MPN655420:MPO655421 MZJ655420:MZK655421 NJF655420:NJG655421 NTB655420:NTC655421 OCX655420:OCY655421 OMT655420:OMU655421 OWP655420:OWQ655421 PGL655420:PGM655421 PQH655420:PQI655421 QAD655420:QAE655421 QJZ655420:QKA655421 QTV655420:QTW655421 RDR655420:RDS655421 RNN655420:RNO655421 RXJ655420:RXK655421 SHF655420:SHG655421 SRB655420:SRC655421 TAX655420:TAY655421 TKT655420:TKU655421 TUP655420:TUQ655421 UEL655420:UEM655421 UOH655420:UOI655421 UYD655420:UYE655421 VHZ655420:VIA655421 VRV655420:VRW655421 WBR655420:WBS655421 WLN655420:WLO655421 WVJ655420:WVK655421 D720956:D720957 IX720956:IY720957 ST720956:SU720957 ACP720956:ACQ720957 AML720956:AMM720957 AWH720956:AWI720957 BGD720956:BGE720957 BPZ720956:BQA720957 BZV720956:BZW720957 CJR720956:CJS720957 CTN720956:CTO720957 DDJ720956:DDK720957 DNF720956:DNG720957 DXB720956:DXC720957 EGX720956:EGY720957 EQT720956:EQU720957 FAP720956:FAQ720957 FKL720956:FKM720957 FUH720956:FUI720957 GED720956:GEE720957 GNZ720956:GOA720957 GXV720956:GXW720957 HHR720956:HHS720957 HRN720956:HRO720957 IBJ720956:IBK720957 ILF720956:ILG720957 IVB720956:IVC720957 JEX720956:JEY720957 JOT720956:JOU720957 JYP720956:JYQ720957 KIL720956:KIM720957 KSH720956:KSI720957 LCD720956:LCE720957 LLZ720956:LMA720957 LVV720956:LVW720957 MFR720956:MFS720957 MPN720956:MPO720957 MZJ720956:MZK720957 NJF720956:NJG720957 NTB720956:NTC720957 OCX720956:OCY720957 OMT720956:OMU720957 OWP720956:OWQ720957 PGL720956:PGM720957 PQH720956:PQI720957 QAD720956:QAE720957 QJZ720956:QKA720957 QTV720956:QTW720957 RDR720956:RDS720957 RNN720956:RNO720957 RXJ720956:RXK720957 SHF720956:SHG720957 SRB720956:SRC720957 TAX720956:TAY720957 TKT720956:TKU720957 TUP720956:TUQ720957 UEL720956:UEM720957 UOH720956:UOI720957 UYD720956:UYE720957 VHZ720956:VIA720957 VRV720956:VRW720957 WBR720956:WBS720957 WLN720956:WLO720957 WVJ720956:WVK720957 D786492:D786493 IX786492:IY786493 ST786492:SU786493 ACP786492:ACQ786493 AML786492:AMM786493 AWH786492:AWI786493 BGD786492:BGE786493 BPZ786492:BQA786493 BZV786492:BZW786493 CJR786492:CJS786493 CTN786492:CTO786493 DDJ786492:DDK786493 DNF786492:DNG786493 DXB786492:DXC786493 EGX786492:EGY786493 EQT786492:EQU786493 FAP786492:FAQ786493 FKL786492:FKM786493 FUH786492:FUI786493 GED786492:GEE786493 GNZ786492:GOA786493 GXV786492:GXW786493 HHR786492:HHS786493 HRN786492:HRO786493 IBJ786492:IBK786493 ILF786492:ILG786493 IVB786492:IVC786493 JEX786492:JEY786493 JOT786492:JOU786493 JYP786492:JYQ786493 KIL786492:KIM786493 KSH786492:KSI786493 LCD786492:LCE786493 LLZ786492:LMA786493 LVV786492:LVW786493 MFR786492:MFS786493 MPN786492:MPO786493 MZJ786492:MZK786493 NJF786492:NJG786493 NTB786492:NTC786493 OCX786492:OCY786493 OMT786492:OMU786493 OWP786492:OWQ786493 PGL786492:PGM786493 PQH786492:PQI786493 QAD786492:QAE786493 QJZ786492:QKA786493 QTV786492:QTW786493 RDR786492:RDS786493 RNN786492:RNO786493 RXJ786492:RXK786493 SHF786492:SHG786493 SRB786492:SRC786493 TAX786492:TAY786493 TKT786492:TKU786493 TUP786492:TUQ786493 UEL786492:UEM786493 UOH786492:UOI786493 UYD786492:UYE786493 VHZ786492:VIA786493 VRV786492:VRW786493 WBR786492:WBS786493 WLN786492:WLO786493 WVJ786492:WVK786493 D852028:D852029 IX852028:IY852029 ST852028:SU852029 ACP852028:ACQ852029 AML852028:AMM852029 AWH852028:AWI852029 BGD852028:BGE852029 BPZ852028:BQA852029 BZV852028:BZW852029 CJR852028:CJS852029 CTN852028:CTO852029 DDJ852028:DDK852029 DNF852028:DNG852029 DXB852028:DXC852029 EGX852028:EGY852029 EQT852028:EQU852029 FAP852028:FAQ852029 FKL852028:FKM852029 FUH852028:FUI852029 GED852028:GEE852029 GNZ852028:GOA852029 GXV852028:GXW852029 HHR852028:HHS852029 HRN852028:HRO852029 IBJ852028:IBK852029 ILF852028:ILG852029 IVB852028:IVC852029 JEX852028:JEY852029 JOT852028:JOU852029 JYP852028:JYQ852029 KIL852028:KIM852029 KSH852028:KSI852029 LCD852028:LCE852029 LLZ852028:LMA852029 LVV852028:LVW852029 MFR852028:MFS852029 MPN852028:MPO852029 MZJ852028:MZK852029 NJF852028:NJG852029 NTB852028:NTC852029 OCX852028:OCY852029 OMT852028:OMU852029 OWP852028:OWQ852029 PGL852028:PGM852029 PQH852028:PQI852029 QAD852028:QAE852029 QJZ852028:QKA852029 QTV852028:QTW852029 RDR852028:RDS852029 RNN852028:RNO852029 RXJ852028:RXK852029 SHF852028:SHG852029 SRB852028:SRC852029 TAX852028:TAY852029 TKT852028:TKU852029 TUP852028:TUQ852029 UEL852028:UEM852029 UOH852028:UOI852029 UYD852028:UYE852029 VHZ852028:VIA852029 VRV852028:VRW852029 WBR852028:WBS852029 WLN852028:WLO852029 WVJ852028:WVK852029 D917564:D917565 IX917564:IY917565 ST917564:SU917565 ACP917564:ACQ917565 AML917564:AMM917565 AWH917564:AWI917565 BGD917564:BGE917565 BPZ917564:BQA917565 BZV917564:BZW917565 CJR917564:CJS917565 CTN917564:CTO917565 DDJ917564:DDK917565 DNF917564:DNG917565 DXB917564:DXC917565 EGX917564:EGY917565 EQT917564:EQU917565 FAP917564:FAQ917565 FKL917564:FKM917565 FUH917564:FUI917565 GED917564:GEE917565 GNZ917564:GOA917565 GXV917564:GXW917565 HHR917564:HHS917565 HRN917564:HRO917565 IBJ917564:IBK917565 ILF917564:ILG917565 IVB917564:IVC917565 JEX917564:JEY917565 JOT917564:JOU917565 JYP917564:JYQ917565 KIL917564:KIM917565 KSH917564:KSI917565 LCD917564:LCE917565 LLZ917564:LMA917565 LVV917564:LVW917565 MFR917564:MFS917565 MPN917564:MPO917565 MZJ917564:MZK917565 NJF917564:NJG917565 NTB917564:NTC917565 OCX917564:OCY917565 OMT917564:OMU917565 OWP917564:OWQ917565 PGL917564:PGM917565 PQH917564:PQI917565 QAD917564:QAE917565 QJZ917564:QKA917565 QTV917564:QTW917565 RDR917564:RDS917565 RNN917564:RNO917565 RXJ917564:RXK917565 SHF917564:SHG917565 SRB917564:SRC917565 TAX917564:TAY917565 TKT917564:TKU917565 TUP917564:TUQ917565 UEL917564:UEM917565 UOH917564:UOI917565 UYD917564:UYE917565 VHZ917564:VIA917565 VRV917564:VRW917565 WBR917564:WBS917565 WLN917564:WLO917565 WVJ917564:WVK917565 D983100:D983101 IX983100:IY983101 ST983100:SU983101 ACP983100:ACQ983101 AML983100:AMM983101 AWH983100:AWI983101 BGD983100:BGE983101 BPZ983100:BQA983101 BZV983100:BZW983101 CJR983100:CJS983101 CTN983100:CTO983101 DDJ983100:DDK983101 DNF983100:DNG983101 DXB983100:DXC983101 EGX983100:EGY983101 EQT983100:EQU983101 FAP983100:FAQ983101 FKL983100:FKM983101 FUH983100:FUI983101 GED983100:GEE983101 GNZ983100:GOA983101 GXV983100:GXW983101 HHR983100:HHS983101 HRN983100:HRO983101 IBJ983100:IBK983101 ILF983100:ILG983101 IVB983100:IVC983101 JEX983100:JEY983101 JOT983100:JOU983101 JYP983100:JYQ983101 KIL983100:KIM983101 KSH983100:KSI983101 LCD983100:LCE983101 LLZ983100:LMA983101 LVV983100:LVW983101 MFR983100:MFS983101 MPN983100:MPO983101 MZJ983100:MZK983101 NJF983100:NJG983101 NTB983100:NTC983101 OCX983100:OCY983101 OMT983100:OMU983101 OWP983100:OWQ983101 PGL983100:PGM983101 PQH983100:PQI983101 QAD983100:QAE983101 QJZ983100:QKA983101 QTV983100:QTW983101 RDR983100:RDS983101 RNN983100:RNO983101 RXJ983100:RXK983101 SHF983100:SHG983101 SRB983100:SRC983101 TAX983100:TAY983101 TKT983100:TKU983101 TUP983100:TUQ983101 UEL983100:UEM983101 UOH983100:UOI983101 UYD983100:UYE983101 VHZ983100:VIA983101 VRV983100:VRW983101 WBR983100:WBS983101 WLN983100:WLO983101 WVJ983100:WVK983101">
      <formula1>OR(D60=0, D60&lt;0)</formula1>
    </dataValidation>
    <dataValidation type="custom" operator="greaterThan" showInputMessage="1" showErrorMessage="1" errorTitle="eee" sqref="D56:D59 IX56:IY59 ST56:SU59 ACP56:ACQ59 AML56:AMM59 AWH56:AWI59 BGD56:BGE59 BPZ56:BQA59 BZV56:BZW59 CJR56:CJS59 CTN56:CTO59 DDJ56:DDK59 DNF56:DNG59 DXB56:DXC59 EGX56:EGY59 EQT56:EQU59 FAP56:FAQ59 FKL56:FKM59 FUH56:FUI59 GED56:GEE59 GNZ56:GOA59 GXV56:GXW59 HHR56:HHS59 HRN56:HRO59 IBJ56:IBK59 ILF56:ILG59 IVB56:IVC59 JEX56:JEY59 JOT56:JOU59 JYP56:JYQ59 KIL56:KIM59 KSH56:KSI59 LCD56:LCE59 LLZ56:LMA59 LVV56:LVW59 MFR56:MFS59 MPN56:MPO59 MZJ56:MZK59 NJF56:NJG59 NTB56:NTC59 OCX56:OCY59 OMT56:OMU59 OWP56:OWQ59 PGL56:PGM59 PQH56:PQI59 QAD56:QAE59 QJZ56:QKA59 QTV56:QTW59 RDR56:RDS59 RNN56:RNO59 RXJ56:RXK59 SHF56:SHG59 SRB56:SRC59 TAX56:TAY59 TKT56:TKU59 TUP56:TUQ59 UEL56:UEM59 UOH56:UOI59 UYD56:UYE59 VHZ56:VIA59 VRV56:VRW59 WBR56:WBS59 WLN56:WLO59 WVJ56:WVK59 D65592:D65595 IX65592:IY65595 ST65592:SU65595 ACP65592:ACQ65595 AML65592:AMM65595 AWH65592:AWI65595 BGD65592:BGE65595 BPZ65592:BQA65595 BZV65592:BZW65595 CJR65592:CJS65595 CTN65592:CTO65595 DDJ65592:DDK65595 DNF65592:DNG65595 DXB65592:DXC65595 EGX65592:EGY65595 EQT65592:EQU65595 FAP65592:FAQ65595 FKL65592:FKM65595 FUH65592:FUI65595 GED65592:GEE65595 GNZ65592:GOA65595 GXV65592:GXW65595 HHR65592:HHS65595 HRN65592:HRO65595 IBJ65592:IBK65595 ILF65592:ILG65595 IVB65592:IVC65595 JEX65592:JEY65595 JOT65592:JOU65595 JYP65592:JYQ65595 KIL65592:KIM65595 KSH65592:KSI65595 LCD65592:LCE65595 LLZ65592:LMA65595 LVV65592:LVW65595 MFR65592:MFS65595 MPN65592:MPO65595 MZJ65592:MZK65595 NJF65592:NJG65595 NTB65592:NTC65595 OCX65592:OCY65595 OMT65592:OMU65595 OWP65592:OWQ65595 PGL65592:PGM65595 PQH65592:PQI65595 QAD65592:QAE65595 QJZ65592:QKA65595 QTV65592:QTW65595 RDR65592:RDS65595 RNN65592:RNO65595 RXJ65592:RXK65595 SHF65592:SHG65595 SRB65592:SRC65595 TAX65592:TAY65595 TKT65592:TKU65595 TUP65592:TUQ65595 UEL65592:UEM65595 UOH65592:UOI65595 UYD65592:UYE65595 VHZ65592:VIA65595 VRV65592:VRW65595 WBR65592:WBS65595 WLN65592:WLO65595 WVJ65592:WVK65595 D131128:D131131 IX131128:IY131131 ST131128:SU131131 ACP131128:ACQ131131 AML131128:AMM131131 AWH131128:AWI131131 BGD131128:BGE131131 BPZ131128:BQA131131 BZV131128:BZW131131 CJR131128:CJS131131 CTN131128:CTO131131 DDJ131128:DDK131131 DNF131128:DNG131131 DXB131128:DXC131131 EGX131128:EGY131131 EQT131128:EQU131131 FAP131128:FAQ131131 FKL131128:FKM131131 FUH131128:FUI131131 GED131128:GEE131131 GNZ131128:GOA131131 GXV131128:GXW131131 HHR131128:HHS131131 HRN131128:HRO131131 IBJ131128:IBK131131 ILF131128:ILG131131 IVB131128:IVC131131 JEX131128:JEY131131 JOT131128:JOU131131 JYP131128:JYQ131131 KIL131128:KIM131131 KSH131128:KSI131131 LCD131128:LCE131131 LLZ131128:LMA131131 LVV131128:LVW131131 MFR131128:MFS131131 MPN131128:MPO131131 MZJ131128:MZK131131 NJF131128:NJG131131 NTB131128:NTC131131 OCX131128:OCY131131 OMT131128:OMU131131 OWP131128:OWQ131131 PGL131128:PGM131131 PQH131128:PQI131131 QAD131128:QAE131131 QJZ131128:QKA131131 QTV131128:QTW131131 RDR131128:RDS131131 RNN131128:RNO131131 RXJ131128:RXK131131 SHF131128:SHG131131 SRB131128:SRC131131 TAX131128:TAY131131 TKT131128:TKU131131 TUP131128:TUQ131131 UEL131128:UEM131131 UOH131128:UOI131131 UYD131128:UYE131131 VHZ131128:VIA131131 VRV131128:VRW131131 WBR131128:WBS131131 WLN131128:WLO131131 WVJ131128:WVK131131 D196664:D196667 IX196664:IY196667 ST196664:SU196667 ACP196664:ACQ196667 AML196664:AMM196667 AWH196664:AWI196667 BGD196664:BGE196667 BPZ196664:BQA196667 BZV196664:BZW196667 CJR196664:CJS196667 CTN196664:CTO196667 DDJ196664:DDK196667 DNF196664:DNG196667 DXB196664:DXC196667 EGX196664:EGY196667 EQT196664:EQU196667 FAP196664:FAQ196667 FKL196664:FKM196667 FUH196664:FUI196667 GED196664:GEE196667 GNZ196664:GOA196667 GXV196664:GXW196667 HHR196664:HHS196667 HRN196664:HRO196667 IBJ196664:IBK196667 ILF196664:ILG196667 IVB196664:IVC196667 JEX196664:JEY196667 JOT196664:JOU196667 JYP196664:JYQ196667 KIL196664:KIM196667 KSH196664:KSI196667 LCD196664:LCE196667 LLZ196664:LMA196667 LVV196664:LVW196667 MFR196664:MFS196667 MPN196664:MPO196667 MZJ196664:MZK196667 NJF196664:NJG196667 NTB196664:NTC196667 OCX196664:OCY196667 OMT196664:OMU196667 OWP196664:OWQ196667 PGL196664:PGM196667 PQH196664:PQI196667 QAD196664:QAE196667 QJZ196664:QKA196667 QTV196664:QTW196667 RDR196664:RDS196667 RNN196664:RNO196667 RXJ196664:RXK196667 SHF196664:SHG196667 SRB196664:SRC196667 TAX196664:TAY196667 TKT196664:TKU196667 TUP196664:TUQ196667 UEL196664:UEM196667 UOH196664:UOI196667 UYD196664:UYE196667 VHZ196664:VIA196667 VRV196664:VRW196667 WBR196664:WBS196667 WLN196664:WLO196667 WVJ196664:WVK196667 D262200:D262203 IX262200:IY262203 ST262200:SU262203 ACP262200:ACQ262203 AML262200:AMM262203 AWH262200:AWI262203 BGD262200:BGE262203 BPZ262200:BQA262203 BZV262200:BZW262203 CJR262200:CJS262203 CTN262200:CTO262203 DDJ262200:DDK262203 DNF262200:DNG262203 DXB262200:DXC262203 EGX262200:EGY262203 EQT262200:EQU262203 FAP262200:FAQ262203 FKL262200:FKM262203 FUH262200:FUI262203 GED262200:GEE262203 GNZ262200:GOA262203 GXV262200:GXW262203 HHR262200:HHS262203 HRN262200:HRO262203 IBJ262200:IBK262203 ILF262200:ILG262203 IVB262200:IVC262203 JEX262200:JEY262203 JOT262200:JOU262203 JYP262200:JYQ262203 KIL262200:KIM262203 KSH262200:KSI262203 LCD262200:LCE262203 LLZ262200:LMA262203 LVV262200:LVW262203 MFR262200:MFS262203 MPN262200:MPO262203 MZJ262200:MZK262203 NJF262200:NJG262203 NTB262200:NTC262203 OCX262200:OCY262203 OMT262200:OMU262203 OWP262200:OWQ262203 PGL262200:PGM262203 PQH262200:PQI262203 QAD262200:QAE262203 QJZ262200:QKA262203 QTV262200:QTW262203 RDR262200:RDS262203 RNN262200:RNO262203 RXJ262200:RXK262203 SHF262200:SHG262203 SRB262200:SRC262203 TAX262200:TAY262203 TKT262200:TKU262203 TUP262200:TUQ262203 UEL262200:UEM262203 UOH262200:UOI262203 UYD262200:UYE262203 VHZ262200:VIA262203 VRV262200:VRW262203 WBR262200:WBS262203 WLN262200:WLO262203 WVJ262200:WVK262203 D327736:D327739 IX327736:IY327739 ST327736:SU327739 ACP327736:ACQ327739 AML327736:AMM327739 AWH327736:AWI327739 BGD327736:BGE327739 BPZ327736:BQA327739 BZV327736:BZW327739 CJR327736:CJS327739 CTN327736:CTO327739 DDJ327736:DDK327739 DNF327736:DNG327739 DXB327736:DXC327739 EGX327736:EGY327739 EQT327736:EQU327739 FAP327736:FAQ327739 FKL327736:FKM327739 FUH327736:FUI327739 GED327736:GEE327739 GNZ327736:GOA327739 GXV327736:GXW327739 HHR327736:HHS327739 HRN327736:HRO327739 IBJ327736:IBK327739 ILF327736:ILG327739 IVB327736:IVC327739 JEX327736:JEY327739 JOT327736:JOU327739 JYP327736:JYQ327739 KIL327736:KIM327739 KSH327736:KSI327739 LCD327736:LCE327739 LLZ327736:LMA327739 LVV327736:LVW327739 MFR327736:MFS327739 MPN327736:MPO327739 MZJ327736:MZK327739 NJF327736:NJG327739 NTB327736:NTC327739 OCX327736:OCY327739 OMT327736:OMU327739 OWP327736:OWQ327739 PGL327736:PGM327739 PQH327736:PQI327739 QAD327736:QAE327739 QJZ327736:QKA327739 QTV327736:QTW327739 RDR327736:RDS327739 RNN327736:RNO327739 RXJ327736:RXK327739 SHF327736:SHG327739 SRB327736:SRC327739 TAX327736:TAY327739 TKT327736:TKU327739 TUP327736:TUQ327739 UEL327736:UEM327739 UOH327736:UOI327739 UYD327736:UYE327739 VHZ327736:VIA327739 VRV327736:VRW327739 WBR327736:WBS327739 WLN327736:WLO327739 WVJ327736:WVK327739 D393272:D393275 IX393272:IY393275 ST393272:SU393275 ACP393272:ACQ393275 AML393272:AMM393275 AWH393272:AWI393275 BGD393272:BGE393275 BPZ393272:BQA393275 BZV393272:BZW393275 CJR393272:CJS393275 CTN393272:CTO393275 DDJ393272:DDK393275 DNF393272:DNG393275 DXB393272:DXC393275 EGX393272:EGY393275 EQT393272:EQU393275 FAP393272:FAQ393275 FKL393272:FKM393275 FUH393272:FUI393275 GED393272:GEE393275 GNZ393272:GOA393275 GXV393272:GXW393275 HHR393272:HHS393275 HRN393272:HRO393275 IBJ393272:IBK393275 ILF393272:ILG393275 IVB393272:IVC393275 JEX393272:JEY393275 JOT393272:JOU393275 JYP393272:JYQ393275 KIL393272:KIM393275 KSH393272:KSI393275 LCD393272:LCE393275 LLZ393272:LMA393275 LVV393272:LVW393275 MFR393272:MFS393275 MPN393272:MPO393275 MZJ393272:MZK393275 NJF393272:NJG393275 NTB393272:NTC393275 OCX393272:OCY393275 OMT393272:OMU393275 OWP393272:OWQ393275 PGL393272:PGM393275 PQH393272:PQI393275 QAD393272:QAE393275 QJZ393272:QKA393275 QTV393272:QTW393275 RDR393272:RDS393275 RNN393272:RNO393275 RXJ393272:RXK393275 SHF393272:SHG393275 SRB393272:SRC393275 TAX393272:TAY393275 TKT393272:TKU393275 TUP393272:TUQ393275 UEL393272:UEM393275 UOH393272:UOI393275 UYD393272:UYE393275 VHZ393272:VIA393275 VRV393272:VRW393275 WBR393272:WBS393275 WLN393272:WLO393275 WVJ393272:WVK393275 D458808:D458811 IX458808:IY458811 ST458808:SU458811 ACP458808:ACQ458811 AML458808:AMM458811 AWH458808:AWI458811 BGD458808:BGE458811 BPZ458808:BQA458811 BZV458808:BZW458811 CJR458808:CJS458811 CTN458808:CTO458811 DDJ458808:DDK458811 DNF458808:DNG458811 DXB458808:DXC458811 EGX458808:EGY458811 EQT458808:EQU458811 FAP458808:FAQ458811 FKL458808:FKM458811 FUH458808:FUI458811 GED458808:GEE458811 GNZ458808:GOA458811 GXV458808:GXW458811 HHR458808:HHS458811 HRN458808:HRO458811 IBJ458808:IBK458811 ILF458808:ILG458811 IVB458808:IVC458811 JEX458808:JEY458811 JOT458808:JOU458811 JYP458808:JYQ458811 KIL458808:KIM458811 KSH458808:KSI458811 LCD458808:LCE458811 LLZ458808:LMA458811 LVV458808:LVW458811 MFR458808:MFS458811 MPN458808:MPO458811 MZJ458808:MZK458811 NJF458808:NJG458811 NTB458808:NTC458811 OCX458808:OCY458811 OMT458808:OMU458811 OWP458808:OWQ458811 PGL458808:PGM458811 PQH458808:PQI458811 QAD458808:QAE458811 QJZ458808:QKA458811 QTV458808:QTW458811 RDR458808:RDS458811 RNN458808:RNO458811 RXJ458808:RXK458811 SHF458808:SHG458811 SRB458808:SRC458811 TAX458808:TAY458811 TKT458808:TKU458811 TUP458808:TUQ458811 UEL458808:UEM458811 UOH458808:UOI458811 UYD458808:UYE458811 VHZ458808:VIA458811 VRV458808:VRW458811 WBR458808:WBS458811 WLN458808:WLO458811 WVJ458808:WVK458811 D524344:D524347 IX524344:IY524347 ST524344:SU524347 ACP524344:ACQ524347 AML524344:AMM524347 AWH524344:AWI524347 BGD524344:BGE524347 BPZ524344:BQA524347 BZV524344:BZW524347 CJR524344:CJS524347 CTN524344:CTO524347 DDJ524344:DDK524347 DNF524344:DNG524347 DXB524344:DXC524347 EGX524344:EGY524347 EQT524344:EQU524347 FAP524344:FAQ524347 FKL524344:FKM524347 FUH524344:FUI524347 GED524344:GEE524347 GNZ524344:GOA524347 GXV524344:GXW524347 HHR524344:HHS524347 HRN524344:HRO524347 IBJ524344:IBK524347 ILF524344:ILG524347 IVB524344:IVC524347 JEX524344:JEY524347 JOT524344:JOU524347 JYP524344:JYQ524347 KIL524344:KIM524347 KSH524344:KSI524347 LCD524344:LCE524347 LLZ524344:LMA524347 LVV524344:LVW524347 MFR524344:MFS524347 MPN524344:MPO524347 MZJ524344:MZK524347 NJF524344:NJG524347 NTB524344:NTC524347 OCX524344:OCY524347 OMT524344:OMU524347 OWP524344:OWQ524347 PGL524344:PGM524347 PQH524344:PQI524347 QAD524344:QAE524347 QJZ524344:QKA524347 QTV524344:QTW524347 RDR524344:RDS524347 RNN524344:RNO524347 RXJ524344:RXK524347 SHF524344:SHG524347 SRB524344:SRC524347 TAX524344:TAY524347 TKT524344:TKU524347 TUP524344:TUQ524347 UEL524344:UEM524347 UOH524344:UOI524347 UYD524344:UYE524347 VHZ524344:VIA524347 VRV524344:VRW524347 WBR524344:WBS524347 WLN524344:WLO524347 WVJ524344:WVK524347 D589880:D589883 IX589880:IY589883 ST589880:SU589883 ACP589880:ACQ589883 AML589880:AMM589883 AWH589880:AWI589883 BGD589880:BGE589883 BPZ589880:BQA589883 BZV589880:BZW589883 CJR589880:CJS589883 CTN589880:CTO589883 DDJ589880:DDK589883 DNF589880:DNG589883 DXB589880:DXC589883 EGX589880:EGY589883 EQT589880:EQU589883 FAP589880:FAQ589883 FKL589880:FKM589883 FUH589880:FUI589883 GED589880:GEE589883 GNZ589880:GOA589883 GXV589880:GXW589883 HHR589880:HHS589883 HRN589880:HRO589883 IBJ589880:IBK589883 ILF589880:ILG589883 IVB589880:IVC589883 JEX589880:JEY589883 JOT589880:JOU589883 JYP589880:JYQ589883 KIL589880:KIM589883 KSH589880:KSI589883 LCD589880:LCE589883 LLZ589880:LMA589883 LVV589880:LVW589883 MFR589880:MFS589883 MPN589880:MPO589883 MZJ589880:MZK589883 NJF589880:NJG589883 NTB589880:NTC589883 OCX589880:OCY589883 OMT589880:OMU589883 OWP589880:OWQ589883 PGL589880:PGM589883 PQH589880:PQI589883 QAD589880:QAE589883 QJZ589880:QKA589883 QTV589880:QTW589883 RDR589880:RDS589883 RNN589880:RNO589883 RXJ589880:RXK589883 SHF589880:SHG589883 SRB589880:SRC589883 TAX589880:TAY589883 TKT589880:TKU589883 TUP589880:TUQ589883 UEL589880:UEM589883 UOH589880:UOI589883 UYD589880:UYE589883 VHZ589880:VIA589883 VRV589880:VRW589883 WBR589880:WBS589883 WLN589880:WLO589883 WVJ589880:WVK589883 D655416:D655419 IX655416:IY655419 ST655416:SU655419 ACP655416:ACQ655419 AML655416:AMM655419 AWH655416:AWI655419 BGD655416:BGE655419 BPZ655416:BQA655419 BZV655416:BZW655419 CJR655416:CJS655419 CTN655416:CTO655419 DDJ655416:DDK655419 DNF655416:DNG655419 DXB655416:DXC655419 EGX655416:EGY655419 EQT655416:EQU655419 FAP655416:FAQ655419 FKL655416:FKM655419 FUH655416:FUI655419 GED655416:GEE655419 GNZ655416:GOA655419 GXV655416:GXW655419 HHR655416:HHS655419 HRN655416:HRO655419 IBJ655416:IBK655419 ILF655416:ILG655419 IVB655416:IVC655419 JEX655416:JEY655419 JOT655416:JOU655419 JYP655416:JYQ655419 KIL655416:KIM655419 KSH655416:KSI655419 LCD655416:LCE655419 LLZ655416:LMA655419 LVV655416:LVW655419 MFR655416:MFS655419 MPN655416:MPO655419 MZJ655416:MZK655419 NJF655416:NJG655419 NTB655416:NTC655419 OCX655416:OCY655419 OMT655416:OMU655419 OWP655416:OWQ655419 PGL655416:PGM655419 PQH655416:PQI655419 QAD655416:QAE655419 QJZ655416:QKA655419 QTV655416:QTW655419 RDR655416:RDS655419 RNN655416:RNO655419 RXJ655416:RXK655419 SHF655416:SHG655419 SRB655416:SRC655419 TAX655416:TAY655419 TKT655416:TKU655419 TUP655416:TUQ655419 UEL655416:UEM655419 UOH655416:UOI655419 UYD655416:UYE655419 VHZ655416:VIA655419 VRV655416:VRW655419 WBR655416:WBS655419 WLN655416:WLO655419 WVJ655416:WVK655419 D720952:D720955 IX720952:IY720955 ST720952:SU720955 ACP720952:ACQ720955 AML720952:AMM720955 AWH720952:AWI720955 BGD720952:BGE720955 BPZ720952:BQA720955 BZV720952:BZW720955 CJR720952:CJS720955 CTN720952:CTO720955 DDJ720952:DDK720955 DNF720952:DNG720955 DXB720952:DXC720955 EGX720952:EGY720955 EQT720952:EQU720955 FAP720952:FAQ720955 FKL720952:FKM720955 FUH720952:FUI720955 GED720952:GEE720955 GNZ720952:GOA720955 GXV720952:GXW720955 HHR720952:HHS720955 HRN720952:HRO720955 IBJ720952:IBK720955 ILF720952:ILG720955 IVB720952:IVC720955 JEX720952:JEY720955 JOT720952:JOU720955 JYP720952:JYQ720955 KIL720952:KIM720955 KSH720952:KSI720955 LCD720952:LCE720955 LLZ720952:LMA720955 LVV720952:LVW720955 MFR720952:MFS720955 MPN720952:MPO720955 MZJ720952:MZK720955 NJF720952:NJG720955 NTB720952:NTC720955 OCX720952:OCY720955 OMT720952:OMU720955 OWP720952:OWQ720955 PGL720952:PGM720955 PQH720952:PQI720955 QAD720952:QAE720955 QJZ720952:QKA720955 QTV720952:QTW720955 RDR720952:RDS720955 RNN720952:RNO720955 RXJ720952:RXK720955 SHF720952:SHG720955 SRB720952:SRC720955 TAX720952:TAY720955 TKT720952:TKU720955 TUP720952:TUQ720955 UEL720952:UEM720955 UOH720952:UOI720955 UYD720952:UYE720955 VHZ720952:VIA720955 VRV720952:VRW720955 WBR720952:WBS720955 WLN720952:WLO720955 WVJ720952:WVK720955 D786488:D786491 IX786488:IY786491 ST786488:SU786491 ACP786488:ACQ786491 AML786488:AMM786491 AWH786488:AWI786491 BGD786488:BGE786491 BPZ786488:BQA786491 BZV786488:BZW786491 CJR786488:CJS786491 CTN786488:CTO786491 DDJ786488:DDK786491 DNF786488:DNG786491 DXB786488:DXC786491 EGX786488:EGY786491 EQT786488:EQU786491 FAP786488:FAQ786491 FKL786488:FKM786491 FUH786488:FUI786491 GED786488:GEE786491 GNZ786488:GOA786491 GXV786488:GXW786491 HHR786488:HHS786491 HRN786488:HRO786491 IBJ786488:IBK786491 ILF786488:ILG786491 IVB786488:IVC786491 JEX786488:JEY786491 JOT786488:JOU786491 JYP786488:JYQ786491 KIL786488:KIM786491 KSH786488:KSI786491 LCD786488:LCE786491 LLZ786488:LMA786491 LVV786488:LVW786491 MFR786488:MFS786491 MPN786488:MPO786491 MZJ786488:MZK786491 NJF786488:NJG786491 NTB786488:NTC786491 OCX786488:OCY786491 OMT786488:OMU786491 OWP786488:OWQ786491 PGL786488:PGM786491 PQH786488:PQI786491 QAD786488:QAE786491 QJZ786488:QKA786491 QTV786488:QTW786491 RDR786488:RDS786491 RNN786488:RNO786491 RXJ786488:RXK786491 SHF786488:SHG786491 SRB786488:SRC786491 TAX786488:TAY786491 TKT786488:TKU786491 TUP786488:TUQ786491 UEL786488:UEM786491 UOH786488:UOI786491 UYD786488:UYE786491 VHZ786488:VIA786491 VRV786488:VRW786491 WBR786488:WBS786491 WLN786488:WLO786491 WVJ786488:WVK786491 D852024:D852027 IX852024:IY852027 ST852024:SU852027 ACP852024:ACQ852027 AML852024:AMM852027 AWH852024:AWI852027 BGD852024:BGE852027 BPZ852024:BQA852027 BZV852024:BZW852027 CJR852024:CJS852027 CTN852024:CTO852027 DDJ852024:DDK852027 DNF852024:DNG852027 DXB852024:DXC852027 EGX852024:EGY852027 EQT852024:EQU852027 FAP852024:FAQ852027 FKL852024:FKM852027 FUH852024:FUI852027 GED852024:GEE852027 GNZ852024:GOA852027 GXV852024:GXW852027 HHR852024:HHS852027 HRN852024:HRO852027 IBJ852024:IBK852027 ILF852024:ILG852027 IVB852024:IVC852027 JEX852024:JEY852027 JOT852024:JOU852027 JYP852024:JYQ852027 KIL852024:KIM852027 KSH852024:KSI852027 LCD852024:LCE852027 LLZ852024:LMA852027 LVV852024:LVW852027 MFR852024:MFS852027 MPN852024:MPO852027 MZJ852024:MZK852027 NJF852024:NJG852027 NTB852024:NTC852027 OCX852024:OCY852027 OMT852024:OMU852027 OWP852024:OWQ852027 PGL852024:PGM852027 PQH852024:PQI852027 QAD852024:QAE852027 QJZ852024:QKA852027 QTV852024:QTW852027 RDR852024:RDS852027 RNN852024:RNO852027 RXJ852024:RXK852027 SHF852024:SHG852027 SRB852024:SRC852027 TAX852024:TAY852027 TKT852024:TKU852027 TUP852024:TUQ852027 UEL852024:UEM852027 UOH852024:UOI852027 UYD852024:UYE852027 VHZ852024:VIA852027 VRV852024:VRW852027 WBR852024:WBS852027 WLN852024:WLO852027 WVJ852024:WVK852027 D917560:D917563 IX917560:IY917563 ST917560:SU917563 ACP917560:ACQ917563 AML917560:AMM917563 AWH917560:AWI917563 BGD917560:BGE917563 BPZ917560:BQA917563 BZV917560:BZW917563 CJR917560:CJS917563 CTN917560:CTO917563 DDJ917560:DDK917563 DNF917560:DNG917563 DXB917560:DXC917563 EGX917560:EGY917563 EQT917560:EQU917563 FAP917560:FAQ917563 FKL917560:FKM917563 FUH917560:FUI917563 GED917560:GEE917563 GNZ917560:GOA917563 GXV917560:GXW917563 HHR917560:HHS917563 HRN917560:HRO917563 IBJ917560:IBK917563 ILF917560:ILG917563 IVB917560:IVC917563 JEX917560:JEY917563 JOT917560:JOU917563 JYP917560:JYQ917563 KIL917560:KIM917563 KSH917560:KSI917563 LCD917560:LCE917563 LLZ917560:LMA917563 LVV917560:LVW917563 MFR917560:MFS917563 MPN917560:MPO917563 MZJ917560:MZK917563 NJF917560:NJG917563 NTB917560:NTC917563 OCX917560:OCY917563 OMT917560:OMU917563 OWP917560:OWQ917563 PGL917560:PGM917563 PQH917560:PQI917563 QAD917560:QAE917563 QJZ917560:QKA917563 QTV917560:QTW917563 RDR917560:RDS917563 RNN917560:RNO917563 RXJ917560:RXK917563 SHF917560:SHG917563 SRB917560:SRC917563 TAX917560:TAY917563 TKT917560:TKU917563 TUP917560:TUQ917563 UEL917560:UEM917563 UOH917560:UOI917563 UYD917560:UYE917563 VHZ917560:VIA917563 VRV917560:VRW917563 WBR917560:WBS917563 WLN917560:WLO917563 WVJ917560:WVK917563 D983096:D983099 IX983096:IY983099 ST983096:SU983099 ACP983096:ACQ983099 AML983096:AMM983099 AWH983096:AWI983099 BGD983096:BGE983099 BPZ983096:BQA983099 BZV983096:BZW983099 CJR983096:CJS983099 CTN983096:CTO983099 DDJ983096:DDK983099 DNF983096:DNG983099 DXB983096:DXC983099 EGX983096:EGY983099 EQT983096:EQU983099 FAP983096:FAQ983099 FKL983096:FKM983099 FUH983096:FUI983099 GED983096:GEE983099 GNZ983096:GOA983099 GXV983096:GXW983099 HHR983096:HHS983099 HRN983096:HRO983099 IBJ983096:IBK983099 ILF983096:ILG983099 IVB983096:IVC983099 JEX983096:JEY983099 JOT983096:JOU983099 JYP983096:JYQ983099 KIL983096:KIM983099 KSH983096:KSI983099 LCD983096:LCE983099 LLZ983096:LMA983099 LVV983096:LVW983099 MFR983096:MFS983099 MPN983096:MPO983099 MZJ983096:MZK983099 NJF983096:NJG983099 NTB983096:NTC983099 OCX983096:OCY983099 OMT983096:OMU983099 OWP983096:OWQ983099 PGL983096:PGM983099 PQH983096:PQI983099 QAD983096:QAE983099 QJZ983096:QKA983099 QTV983096:QTW983099 RDR983096:RDS983099 RNN983096:RNO983099 RXJ983096:RXK983099 SHF983096:SHG983099 SRB983096:SRC983099 TAX983096:TAY983099 TKT983096:TKU983099 TUP983096:TUQ983099 UEL983096:UEM983099 UOH983096:UOI983099 UYD983096:UYE983099 VHZ983096:VIA983099 VRV983096:VRW983099 WBR983096:WBS983099 WLN983096:WLO983099 WVJ983096:WVK983099">
      <formula1>OR(D56=0, D56&lt;50)</formula1>
    </dataValidation>
    <dataValidation type="custom" operator="greaterThan" showInputMessage="1" showErrorMessage="1" errorTitle="rdm2" error="No se admite ingresar a la vez RDM como ingresos y como egresos. Tampoco se admiten valores negattivos o positivos menores de 50" sqref="JC165 SY165 ACU165 AMQ165 AWM165 BGI165 BQE165 CAA165 CJW165 CTS165 DDO165 DNK165 DXG165 EHC165 EQY165 FAU165 FKQ165 FUM165 GEI165 GOE165 GYA165 HHW165 HRS165 IBO165 ILK165 IVG165 JFC165 JOY165 JYU165 KIQ165 KSM165 LCI165 LME165 LWA165 MFW165 MPS165 MZO165 NJK165 NTG165 ODC165 OMY165 OWU165 PGQ165 PQM165 QAI165 QKE165 QUA165 RDW165 RNS165 RXO165 SHK165 SRG165 TBC165 TKY165 TUU165 UEQ165 UOM165 UYI165 VIE165 VSA165 WBW165 WLS165 WVO165 JC65701 SY65701 ACU65701 AMQ65701 AWM65701 BGI65701 BQE65701 CAA65701 CJW65701 CTS65701 DDO65701 DNK65701 DXG65701 EHC65701 EQY65701 FAU65701 FKQ65701 FUM65701 GEI65701 GOE65701 GYA65701 HHW65701 HRS65701 IBO65701 ILK65701 IVG65701 JFC65701 JOY65701 JYU65701 KIQ65701 KSM65701 LCI65701 LME65701 LWA65701 MFW65701 MPS65701 MZO65701 NJK65701 NTG65701 ODC65701 OMY65701 OWU65701 PGQ65701 PQM65701 QAI65701 QKE65701 QUA65701 RDW65701 RNS65701 RXO65701 SHK65701 SRG65701 TBC65701 TKY65701 TUU65701 UEQ65701 UOM65701 UYI65701 VIE65701 VSA65701 WBW65701 WLS65701 WVO65701 JC131237 SY131237 ACU131237 AMQ131237 AWM131237 BGI131237 BQE131237 CAA131237 CJW131237 CTS131237 DDO131237 DNK131237 DXG131237 EHC131237 EQY131237 FAU131237 FKQ131237 FUM131237 GEI131237 GOE131237 GYA131237 HHW131237 HRS131237 IBO131237 ILK131237 IVG131237 JFC131237 JOY131237 JYU131237 KIQ131237 KSM131237 LCI131237 LME131237 LWA131237 MFW131237 MPS131237 MZO131237 NJK131237 NTG131237 ODC131237 OMY131237 OWU131237 PGQ131237 PQM131237 QAI131237 QKE131237 QUA131237 RDW131237 RNS131237 RXO131237 SHK131237 SRG131237 TBC131237 TKY131237 TUU131237 UEQ131237 UOM131237 UYI131237 VIE131237 VSA131237 WBW131237 WLS131237 WVO131237 JC196773 SY196773 ACU196773 AMQ196773 AWM196773 BGI196773 BQE196773 CAA196773 CJW196773 CTS196773 DDO196773 DNK196773 DXG196773 EHC196773 EQY196773 FAU196773 FKQ196773 FUM196773 GEI196773 GOE196773 GYA196773 HHW196773 HRS196773 IBO196773 ILK196773 IVG196773 JFC196773 JOY196773 JYU196773 KIQ196773 KSM196773 LCI196773 LME196773 LWA196773 MFW196773 MPS196773 MZO196773 NJK196773 NTG196773 ODC196773 OMY196773 OWU196773 PGQ196773 PQM196773 QAI196773 QKE196773 QUA196773 RDW196773 RNS196773 RXO196773 SHK196773 SRG196773 TBC196773 TKY196773 TUU196773 UEQ196773 UOM196773 UYI196773 VIE196773 VSA196773 WBW196773 WLS196773 WVO196773 JC262309 SY262309 ACU262309 AMQ262309 AWM262309 BGI262309 BQE262309 CAA262309 CJW262309 CTS262309 DDO262309 DNK262309 DXG262309 EHC262309 EQY262309 FAU262309 FKQ262309 FUM262309 GEI262309 GOE262309 GYA262309 HHW262309 HRS262309 IBO262309 ILK262309 IVG262309 JFC262309 JOY262309 JYU262309 KIQ262309 KSM262309 LCI262309 LME262309 LWA262309 MFW262309 MPS262309 MZO262309 NJK262309 NTG262309 ODC262309 OMY262309 OWU262309 PGQ262309 PQM262309 QAI262309 QKE262309 QUA262309 RDW262309 RNS262309 RXO262309 SHK262309 SRG262309 TBC262309 TKY262309 TUU262309 UEQ262309 UOM262309 UYI262309 VIE262309 VSA262309 WBW262309 WLS262309 WVO262309 JC327845 SY327845 ACU327845 AMQ327845 AWM327845 BGI327845 BQE327845 CAA327845 CJW327845 CTS327845 DDO327845 DNK327845 DXG327845 EHC327845 EQY327845 FAU327845 FKQ327845 FUM327845 GEI327845 GOE327845 GYA327845 HHW327845 HRS327845 IBO327845 ILK327845 IVG327845 JFC327845 JOY327845 JYU327845 KIQ327845 KSM327845 LCI327845 LME327845 LWA327845 MFW327845 MPS327845 MZO327845 NJK327845 NTG327845 ODC327845 OMY327845 OWU327845 PGQ327845 PQM327845 QAI327845 QKE327845 QUA327845 RDW327845 RNS327845 RXO327845 SHK327845 SRG327845 TBC327845 TKY327845 TUU327845 UEQ327845 UOM327845 UYI327845 VIE327845 VSA327845 WBW327845 WLS327845 WVO327845 JC393381 SY393381 ACU393381 AMQ393381 AWM393381 BGI393381 BQE393381 CAA393381 CJW393381 CTS393381 DDO393381 DNK393381 DXG393381 EHC393381 EQY393381 FAU393381 FKQ393381 FUM393381 GEI393381 GOE393381 GYA393381 HHW393381 HRS393381 IBO393381 ILK393381 IVG393381 JFC393381 JOY393381 JYU393381 KIQ393381 KSM393381 LCI393381 LME393381 LWA393381 MFW393381 MPS393381 MZO393381 NJK393381 NTG393381 ODC393381 OMY393381 OWU393381 PGQ393381 PQM393381 QAI393381 QKE393381 QUA393381 RDW393381 RNS393381 RXO393381 SHK393381 SRG393381 TBC393381 TKY393381 TUU393381 UEQ393381 UOM393381 UYI393381 VIE393381 VSA393381 WBW393381 WLS393381 WVO393381 JC458917 SY458917 ACU458917 AMQ458917 AWM458917 BGI458917 BQE458917 CAA458917 CJW458917 CTS458917 DDO458917 DNK458917 DXG458917 EHC458917 EQY458917 FAU458917 FKQ458917 FUM458917 GEI458917 GOE458917 GYA458917 HHW458917 HRS458917 IBO458917 ILK458917 IVG458917 JFC458917 JOY458917 JYU458917 KIQ458917 KSM458917 LCI458917 LME458917 LWA458917 MFW458917 MPS458917 MZO458917 NJK458917 NTG458917 ODC458917 OMY458917 OWU458917 PGQ458917 PQM458917 QAI458917 QKE458917 QUA458917 RDW458917 RNS458917 RXO458917 SHK458917 SRG458917 TBC458917 TKY458917 TUU458917 UEQ458917 UOM458917 UYI458917 VIE458917 VSA458917 WBW458917 WLS458917 WVO458917 JC524453 SY524453 ACU524453 AMQ524453 AWM524453 BGI524453 BQE524453 CAA524453 CJW524453 CTS524453 DDO524453 DNK524453 DXG524453 EHC524453 EQY524453 FAU524453 FKQ524453 FUM524453 GEI524453 GOE524453 GYA524453 HHW524453 HRS524453 IBO524453 ILK524453 IVG524453 JFC524453 JOY524453 JYU524453 KIQ524453 KSM524453 LCI524453 LME524453 LWA524453 MFW524453 MPS524453 MZO524453 NJK524453 NTG524453 ODC524453 OMY524453 OWU524453 PGQ524453 PQM524453 QAI524453 QKE524453 QUA524453 RDW524453 RNS524453 RXO524453 SHK524453 SRG524453 TBC524453 TKY524453 TUU524453 UEQ524453 UOM524453 UYI524453 VIE524453 VSA524453 WBW524453 WLS524453 WVO524453 JC589989 SY589989 ACU589989 AMQ589989 AWM589989 BGI589989 BQE589989 CAA589989 CJW589989 CTS589989 DDO589989 DNK589989 DXG589989 EHC589989 EQY589989 FAU589989 FKQ589989 FUM589989 GEI589989 GOE589989 GYA589989 HHW589989 HRS589989 IBO589989 ILK589989 IVG589989 JFC589989 JOY589989 JYU589989 KIQ589989 KSM589989 LCI589989 LME589989 LWA589989 MFW589989 MPS589989 MZO589989 NJK589989 NTG589989 ODC589989 OMY589989 OWU589989 PGQ589989 PQM589989 QAI589989 QKE589989 QUA589989 RDW589989 RNS589989 RXO589989 SHK589989 SRG589989 TBC589989 TKY589989 TUU589989 UEQ589989 UOM589989 UYI589989 VIE589989 VSA589989 WBW589989 WLS589989 WVO589989 JC655525 SY655525 ACU655525 AMQ655525 AWM655525 BGI655525 BQE655525 CAA655525 CJW655525 CTS655525 DDO655525 DNK655525 DXG655525 EHC655525 EQY655525 FAU655525 FKQ655525 FUM655525 GEI655525 GOE655525 GYA655525 HHW655525 HRS655525 IBO655525 ILK655525 IVG655525 JFC655525 JOY655525 JYU655525 KIQ655525 KSM655525 LCI655525 LME655525 LWA655525 MFW655525 MPS655525 MZO655525 NJK655525 NTG655525 ODC655525 OMY655525 OWU655525 PGQ655525 PQM655525 QAI655525 QKE655525 QUA655525 RDW655525 RNS655525 RXO655525 SHK655525 SRG655525 TBC655525 TKY655525 TUU655525 UEQ655525 UOM655525 UYI655525 VIE655525 VSA655525 WBW655525 WLS655525 WVO655525 JC721061 SY721061 ACU721061 AMQ721061 AWM721061 BGI721061 BQE721061 CAA721061 CJW721061 CTS721061 DDO721061 DNK721061 DXG721061 EHC721061 EQY721061 FAU721061 FKQ721061 FUM721061 GEI721061 GOE721061 GYA721061 HHW721061 HRS721061 IBO721061 ILK721061 IVG721061 JFC721061 JOY721061 JYU721061 KIQ721061 KSM721061 LCI721061 LME721061 LWA721061 MFW721061 MPS721061 MZO721061 NJK721061 NTG721061 ODC721061 OMY721061 OWU721061 PGQ721061 PQM721061 QAI721061 QKE721061 QUA721061 RDW721061 RNS721061 RXO721061 SHK721061 SRG721061 TBC721061 TKY721061 TUU721061 UEQ721061 UOM721061 UYI721061 VIE721061 VSA721061 WBW721061 WLS721061 WVO721061 JC786597 SY786597 ACU786597 AMQ786597 AWM786597 BGI786597 BQE786597 CAA786597 CJW786597 CTS786597 DDO786597 DNK786597 DXG786597 EHC786597 EQY786597 FAU786597 FKQ786597 FUM786597 GEI786597 GOE786597 GYA786597 HHW786597 HRS786597 IBO786597 ILK786597 IVG786597 JFC786597 JOY786597 JYU786597 KIQ786597 KSM786597 LCI786597 LME786597 LWA786597 MFW786597 MPS786597 MZO786597 NJK786597 NTG786597 ODC786597 OMY786597 OWU786597 PGQ786597 PQM786597 QAI786597 QKE786597 QUA786597 RDW786597 RNS786597 RXO786597 SHK786597 SRG786597 TBC786597 TKY786597 TUU786597 UEQ786597 UOM786597 UYI786597 VIE786597 VSA786597 WBW786597 WLS786597 WVO786597 JC852133 SY852133 ACU852133 AMQ852133 AWM852133 BGI852133 BQE852133 CAA852133 CJW852133 CTS852133 DDO852133 DNK852133 DXG852133 EHC852133 EQY852133 FAU852133 FKQ852133 FUM852133 GEI852133 GOE852133 GYA852133 HHW852133 HRS852133 IBO852133 ILK852133 IVG852133 JFC852133 JOY852133 JYU852133 KIQ852133 KSM852133 LCI852133 LME852133 LWA852133 MFW852133 MPS852133 MZO852133 NJK852133 NTG852133 ODC852133 OMY852133 OWU852133 PGQ852133 PQM852133 QAI852133 QKE852133 QUA852133 RDW852133 RNS852133 RXO852133 SHK852133 SRG852133 TBC852133 TKY852133 TUU852133 UEQ852133 UOM852133 UYI852133 VIE852133 VSA852133 WBW852133 WLS852133 WVO852133 JC917669 SY917669 ACU917669 AMQ917669 AWM917669 BGI917669 BQE917669 CAA917669 CJW917669 CTS917669 DDO917669 DNK917669 DXG917669 EHC917669 EQY917669 FAU917669 FKQ917669 FUM917669 GEI917669 GOE917669 GYA917669 HHW917669 HRS917669 IBO917669 ILK917669 IVG917669 JFC917669 JOY917669 JYU917669 KIQ917669 KSM917669 LCI917669 LME917669 LWA917669 MFW917669 MPS917669 MZO917669 NJK917669 NTG917669 ODC917669 OMY917669 OWU917669 PGQ917669 PQM917669 QAI917669 QKE917669 QUA917669 RDW917669 RNS917669 RXO917669 SHK917669 SRG917669 TBC917669 TKY917669 TUU917669 UEQ917669 UOM917669 UYI917669 VIE917669 VSA917669 WBW917669 WLS917669 WVO917669 JC983205 SY983205 ACU983205 AMQ983205 AWM983205 BGI983205 BQE983205 CAA983205 CJW983205 CTS983205 DDO983205 DNK983205 DXG983205 EHC983205 EQY983205 FAU983205 FKQ983205 FUM983205 GEI983205 GOE983205 GYA983205 HHW983205 HRS983205 IBO983205 ILK983205 IVG983205 JFC983205 JOY983205 JYU983205 KIQ983205 KSM983205 LCI983205 LME983205 LWA983205 MFW983205 MPS983205 MZO983205 NJK983205 NTG983205 ODC983205 OMY983205 OWU983205 PGQ983205 PQM983205 QAI983205 QKE983205 QUA983205 RDW983205 RNS983205 RXO983205 SHK983205 SRG983205 TBC983205 TKY983205 TUU983205 UEQ983205 UOM983205 UYI983205 VIE983205 VSA983205 WBW983205 WLS983205 WVO983205">
      <formula1>AND(OR(JC165=0, JC165&gt;50),JC151=0)</formula1>
    </dataValidation>
    <dataValidation type="custom" operator="greaterThan" showInputMessage="1" showErrorMessage="1" errorTitle="RDM" error="No se admite ingresar a la vez RDM como ingresos y como egresos. Tampoco se admiten valores negattivos o positivos menores de 50_x000a_" sqref="JC151 SY151 ACU151 AMQ151 AWM151 BGI151 BQE151 CAA151 CJW151 CTS151 DDO151 DNK151 DXG151 EHC151 EQY151 FAU151 FKQ151 FUM151 GEI151 GOE151 GYA151 HHW151 HRS151 IBO151 ILK151 IVG151 JFC151 JOY151 JYU151 KIQ151 KSM151 LCI151 LME151 LWA151 MFW151 MPS151 MZO151 NJK151 NTG151 ODC151 OMY151 OWU151 PGQ151 PQM151 QAI151 QKE151 QUA151 RDW151 RNS151 RXO151 SHK151 SRG151 TBC151 TKY151 TUU151 UEQ151 UOM151 UYI151 VIE151 VSA151 WBW151 WLS151 WVO151 JC65687 SY65687 ACU65687 AMQ65687 AWM65687 BGI65687 BQE65687 CAA65687 CJW65687 CTS65687 DDO65687 DNK65687 DXG65687 EHC65687 EQY65687 FAU65687 FKQ65687 FUM65687 GEI65687 GOE65687 GYA65687 HHW65687 HRS65687 IBO65687 ILK65687 IVG65687 JFC65687 JOY65687 JYU65687 KIQ65687 KSM65687 LCI65687 LME65687 LWA65687 MFW65687 MPS65687 MZO65687 NJK65687 NTG65687 ODC65687 OMY65687 OWU65687 PGQ65687 PQM65687 QAI65687 QKE65687 QUA65687 RDW65687 RNS65687 RXO65687 SHK65687 SRG65687 TBC65687 TKY65687 TUU65687 UEQ65687 UOM65687 UYI65687 VIE65687 VSA65687 WBW65687 WLS65687 WVO65687 JC131223 SY131223 ACU131223 AMQ131223 AWM131223 BGI131223 BQE131223 CAA131223 CJW131223 CTS131223 DDO131223 DNK131223 DXG131223 EHC131223 EQY131223 FAU131223 FKQ131223 FUM131223 GEI131223 GOE131223 GYA131223 HHW131223 HRS131223 IBO131223 ILK131223 IVG131223 JFC131223 JOY131223 JYU131223 KIQ131223 KSM131223 LCI131223 LME131223 LWA131223 MFW131223 MPS131223 MZO131223 NJK131223 NTG131223 ODC131223 OMY131223 OWU131223 PGQ131223 PQM131223 QAI131223 QKE131223 QUA131223 RDW131223 RNS131223 RXO131223 SHK131223 SRG131223 TBC131223 TKY131223 TUU131223 UEQ131223 UOM131223 UYI131223 VIE131223 VSA131223 WBW131223 WLS131223 WVO131223 JC196759 SY196759 ACU196759 AMQ196759 AWM196759 BGI196759 BQE196759 CAA196759 CJW196759 CTS196759 DDO196759 DNK196759 DXG196759 EHC196759 EQY196759 FAU196759 FKQ196759 FUM196759 GEI196759 GOE196759 GYA196759 HHW196759 HRS196759 IBO196759 ILK196759 IVG196759 JFC196759 JOY196759 JYU196759 KIQ196759 KSM196759 LCI196759 LME196759 LWA196759 MFW196759 MPS196759 MZO196759 NJK196759 NTG196759 ODC196759 OMY196759 OWU196759 PGQ196759 PQM196759 QAI196759 QKE196759 QUA196759 RDW196759 RNS196759 RXO196759 SHK196759 SRG196759 TBC196759 TKY196759 TUU196759 UEQ196759 UOM196759 UYI196759 VIE196759 VSA196759 WBW196759 WLS196759 WVO196759 JC262295 SY262295 ACU262295 AMQ262295 AWM262295 BGI262295 BQE262295 CAA262295 CJW262295 CTS262295 DDO262295 DNK262295 DXG262295 EHC262295 EQY262295 FAU262295 FKQ262295 FUM262295 GEI262295 GOE262295 GYA262295 HHW262295 HRS262295 IBO262295 ILK262295 IVG262295 JFC262295 JOY262295 JYU262295 KIQ262295 KSM262295 LCI262295 LME262295 LWA262295 MFW262295 MPS262295 MZO262295 NJK262295 NTG262295 ODC262295 OMY262295 OWU262295 PGQ262295 PQM262295 QAI262295 QKE262295 QUA262295 RDW262295 RNS262295 RXO262295 SHK262295 SRG262295 TBC262295 TKY262295 TUU262295 UEQ262295 UOM262295 UYI262295 VIE262295 VSA262295 WBW262295 WLS262295 WVO262295 JC327831 SY327831 ACU327831 AMQ327831 AWM327831 BGI327831 BQE327831 CAA327831 CJW327831 CTS327831 DDO327831 DNK327831 DXG327831 EHC327831 EQY327831 FAU327831 FKQ327831 FUM327831 GEI327831 GOE327831 GYA327831 HHW327831 HRS327831 IBO327831 ILK327831 IVG327831 JFC327831 JOY327831 JYU327831 KIQ327831 KSM327831 LCI327831 LME327831 LWA327831 MFW327831 MPS327831 MZO327831 NJK327831 NTG327831 ODC327831 OMY327831 OWU327831 PGQ327831 PQM327831 QAI327831 QKE327831 QUA327831 RDW327831 RNS327831 RXO327831 SHK327831 SRG327831 TBC327831 TKY327831 TUU327831 UEQ327831 UOM327831 UYI327831 VIE327831 VSA327831 WBW327831 WLS327831 WVO327831 JC393367 SY393367 ACU393367 AMQ393367 AWM393367 BGI393367 BQE393367 CAA393367 CJW393367 CTS393367 DDO393367 DNK393367 DXG393367 EHC393367 EQY393367 FAU393367 FKQ393367 FUM393367 GEI393367 GOE393367 GYA393367 HHW393367 HRS393367 IBO393367 ILK393367 IVG393367 JFC393367 JOY393367 JYU393367 KIQ393367 KSM393367 LCI393367 LME393367 LWA393367 MFW393367 MPS393367 MZO393367 NJK393367 NTG393367 ODC393367 OMY393367 OWU393367 PGQ393367 PQM393367 QAI393367 QKE393367 QUA393367 RDW393367 RNS393367 RXO393367 SHK393367 SRG393367 TBC393367 TKY393367 TUU393367 UEQ393367 UOM393367 UYI393367 VIE393367 VSA393367 WBW393367 WLS393367 WVO393367 JC458903 SY458903 ACU458903 AMQ458903 AWM458903 BGI458903 BQE458903 CAA458903 CJW458903 CTS458903 DDO458903 DNK458903 DXG458903 EHC458903 EQY458903 FAU458903 FKQ458903 FUM458903 GEI458903 GOE458903 GYA458903 HHW458903 HRS458903 IBO458903 ILK458903 IVG458903 JFC458903 JOY458903 JYU458903 KIQ458903 KSM458903 LCI458903 LME458903 LWA458903 MFW458903 MPS458903 MZO458903 NJK458903 NTG458903 ODC458903 OMY458903 OWU458903 PGQ458903 PQM458903 QAI458903 QKE458903 QUA458903 RDW458903 RNS458903 RXO458903 SHK458903 SRG458903 TBC458903 TKY458903 TUU458903 UEQ458903 UOM458903 UYI458903 VIE458903 VSA458903 WBW458903 WLS458903 WVO458903 JC524439 SY524439 ACU524439 AMQ524439 AWM524439 BGI524439 BQE524439 CAA524439 CJW524439 CTS524439 DDO524439 DNK524439 DXG524439 EHC524439 EQY524439 FAU524439 FKQ524439 FUM524439 GEI524439 GOE524439 GYA524439 HHW524439 HRS524439 IBO524439 ILK524439 IVG524439 JFC524439 JOY524439 JYU524439 KIQ524439 KSM524439 LCI524439 LME524439 LWA524439 MFW524439 MPS524439 MZO524439 NJK524439 NTG524439 ODC524439 OMY524439 OWU524439 PGQ524439 PQM524439 QAI524439 QKE524439 QUA524439 RDW524439 RNS524439 RXO524439 SHK524439 SRG524439 TBC524439 TKY524439 TUU524439 UEQ524439 UOM524439 UYI524439 VIE524439 VSA524439 WBW524439 WLS524439 WVO524439 JC589975 SY589975 ACU589975 AMQ589975 AWM589975 BGI589975 BQE589975 CAA589975 CJW589975 CTS589975 DDO589975 DNK589975 DXG589975 EHC589975 EQY589975 FAU589975 FKQ589975 FUM589975 GEI589975 GOE589975 GYA589975 HHW589975 HRS589975 IBO589975 ILK589975 IVG589975 JFC589975 JOY589975 JYU589975 KIQ589975 KSM589975 LCI589975 LME589975 LWA589975 MFW589975 MPS589975 MZO589975 NJK589975 NTG589975 ODC589975 OMY589975 OWU589975 PGQ589975 PQM589975 QAI589975 QKE589975 QUA589975 RDW589975 RNS589975 RXO589975 SHK589975 SRG589975 TBC589975 TKY589975 TUU589975 UEQ589975 UOM589975 UYI589975 VIE589975 VSA589975 WBW589975 WLS589975 WVO589975 JC655511 SY655511 ACU655511 AMQ655511 AWM655511 BGI655511 BQE655511 CAA655511 CJW655511 CTS655511 DDO655511 DNK655511 DXG655511 EHC655511 EQY655511 FAU655511 FKQ655511 FUM655511 GEI655511 GOE655511 GYA655511 HHW655511 HRS655511 IBO655511 ILK655511 IVG655511 JFC655511 JOY655511 JYU655511 KIQ655511 KSM655511 LCI655511 LME655511 LWA655511 MFW655511 MPS655511 MZO655511 NJK655511 NTG655511 ODC655511 OMY655511 OWU655511 PGQ655511 PQM655511 QAI655511 QKE655511 QUA655511 RDW655511 RNS655511 RXO655511 SHK655511 SRG655511 TBC655511 TKY655511 TUU655511 UEQ655511 UOM655511 UYI655511 VIE655511 VSA655511 WBW655511 WLS655511 WVO655511 JC721047 SY721047 ACU721047 AMQ721047 AWM721047 BGI721047 BQE721047 CAA721047 CJW721047 CTS721047 DDO721047 DNK721047 DXG721047 EHC721047 EQY721047 FAU721047 FKQ721047 FUM721047 GEI721047 GOE721047 GYA721047 HHW721047 HRS721047 IBO721047 ILK721047 IVG721047 JFC721047 JOY721047 JYU721047 KIQ721047 KSM721047 LCI721047 LME721047 LWA721047 MFW721047 MPS721047 MZO721047 NJK721047 NTG721047 ODC721047 OMY721047 OWU721047 PGQ721047 PQM721047 QAI721047 QKE721047 QUA721047 RDW721047 RNS721047 RXO721047 SHK721047 SRG721047 TBC721047 TKY721047 TUU721047 UEQ721047 UOM721047 UYI721047 VIE721047 VSA721047 WBW721047 WLS721047 WVO721047 JC786583 SY786583 ACU786583 AMQ786583 AWM786583 BGI786583 BQE786583 CAA786583 CJW786583 CTS786583 DDO786583 DNK786583 DXG786583 EHC786583 EQY786583 FAU786583 FKQ786583 FUM786583 GEI786583 GOE786583 GYA786583 HHW786583 HRS786583 IBO786583 ILK786583 IVG786583 JFC786583 JOY786583 JYU786583 KIQ786583 KSM786583 LCI786583 LME786583 LWA786583 MFW786583 MPS786583 MZO786583 NJK786583 NTG786583 ODC786583 OMY786583 OWU786583 PGQ786583 PQM786583 QAI786583 QKE786583 QUA786583 RDW786583 RNS786583 RXO786583 SHK786583 SRG786583 TBC786583 TKY786583 TUU786583 UEQ786583 UOM786583 UYI786583 VIE786583 VSA786583 WBW786583 WLS786583 WVO786583 JC852119 SY852119 ACU852119 AMQ852119 AWM852119 BGI852119 BQE852119 CAA852119 CJW852119 CTS852119 DDO852119 DNK852119 DXG852119 EHC852119 EQY852119 FAU852119 FKQ852119 FUM852119 GEI852119 GOE852119 GYA852119 HHW852119 HRS852119 IBO852119 ILK852119 IVG852119 JFC852119 JOY852119 JYU852119 KIQ852119 KSM852119 LCI852119 LME852119 LWA852119 MFW852119 MPS852119 MZO852119 NJK852119 NTG852119 ODC852119 OMY852119 OWU852119 PGQ852119 PQM852119 QAI852119 QKE852119 QUA852119 RDW852119 RNS852119 RXO852119 SHK852119 SRG852119 TBC852119 TKY852119 TUU852119 UEQ852119 UOM852119 UYI852119 VIE852119 VSA852119 WBW852119 WLS852119 WVO852119 JC917655 SY917655 ACU917655 AMQ917655 AWM917655 BGI917655 BQE917655 CAA917655 CJW917655 CTS917655 DDO917655 DNK917655 DXG917655 EHC917655 EQY917655 FAU917655 FKQ917655 FUM917655 GEI917655 GOE917655 GYA917655 HHW917655 HRS917655 IBO917655 ILK917655 IVG917655 JFC917655 JOY917655 JYU917655 KIQ917655 KSM917655 LCI917655 LME917655 LWA917655 MFW917655 MPS917655 MZO917655 NJK917655 NTG917655 ODC917655 OMY917655 OWU917655 PGQ917655 PQM917655 QAI917655 QKE917655 QUA917655 RDW917655 RNS917655 RXO917655 SHK917655 SRG917655 TBC917655 TKY917655 TUU917655 UEQ917655 UOM917655 UYI917655 VIE917655 VSA917655 WBW917655 WLS917655 WVO917655 JC983191 SY983191 ACU983191 AMQ983191 AWM983191 BGI983191 BQE983191 CAA983191 CJW983191 CTS983191 DDO983191 DNK983191 DXG983191 EHC983191 EQY983191 FAU983191 FKQ983191 FUM983191 GEI983191 GOE983191 GYA983191 HHW983191 HRS983191 IBO983191 ILK983191 IVG983191 JFC983191 JOY983191 JYU983191 KIQ983191 KSM983191 LCI983191 LME983191 LWA983191 MFW983191 MPS983191 MZO983191 NJK983191 NTG983191 ODC983191 OMY983191 OWU983191 PGQ983191 PQM983191 QAI983191 QKE983191 QUA983191 RDW983191 RNS983191 RXO983191 SHK983191 SRG983191 TBC983191 TKY983191 TUU983191 UEQ983191 UOM983191 UYI983191 VIE983191 VSA983191 WBW983191 WLS983191 WVO983191">
      <formula1>AND(OR(JC151=0, JC151&gt;50),JC165=0)</formula1>
    </dataValidation>
    <dataValidation type="whole" operator="greaterThan" showInputMessage="1" showErrorMessage="1" errorTitle="eee" error="Valores mayores a $50" sqref="D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D65543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D131079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D196615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D262151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D327687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D393223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D458759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D524295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D589831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D655367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D720903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D786439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D851975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D917511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D983047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WVJ983047">
      <formula1>50</formula1>
    </dataValidation>
    <dataValidation type="whole" operator="greaterThan" allowBlank="1" showInputMessage="1" showErrorMessage="1" sqref="D8:D12 IX8:IX12 ST8:ST12 ACP8:ACP12 AML8:AML12 AWH8:AWH12 BGD8:BGD12 BPZ8:BPZ12 BZV8:BZV12 CJR8:CJR12 CTN8:CTN12 DDJ8:DDJ12 DNF8:DNF12 DXB8:DXB12 EGX8:EGX12 EQT8:EQT12 FAP8:FAP12 FKL8:FKL12 FUH8:FUH12 GED8:GED12 GNZ8:GNZ12 GXV8:GXV12 HHR8:HHR12 HRN8:HRN12 IBJ8:IBJ12 ILF8:ILF12 IVB8:IVB12 JEX8:JEX12 JOT8:JOT12 JYP8:JYP12 KIL8:KIL12 KSH8:KSH12 LCD8:LCD12 LLZ8:LLZ12 LVV8:LVV12 MFR8:MFR12 MPN8:MPN12 MZJ8:MZJ12 NJF8:NJF12 NTB8:NTB12 OCX8:OCX12 OMT8:OMT12 OWP8:OWP12 PGL8:PGL12 PQH8:PQH12 QAD8:QAD12 QJZ8:QJZ12 QTV8:QTV12 RDR8:RDR12 RNN8:RNN12 RXJ8:RXJ12 SHF8:SHF12 SRB8:SRB12 TAX8:TAX12 TKT8:TKT12 TUP8:TUP12 UEL8:UEL12 UOH8:UOH12 UYD8:UYD12 VHZ8:VHZ12 VRV8:VRV12 WBR8:WBR12 WLN8:WLN12 WVJ8:WVJ12 D65544:D65548 IX65544:IX65548 ST65544:ST65548 ACP65544:ACP65548 AML65544:AML65548 AWH65544:AWH65548 BGD65544:BGD65548 BPZ65544:BPZ65548 BZV65544:BZV65548 CJR65544:CJR65548 CTN65544:CTN65548 DDJ65544:DDJ65548 DNF65544:DNF65548 DXB65544:DXB65548 EGX65544:EGX65548 EQT65544:EQT65548 FAP65544:FAP65548 FKL65544:FKL65548 FUH65544:FUH65548 GED65544:GED65548 GNZ65544:GNZ65548 GXV65544:GXV65548 HHR65544:HHR65548 HRN65544:HRN65548 IBJ65544:IBJ65548 ILF65544:ILF65548 IVB65544:IVB65548 JEX65544:JEX65548 JOT65544:JOT65548 JYP65544:JYP65548 KIL65544:KIL65548 KSH65544:KSH65548 LCD65544:LCD65548 LLZ65544:LLZ65548 LVV65544:LVV65548 MFR65544:MFR65548 MPN65544:MPN65548 MZJ65544:MZJ65548 NJF65544:NJF65548 NTB65544:NTB65548 OCX65544:OCX65548 OMT65544:OMT65548 OWP65544:OWP65548 PGL65544:PGL65548 PQH65544:PQH65548 QAD65544:QAD65548 QJZ65544:QJZ65548 QTV65544:QTV65548 RDR65544:RDR65548 RNN65544:RNN65548 RXJ65544:RXJ65548 SHF65544:SHF65548 SRB65544:SRB65548 TAX65544:TAX65548 TKT65544:TKT65548 TUP65544:TUP65548 UEL65544:UEL65548 UOH65544:UOH65548 UYD65544:UYD65548 VHZ65544:VHZ65548 VRV65544:VRV65548 WBR65544:WBR65548 WLN65544:WLN65548 WVJ65544:WVJ65548 D131080:D131084 IX131080:IX131084 ST131080:ST131084 ACP131080:ACP131084 AML131080:AML131084 AWH131080:AWH131084 BGD131080:BGD131084 BPZ131080:BPZ131084 BZV131080:BZV131084 CJR131080:CJR131084 CTN131080:CTN131084 DDJ131080:DDJ131084 DNF131080:DNF131084 DXB131080:DXB131084 EGX131080:EGX131084 EQT131080:EQT131084 FAP131080:FAP131084 FKL131080:FKL131084 FUH131080:FUH131084 GED131080:GED131084 GNZ131080:GNZ131084 GXV131080:GXV131084 HHR131080:HHR131084 HRN131080:HRN131084 IBJ131080:IBJ131084 ILF131080:ILF131084 IVB131080:IVB131084 JEX131080:JEX131084 JOT131080:JOT131084 JYP131080:JYP131084 KIL131080:KIL131084 KSH131080:KSH131084 LCD131080:LCD131084 LLZ131080:LLZ131084 LVV131080:LVV131084 MFR131080:MFR131084 MPN131080:MPN131084 MZJ131080:MZJ131084 NJF131080:NJF131084 NTB131080:NTB131084 OCX131080:OCX131084 OMT131080:OMT131084 OWP131080:OWP131084 PGL131080:PGL131084 PQH131080:PQH131084 QAD131080:QAD131084 QJZ131080:QJZ131084 QTV131080:QTV131084 RDR131080:RDR131084 RNN131080:RNN131084 RXJ131080:RXJ131084 SHF131080:SHF131084 SRB131080:SRB131084 TAX131080:TAX131084 TKT131080:TKT131084 TUP131080:TUP131084 UEL131080:UEL131084 UOH131080:UOH131084 UYD131080:UYD131084 VHZ131080:VHZ131084 VRV131080:VRV131084 WBR131080:WBR131084 WLN131080:WLN131084 WVJ131080:WVJ131084 D196616:D196620 IX196616:IX196620 ST196616:ST196620 ACP196616:ACP196620 AML196616:AML196620 AWH196616:AWH196620 BGD196616:BGD196620 BPZ196616:BPZ196620 BZV196616:BZV196620 CJR196616:CJR196620 CTN196616:CTN196620 DDJ196616:DDJ196620 DNF196616:DNF196620 DXB196616:DXB196620 EGX196616:EGX196620 EQT196616:EQT196620 FAP196616:FAP196620 FKL196616:FKL196620 FUH196616:FUH196620 GED196616:GED196620 GNZ196616:GNZ196620 GXV196616:GXV196620 HHR196616:HHR196620 HRN196616:HRN196620 IBJ196616:IBJ196620 ILF196616:ILF196620 IVB196616:IVB196620 JEX196616:JEX196620 JOT196616:JOT196620 JYP196616:JYP196620 KIL196616:KIL196620 KSH196616:KSH196620 LCD196616:LCD196620 LLZ196616:LLZ196620 LVV196616:LVV196620 MFR196616:MFR196620 MPN196616:MPN196620 MZJ196616:MZJ196620 NJF196616:NJF196620 NTB196616:NTB196620 OCX196616:OCX196620 OMT196616:OMT196620 OWP196616:OWP196620 PGL196616:PGL196620 PQH196616:PQH196620 QAD196616:QAD196620 QJZ196616:QJZ196620 QTV196616:QTV196620 RDR196616:RDR196620 RNN196616:RNN196620 RXJ196616:RXJ196620 SHF196616:SHF196620 SRB196616:SRB196620 TAX196616:TAX196620 TKT196616:TKT196620 TUP196616:TUP196620 UEL196616:UEL196620 UOH196616:UOH196620 UYD196616:UYD196620 VHZ196616:VHZ196620 VRV196616:VRV196620 WBR196616:WBR196620 WLN196616:WLN196620 WVJ196616:WVJ196620 D262152:D262156 IX262152:IX262156 ST262152:ST262156 ACP262152:ACP262156 AML262152:AML262156 AWH262152:AWH262156 BGD262152:BGD262156 BPZ262152:BPZ262156 BZV262152:BZV262156 CJR262152:CJR262156 CTN262152:CTN262156 DDJ262152:DDJ262156 DNF262152:DNF262156 DXB262152:DXB262156 EGX262152:EGX262156 EQT262152:EQT262156 FAP262152:FAP262156 FKL262152:FKL262156 FUH262152:FUH262156 GED262152:GED262156 GNZ262152:GNZ262156 GXV262152:GXV262156 HHR262152:HHR262156 HRN262152:HRN262156 IBJ262152:IBJ262156 ILF262152:ILF262156 IVB262152:IVB262156 JEX262152:JEX262156 JOT262152:JOT262156 JYP262152:JYP262156 KIL262152:KIL262156 KSH262152:KSH262156 LCD262152:LCD262156 LLZ262152:LLZ262156 LVV262152:LVV262156 MFR262152:MFR262156 MPN262152:MPN262156 MZJ262152:MZJ262156 NJF262152:NJF262156 NTB262152:NTB262156 OCX262152:OCX262156 OMT262152:OMT262156 OWP262152:OWP262156 PGL262152:PGL262156 PQH262152:PQH262156 QAD262152:QAD262156 QJZ262152:QJZ262156 QTV262152:QTV262156 RDR262152:RDR262156 RNN262152:RNN262156 RXJ262152:RXJ262156 SHF262152:SHF262156 SRB262152:SRB262156 TAX262152:TAX262156 TKT262152:TKT262156 TUP262152:TUP262156 UEL262152:UEL262156 UOH262152:UOH262156 UYD262152:UYD262156 VHZ262152:VHZ262156 VRV262152:VRV262156 WBR262152:WBR262156 WLN262152:WLN262156 WVJ262152:WVJ262156 D327688:D327692 IX327688:IX327692 ST327688:ST327692 ACP327688:ACP327692 AML327688:AML327692 AWH327688:AWH327692 BGD327688:BGD327692 BPZ327688:BPZ327692 BZV327688:BZV327692 CJR327688:CJR327692 CTN327688:CTN327692 DDJ327688:DDJ327692 DNF327688:DNF327692 DXB327688:DXB327692 EGX327688:EGX327692 EQT327688:EQT327692 FAP327688:FAP327692 FKL327688:FKL327692 FUH327688:FUH327692 GED327688:GED327692 GNZ327688:GNZ327692 GXV327688:GXV327692 HHR327688:HHR327692 HRN327688:HRN327692 IBJ327688:IBJ327692 ILF327688:ILF327692 IVB327688:IVB327692 JEX327688:JEX327692 JOT327688:JOT327692 JYP327688:JYP327692 KIL327688:KIL327692 KSH327688:KSH327692 LCD327688:LCD327692 LLZ327688:LLZ327692 LVV327688:LVV327692 MFR327688:MFR327692 MPN327688:MPN327692 MZJ327688:MZJ327692 NJF327688:NJF327692 NTB327688:NTB327692 OCX327688:OCX327692 OMT327688:OMT327692 OWP327688:OWP327692 PGL327688:PGL327692 PQH327688:PQH327692 QAD327688:QAD327692 QJZ327688:QJZ327692 QTV327688:QTV327692 RDR327688:RDR327692 RNN327688:RNN327692 RXJ327688:RXJ327692 SHF327688:SHF327692 SRB327688:SRB327692 TAX327688:TAX327692 TKT327688:TKT327692 TUP327688:TUP327692 UEL327688:UEL327692 UOH327688:UOH327692 UYD327688:UYD327692 VHZ327688:VHZ327692 VRV327688:VRV327692 WBR327688:WBR327692 WLN327688:WLN327692 WVJ327688:WVJ327692 D393224:D393228 IX393224:IX393228 ST393224:ST393228 ACP393224:ACP393228 AML393224:AML393228 AWH393224:AWH393228 BGD393224:BGD393228 BPZ393224:BPZ393228 BZV393224:BZV393228 CJR393224:CJR393228 CTN393224:CTN393228 DDJ393224:DDJ393228 DNF393224:DNF393228 DXB393224:DXB393228 EGX393224:EGX393228 EQT393224:EQT393228 FAP393224:FAP393228 FKL393224:FKL393228 FUH393224:FUH393228 GED393224:GED393228 GNZ393224:GNZ393228 GXV393224:GXV393228 HHR393224:HHR393228 HRN393224:HRN393228 IBJ393224:IBJ393228 ILF393224:ILF393228 IVB393224:IVB393228 JEX393224:JEX393228 JOT393224:JOT393228 JYP393224:JYP393228 KIL393224:KIL393228 KSH393224:KSH393228 LCD393224:LCD393228 LLZ393224:LLZ393228 LVV393224:LVV393228 MFR393224:MFR393228 MPN393224:MPN393228 MZJ393224:MZJ393228 NJF393224:NJF393228 NTB393224:NTB393228 OCX393224:OCX393228 OMT393224:OMT393228 OWP393224:OWP393228 PGL393224:PGL393228 PQH393224:PQH393228 QAD393224:QAD393228 QJZ393224:QJZ393228 QTV393224:QTV393228 RDR393224:RDR393228 RNN393224:RNN393228 RXJ393224:RXJ393228 SHF393224:SHF393228 SRB393224:SRB393228 TAX393224:TAX393228 TKT393224:TKT393228 TUP393224:TUP393228 UEL393224:UEL393228 UOH393224:UOH393228 UYD393224:UYD393228 VHZ393224:VHZ393228 VRV393224:VRV393228 WBR393224:WBR393228 WLN393224:WLN393228 WVJ393224:WVJ393228 D458760:D458764 IX458760:IX458764 ST458760:ST458764 ACP458760:ACP458764 AML458760:AML458764 AWH458760:AWH458764 BGD458760:BGD458764 BPZ458760:BPZ458764 BZV458760:BZV458764 CJR458760:CJR458764 CTN458760:CTN458764 DDJ458760:DDJ458764 DNF458760:DNF458764 DXB458760:DXB458764 EGX458760:EGX458764 EQT458760:EQT458764 FAP458760:FAP458764 FKL458760:FKL458764 FUH458760:FUH458764 GED458760:GED458764 GNZ458760:GNZ458764 GXV458760:GXV458764 HHR458760:HHR458764 HRN458760:HRN458764 IBJ458760:IBJ458764 ILF458760:ILF458764 IVB458760:IVB458764 JEX458760:JEX458764 JOT458760:JOT458764 JYP458760:JYP458764 KIL458760:KIL458764 KSH458760:KSH458764 LCD458760:LCD458764 LLZ458760:LLZ458764 LVV458760:LVV458764 MFR458760:MFR458764 MPN458760:MPN458764 MZJ458760:MZJ458764 NJF458760:NJF458764 NTB458760:NTB458764 OCX458760:OCX458764 OMT458760:OMT458764 OWP458760:OWP458764 PGL458760:PGL458764 PQH458760:PQH458764 QAD458760:QAD458764 QJZ458760:QJZ458764 QTV458760:QTV458764 RDR458760:RDR458764 RNN458760:RNN458764 RXJ458760:RXJ458764 SHF458760:SHF458764 SRB458760:SRB458764 TAX458760:TAX458764 TKT458760:TKT458764 TUP458760:TUP458764 UEL458760:UEL458764 UOH458760:UOH458764 UYD458760:UYD458764 VHZ458760:VHZ458764 VRV458760:VRV458764 WBR458760:WBR458764 WLN458760:WLN458764 WVJ458760:WVJ458764 D524296:D524300 IX524296:IX524300 ST524296:ST524300 ACP524296:ACP524300 AML524296:AML524300 AWH524296:AWH524300 BGD524296:BGD524300 BPZ524296:BPZ524300 BZV524296:BZV524300 CJR524296:CJR524300 CTN524296:CTN524300 DDJ524296:DDJ524300 DNF524296:DNF524300 DXB524296:DXB524300 EGX524296:EGX524300 EQT524296:EQT524300 FAP524296:FAP524300 FKL524296:FKL524300 FUH524296:FUH524300 GED524296:GED524300 GNZ524296:GNZ524300 GXV524296:GXV524300 HHR524296:HHR524300 HRN524296:HRN524300 IBJ524296:IBJ524300 ILF524296:ILF524300 IVB524296:IVB524300 JEX524296:JEX524300 JOT524296:JOT524300 JYP524296:JYP524300 KIL524296:KIL524300 KSH524296:KSH524300 LCD524296:LCD524300 LLZ524296:LLZ524300 LVV524296:LVV524300 MFR524296:MFR524300 MPN524296:MPN524300 MZJ524296:MZJ524300 NJF524296:NJF524300 NTB524296:NTB524300 OCX524296:OCX524300 OMT524296:OMT524300 OWP524296:OWP524300 PGL524296:PGL524300 PQH524296:PQH524300 QAD524296:QAD524300 QJZ524296:QJZ524300 QTV524296:QTV524300 RDR524296:RDR524300 RNN524296:RNN524300 RXJ524296:RXJ524300 SHF524296:SHF524300 SRB524296:SRB524300 TAX524296:TAX524300 TKT524296:TKT524300 TUP524296:TUP524300 UEL524296:UEL524300 UOH524296:UOH524300 UYD524296:UYD524300 VHZ524296:VHZ524300 VRV524296:VRV524300 WBR524296:WBR524300 WLN524296:WLN524300 WVJ524296:WVJ524300 D589832:D589836 IX589832:IX589836 ST589832:ST589836 ACP589832:ACP589836 AML589832:AML589836 AWH589832:AWH589836 BGD589832:BGD589836 BPZ589832:BPZ589836 BZV589832:BZV589836 CJR589832:CJR589836 CTN589832:CTN589836 DDJ589832:DDJ589836 DNF589832:DNF589836 DXB589832:DXB589836 EGX589832:EGX589836 EQT589832:EQT589836 FAP589832:FAP589836 FKL589832:FKL589836 FUH589832:FUH589836 GED589832:GED589836 GNZ589832:GNZ589836 GXV589832:GXV589836 HHR589832:HHR589836 HRN589832:HRN589836 IBJ589832:IBJ589836 ILF589832:ILF589836 IVB589832:IVB589836 JEX589832:JEX589836 JOT589832:JOT589836 JYP589832:JYP589836 KIL589832:KIL589836 KSH589832:KSH589836 LCD589832:LCD589836 LLZ589832:LLZ589836 LVV589832:LVV589836 MFR589832:MFR589836 MPN589832:MPN589836 MZJ589832:MZJ589836 NJF589832:NJF589836 NTB589832:NTB589836 OCX589832:OCX589836 OMT589832:OMT589836 OWP589832:OWP589836 PGL589832:PGL589836 PQH589832:PQH589836 QAD589832:QAD589836 QJZ589832:QJZ589836 QTV589832:QTV589836 RDR589832:RDR589836 RNN589832:RNN589836 RXJ589832:RXJ589836 SHF589832:SHF589836 SRB589832:SRB589836 TAX589832:TAX589836 TKT589832:TKT589836 TUP589832:TUP589836 UEL589832:UEL589836 UOH589832:UOH589836 UYD589832:UYD589836 VHZ589832:VHZ589836 VRV589832:VRV589836 WBR589832:WBR589836 WLN589832:WLN589836 WVJ589832:WVJ589836 D655368:D655372 IX655368:IX655372 ST655368:ST655372 ACP655368:ACP655372 AML655368:AML655372 AWH655368:AWH655372 BGD655368:BGD655372 BPZ655368:BPZ655372 BZV655368:BZV655372 CJR655368:CJR655372 CTN655368:CTN655372 DDJ655368:DDJ655372 DNF655368:DNF655372 DXB655368:DXB655372 EGX655368:EGX655372 EQT655368:EQT655372 FAP655368:FAP655372 FKL655368:FKL655372 FUH655368:FUH655372 GED655368:GED655372 GNZ655368:GNZ655372 GXV655368:GXV655372 HHR655368:HHR655372 HRN655368:HRN655372 IBJ655368:IBJ655372 ILF655368:ILF655372 IVB655368:IVB655372 JEX655368:JEX655372 JOT655368:JOT655372 JYP655368:JYP655372 KIL655368:KIL655372 KSH655368:KSH655372 LCD655368:LCD655372 LLZ655368:LLZ655372 LVV655368:LVV655372 MFR655368:MFR655372 MPN655368:MPN655372 MZJ655368:MZJ655372 NJF655368:NJF655372 NTB655368:NTB655372 OCX655368:OCX655372 OMT655368:OMT655372 OWP655368:OWP655372 PGL655368:PGL655372 PQH655368:PQH655372 QAD655368:QAD655372 QJZ655368:QJZ655372 QTV655368:QTV655372 RDR655368:RDR655372 RNN655368:RNN655372 RXJ655368:RXJ655372 SHF655368:SHF655372 SRB655368:SRB655372 TAX655368:TAX655372 TKT655368:TKT655372 TUP655368:TUP655372 UEL655368:UEL655372 UOH655368:UOH655372 UYD655368:UYD655372 VHZ655368:VHZ655372 VRV655368:VRV655372 WBR655368:WBR655372 WLN655368:WLN655372 WVJ655368:WVJ655372 D720904:D720908 IX720904:IX720908 ST720904:ST720908 ACP720904:ACP720908 AML720904:AML720908 AWH720904:AWH720908 BGD720904:BGD720908 BPZ720904:BPZ720908 BZV720904:BZV720908 CJR720904:CJR720908 CTN720904:CTN720908 DDJ720904:DDJ720908 DNF720904:DNF720908 DXB720904:DXB720908 EGX720904:EGX720908 EQT720904:EQT720908 FAP720904:FAP720908 FKL720904:FKL720908 FUH720904:FUH720908 GED720904:GED720908 GNZ720904:GNZ720908 GXV720904:GXV720908 HHR720904:HHR720908 HRN720904:HRN720908 IBJ720904:IBJ720908 ILF720904:ILF720908 IVB720904:IVB720908 JEX720904:JEX720908 JOT720904:JOT720908 JYP720904:JYP720908 KIL720904:KIL720908 KSH720904:KSH720908 LCD720904:LCD720908 LLZ720904:LLZ720908 LVV720904:LVV720908 MFR720904:MFR720908 MPN720904:MPN720908 MZJ720904:MZJ720908 NJF720904:NJF720908 NTB720904:NTB720908 OCX720904:OCX720908 OMT720904:OMT720908 OWP720904:OWP720908 PGL720904:PGL720908 PQH720904:PQH720908 QAD720904:QAD720908 QJZ720904:QJZ720908 QTV720904:QTV720908 RDR720904:RDR720908 RNN720904:RNN720908 RXJ720904:RXJ720908 SHF720904:SHF720908 SRB720904:SRB720908 TAX720904:TAX720908 TKT720904:TKT720908 TUP720904:TUP720908 UEL720904:UEL720908 UOH720904:UOH720908 UYD720904:UYD720908 VHZ720904:VHZ720908 VRV720904:VRV720908 WBR720904:WBR720908 WLN720904:WLN720908 WVJ720904:WVJ720908 D786440:D786444 IX786440:IX786444 ST786440:ST786444 ACP786440:ACP786444 AML786440:AML786444 AWH786440:AWH786444 BGD786440:BGD786444 BPZ786440:BPZ786444 BZV786440:BZV786444 CJR786440:CJR786444 CTN786440:CTN786444 DDJ786440:DDJ786444 DNF786440:DNF786444 DXB786440:DXB786444 EGX786440:EGX786444 EQT786440:EQT786444 FAP786440:FAP786444 FKL786440:FKL786444 FUH786440:FUH786444 GED786440:GED786444 GNZ786440:GNZ786444 GXV786440:GXV786444 HHR786440:HHR786444 HRN786440:HRN786444 IBJ786440:IBJ786444 ILF786440:ILF786444 IVB786440:IVB786444 JEX786440:JEX786444 JOT786440:JOT786444 JYP786440:JYP786444 KIL786440:KIL786444 KSH786440:KSH786444 LCD786440:LCD786444 LLZ786440:LLZ786444 LVV786440:LVV786444 MFR786440:MFR786444 MPN786440:MPN786444 MZJ786440:MZJ786444 NJF786440:NJF786444 NTB786440:NTB786444 OCX786440:OCX786444 OMT786440:OMT786444 OWP786440:OWP786444 PGL786440:PGL786444 PQH786440:PQH786444 QAD786440:QAD786444 QJZ786440:QJZ786444 QTV786440:QTV786444 RDR786440:RDR786444 RNN786440:RNN786444 RXJ786440:RXJ786444 SHF786440:SHF786444 SRB786440:SRB786444 TAX786440:TAX786444 TKT786440:TKT786444 TUP786440:TUP786444 UEL786440:UEL786444 UOH786440:UOH786444 UYD786440:UYD786444 VHZ786440:VHZ786444 VRV786440:VRV786444 WBR786440:WBR786444 WLN786440:WLN786444 WVJ786440:WVJ786444 D851976:D851980 IX851976:IX851980 ST851976:ST851980 ACP851976:ACP851980 AML851976:AML851980 AWH851976:AWH851980 BGD851976:BGD851980 BPZ851976:BPZ851980 BZV851976:BZV851980 CJR851976:CJR851980 CTN851976:CTN851980 DDJ851976:DDJ851980 DNF851976:DNF851980 DXB851976:DXB851980 EGX851976:EGX851980 EQT851976:EQT851980 FAP851976:FAP851980 FKL851976:FKL851980 FUH851976:FUH851980 GED851976:GED851980 GNZ851976:GNZ851980 GXV851976:GXV851980 HHR851976:HHR851980 HRN851976:HRN851980 IBJ851976:IBJ851980 ILF851976:ILF851980 IVB851976:IVB851980 JEX851976:JEX851980 JOT851976:JOT851980 JYP851976:JYP851980 KIL851976:KIL851980 KSH851976:KSH851980 LCD851976:LCD851980 LLZ851976:LLZ851980 LVV851976:LVV851980 MFR851976:MFR851980 MPN851976:MPN851980 MZJ851976:MZJ851980 NJF851976:NJF851980 NTB851976:NTB851980 OCX851976:OCX851980 OMT851976:OMT851980 OWP851976:OWP851980 PGL851976:PGL851980 PQH851976:PQH851980 QAD851976:QAD851980 QJZ851976:QJZ851980 QTV851976:QTV851980 RDR851976:RDR851980 RNN851976:RNN851980 RXJ851976:RXJ851980 SHF851976:SHF851980 SRB851976:SRB851980 TAX851976:TAX851980 TKT851976:TKT851980 TUP851976:TUP851980 UEL851976:UEL851980 UOH851976:UOH851980 UYD851976:UYD851980 VHZ851976:VHZ851980 VRV851976:VRV851980 WBR851976:WBR851980 WLN851976:WLN851980 WVJ851976:WVJ851980 D917512:D917516 IX917512:IX917516 ST917512:ST917516 ACP917512:ACP917516 AML917512:AML917516 AWH917512:AWH917516 BGD917512:BGD917516 BPZ917512:BPZ917516 BZV917512:BZV917516 CJR917512:CJR917516 CTN917512:CTN917516 DDJ917512:DDJ917516 DNF917512:DNF917516 DXB917512:DXB917516 EGX917512:EGX917516 EQT917512:EQT917516 FAP917512:FAP917516 FKL917512:FKL917516 FUH917512:FUH917516 GED917512:GED917516 GNZ917512:GNZ917516 GXV917512:GXV917516 HHR917512:HHR917516 HRN917512:HRN917516 IBJ917512:IBJ917516 ILF917512:ILF917516 IVB917512:IVB917516 JEX917512:JEX917516 JOT917512:JOT917516 JYP917512:JYP917516 KIL917512:KIL917516 KSH917512:KSH917516 LCD917512:LCD917516 LLZ917512:LLZ917516 LVV917512:LVV917516 MFR917512:MFR917516 MPN917512:MPN917516 MZJ917512:MZJ917516 NJF917512:NJF917516 NTB917512:NTB917516 OCX917512:OCX917516 OMT917512:OMT917516 OWP917512:OWP917516 PGL917512:PGL917516 PQH917512:PQH917516 QAD917512:QAD917516 QJZ917512:QJZ917516 QTV917512:QTV917516 RDR917512:RDR917516 RNN917512:RNN917516 RXJ917512:RXJ917516 SHF917512:SHF917516 SRB917512:SRB917516 TAX917512:TAX917516 TKT917512:TKT917516 TUP917512:TUP917516 UEL917512:UEL917516 UOH917512:UOH917516 UYD917512:UYD917516 VHZ917512:VHZ917516 VRV917512:VRV917516 WBR917512:WBR917516 WLN917512:WLN917516 WVJ917512:WVJ917516 D983048:D983052 IX983048:IX983052 ST983048:ST983052 ACP983048:ACP983052 AML983048:AML983052 AWH983048:AWH983052 BGD983048:BGD983052 BPZ983048:BPZ983052 BZV983048:BZV983052 CJR983048:CJR983052 CTN983048:CTN983052 DDJ983048:DDJ983052 DNF983048:DNF983052 DXB983048:DXB983052 EGX983048:EGX983052 EQT983048:EQT983052 FAP983048:FAP983052 FKL983048:FKL983052 FUH983048:FUH983052 GED983048:GED983052 GNZ983048:GNZ983052 GXV983048:GXV983052 HHR983048:HHR983052 HRN983048:HRN983052 IBJ983048:IBJ983052 ILF983048:ILF983052 IVB983048:IVB983052 JEX983048:JEX983052 JOT983048:JOT983052 JYP983048:JYP983052 KIL983048:KIL983052 KSH983048:KSH983052 LCD983048:LCD983052 LLZ983048:LLZ983052 LVV983048:LVV983052 MFR983048:MFR983052 MPN983048:MPN983052 MZJ983048:MZJ983052 NJF983048:NJF983052 NTB983048:NTB983052 OCX983048:OCX983052 OMT983048:OMT983052 OWP983048:OWP983052 PGL983048:PGL983052 PQH983048:PQH983052 QAD983048:QAD983052 QJZ983048:QJZ983052 QTV983048:QTV983052 RDR983048:RDR983052 RNN983048:RNN983052 RXJ983048:RXJ983052 SHF983048:SHF983052 SRB983048:SRB983052 TAX983048:TAX983052 TKT983048:TKT983052 TUP983048:TUP983052 UEL983048:UEL983052 UOH983048:UOH983052 UYD983048:UYD983052 VHZ983048:VHZ983052 VRV983048:VRV983052 WBR983048:WBR983052 WLN983048:WLN983052 WVJ983048:WVJ983052 IY7:IY12 SU7:SU12 ACQ7:ACQ12 AMM7:AMM12 AWI7:AWI12 BGE7:BGE12 BQA7:BQA12 BZW7:BZW12 CJS7:CJS12 CTO7:CTO12 DDK7:DDK12 DNG7:DNG12 DXC7:DXC12 EGY7:EGY12 EQU7:EQU12 FAQ7:FAQ12 FKM7:FKM12 FUI7:FUI12 GEE7:GEE12 GOA7:GOA12 GXW7:GXW12 HHS7:HHS12 HRO7:HRO12 IBK7:IBK12 ILG7:ILG12 IVC7:IVC12 JEY7:JEY12 JOU7:JOU12 JYQ7:JYQ12 KIM7:KIM12 KSI7:KSI12 LCE7:LCE12 LMA7:LMA12 LVW7:LVW12 MFS7:MFS12 MPO7:MPO12 MZK7:MZK12 NJG7:NJG12 NTC7:NTC12 OCY7:OCY12 OMU7:OMU12 OWQ7:OWQ12 PGM7:PGM12 PQI7:PQI12 QAE7:QAE12 QKA7:QKA12 QTW7:QTW12 RDS7:RDS12 RNO7:RNO12 RXK7:RXK12 SHG7:SHG12 SRC7:SRC12 TAY7:TAY12 TKU7:TKU12 TUQ7:TUQ12 UEM7:UEM12 UOI7:UOI12 UYE7:UYE12 VIA7:VIA12 VRW7:VRW12 WBS7:WBS12 WLO7:WLO12 WVK7:WVK12 IY65543:IY65548 SU65543:SU65548 ACQ65543:ACQ65548 AMM65543:AMM65548 AWI65543:AWI65548 BGE65543:BGE65548 BQA65543:BQA65548 BZW65543:BZW65548 CJS65543:CJS65548 CTO65543:CTO65548 DDK65543:DDK65548 DNG65543:DNG65548 DXC65543:DXC65548 EGY65543:EGY65548 EQU65543:EQU65548 FAQ65543:FAQ65548 FKM65543:FKM65548 FUI65543:FUI65548 GEE65543:GEE65548 GOA65543:GOA65548 GXW65543:GXW65548 HHS65543:HHS65548 HRO65543:HRO65548 IBK65543:IBK65548 ILG65543:ILG65548 IVC65543:IVC65548 JEY65543:JEY65548 JOU65543:JOU65548 JYQ65543:JYQ65548 KIM65543:KIM65548 KSI65543:KSI65548 LCE65543:LCE65548 LMA65543:LMA65548 LVW65543:LVW65548 MFS65543:MFS65548 MPO65543:MPO65548 MZK65543:MZK65548 NJG65543:NJG65548 NTC65543:NTC65548 OCY65543:OCY65548 OMU65543:OMU65548 OWQ65543:OWQ65548 PGM65543:PGM65548 PQI65543:PQI65548 QAE65543:QAE65548 QKA65543:QKA65548 QTW65543:QTW65548 RDS65543:RDS65548 RNO65543:RNO65548 RXK65543:RXK65548 SHG65543:SHG65548 SRC65543:SRC65548 TAY65543:TAY65548 TKU65543:TKU65548 TUQ65543:TUQ65548 UEM65543:UEM65548 UOI65543:UOI65548 UYE65543:UYE65548 VIA65543:VIA65548 VRW65543:VRW65548 WBS65543:WBS65548 WLO65543:WLO65548 WVK65543:WVK65548 IY131079:IY131084 SU131079:SU131084 ACQ131079:ACQ131084 AMM131079:AMM131084 AWI131079:AWI131084 BGE131079:BGE131084 BQA131079:BQA131084 BZW131079:BZW131084 CJS131079:CJS131084 CTO131079:CTO131084 DDK131079:DDK131084 DNG131079:DNG131084 DXC131079:DXC131084 EGY131079:EGY131084 EQU131079:EQU131084 FAQ131079:FAQ131084 FKM131079:FKM131084 FUI131079:FUI131084 GEE131079:GEE131084 GOA131079:GOA131084 GXW131079:GXW131084 HHS131079:HHS131084 HRO131079:HRO131084 IBK131079:IBK131084 ILG131079:ILG131084 IVC131079:IVC131084 JEY131079:JEY131084 JOU131079:JOU131084 JYQ131079:JYQ131084 KIM131079:KIM131084 KSI131079:KSI131084 LCE131079:LCE131084 LMA131079:LMA131084 LVW131079:LVW131084 MFS131079:MFS131084 MPO131079:MPO131084 MZK131079:MZK131084 NJG131079:NJG131084 NTC131079:NTC131084 OCY131079:OCY131084 OMU131079:OMU131084 OWQ131079:OWQ131084 PGM131079:PGM131084 PQI131079:PQI131084 QAE131079:QAE131084 QKA131079:QKA131084 QTW131079:QTW131084 RDS131079:RDS131084 RNO131079:RNO131084 RXK131079:RXK131084 SHG131079:SHG131084 SRC131079:SRC131084 TAY131079:TAY131084 TKU131079:TKU131084 TUQ131079:TUQ131084 UEM131079:UEM131084 UOI131079:UOI131084 UYE131079:UYE131084 VIA131079:VIA131084 VRW131079:VRW131084 WBS131079:WBS131084 WLO131079:WLO131084 WVK131079:WVK131084 IY196615:IY196620 SU196615:SU196620 ACQ196615:ACQ196620 AMM196615:AMM196620 AWI196615:AWI196620 BGE196615:BGE196620 BQA196615:BQA196620 BZW196615:BZW196620 CJS196615:CJS196620 CTO196615:CTO196620 DDK196615:DDK196620 DNG196615:DNG196620 DXC196615:DXC196620 EGY196615:EGY196620 EQU196615:EQU196620 FAQ196615:FAQ196620 FKM196615:FKM196620 FUI196615:FUI196620 GEE196615:GEE196620 GOA196615:GOA196620 GXW196615:GXW196620 HHS196615:HHS196620 HRO196615:HRO196620 IBK196615:IBK196620 ILG196615:ILG196620 IVC196615:IVC196620 JEY196615:JEY196620 JOU196615:JOU196620 JYQ196615:JYQ196620 KIM196615:KIM196620 KSI196615:KSI196620 LCE196615:LCE196620 LMA196615:LMA196620 LVW196615:LVW196620 MFS196615:MFS196620 MPO196615:MPO196620 MZK196615:MZK196620 NJG196615:NJG196620 NTC196615:NTC196620 OCY196615:OCY196620 OMU196615:OMU196620 OWQ196615:OWQ196620 PGM196615:PGM196620 PQI196615:PQI196620 QAE196615:QAE196620 QKA196615:QKA196620 QTW196615:QTW196620 RDS196615:RDS196620 RNO196615:RNO196620 RXK196615:RXK196620 SHG196615:SHG196620 SRC196615:SRC196620 TAY196615:TAY196620 TKU196615:TKU196620 TUQ196615:TUQ196620 UEM196615:UEM196620 UOI196615:UOI196620 UYE196615:UYE196620 VIA196615:VIA196620 VRW196615:VRW196620 WBS196615:WBS196620 WLO196615:WLO196620 WVK196615:WVK196620 IY262151:IY262156 SU262151:SU262156 ACQ262151:ACQ262156 AMM262151:AMM262156 AWI262151:AWI262156 BGE262151:BGE262156 BQA262151:BQA262156 BZW262151:BZW262156 CJS262151:CJS262156 CTO262151:CTO262156 DDK262151:DDK262156 DNG262151:DNG262156 DXC262151:DXC262156 EGY262151:EGY262156 EQU262151:EQU262156 FAQ262151:FAQ262156 FKM262151:FKM262156 FUI262151:FUI262156 GEE262151:GEE262156 GOA262151:GOA262156 GXW262151:GXW262156 HHS262151:HHS262156 HRO262151:HRO262156 IBK262151:IBK262156 ILG262151:ILG262156 IVC262151:IVC262156 JEY262151:JEY262156 JOU262151:JOU262156 JYQ262151:JYQ262156 KIM262151:KIM262156 KSI262151:KSI262156 LCE262151:LCE262156 LMA262151:LMA262156 LVW262151:LVW262156 MFS262151:MFS262156 MPO262151:MPO262156 MZK262151:MZK262156 NJG262151:NJG262156 NTC262151:NTC262156 OCY262151:OCY262156 OMU262151:OMU262156 OWQ262151:OWQ262156 PGM262151:PGM262156 PQI262151:PQI262156 QAE262151:QAE262156 QKA262151:QKA262156 QTW262151:QTW262156 RDS262151:RDS262156 RNO262151:RNO262156 RXK262151:RXK262156 SHG262151:SHG262156 SRC262151:SRC262156 TAY262151:TAY262156 TKU262151:TKU262156 TUQ262151:TUQ262156 UEM262151:UEM262156 UOI262151:UOI262156 UYE262151:UYE262156 VIA262151:VIA262156 VRW262151:VRW262156 WBS262151:WBS262156 WLO262151:WLO262156 WVK262151:WVK262156 IY327687:IY327692 SU327687:SU327692 ACQ327687:ACQ327692 AMM327687:AMM327692 AWI327687:AWI327692 BGE327687:BGE327692 BQA327687:BQA327692 BZW327687:BZW327692 CJS327687:CJS327692 CTO327687:CTO327692 DDK327687:DDK327692 DNG327687:DNG327692 DXC327687:DXC327692 EGY327687:EGY327692 EQU327687:EQU327692 FAQ327687:FAQ327692 FKM327687:FKM327692 FUI327687:FUI327692 GEE327687:GEE327692 GOA327687:GOA327692 GXW327687:GXW327692 HHS327687:HHS327692 HRO327687:HRO327692 IBK327687:IBK327692 ILG327687:ILG327692 IVC327687:IVC327692 JEY327687:JEY327692 JOU327687:JOU327692 JYQ327687:JYQ327692 KIM327687:KIM327692 KSI327687:KSI327692 LCE327687:LCE327692 LMA327687:LMA327692 LVW327687:LVW327692 MFS327687:MFS327692 MPO327687:MPO327692 MZK327687:MZK327692 NJG327687:NJG327692 NTC327687:NTC327692 OCY327687:OCY327692 OMU327687:OMU327692 OWQ327687:OWQ327692 PGM327687:PGM327692 PQI327687:PQI327692 QAE327687:QAE327692 QKA327687:QKA327692 QTW327687:QTW327692 RDS327687:RDS327692 RNO327687:RNO327692 RXK327687:RXK327692 SHG327687:SHG327692 SRC327687:SRC327692 TAY327687:TAY327692 TKU327687:TKU327692 TUQ327687:TUQ327692 UEM327687:UEM327692 UOI327687:UOI327692 UYE327687:UYE327692 VIA327687:VIA327692 VRW327687:VRW327692 WBS327687:WBS327692 WLO327687:WLO327692 WVK327687:WVK327692 IY393223:IY393228 SU393223:SU393228 ACQ393223:ACQ393228 AMM393223:AMM393228 AWI393223:AWI393228 BGE393223:BGE393228 BQA393223:BQA393228 BZW393223:BZW393228 CJS393223:CJS393228 CTO393223:CTO393228 DDK393223:DDK393228 DNG393223:DNG393228 DXC393223:DXC393228 EGY393223:EGY393228 EQU393223:EQU393228 FAQ393223:FAQ393228 FKM393223:FKM393228 FUI393223:FUI393228 GEE393223:GEE393228 GOA393223:GOA393228 GXW393223:GXW393228 HHS393223:HHS393228 HRO393223:HRO393228 IBK393223:IBK393228 ILG393223:ILG393228 IVC393223:IVC393228 JEY393223:JEY393228 JOU393223:JOU393228 JYQ393223:JYQ393228 KIM393223:KIM393228 KSI393223:KSI393228 LCE393223:LCE393228 LMA393223:LMA393228 LVW393223:LVW393228 MFS393223:MFS393228 MPO393223:MPO393228 MZK393223:MZK393228 NJG393223:NJG393228 NTC393223:NTC393228 OCY393223:OCY393228 OMU393223:OMU393228 OWQ393223:OWQ393228 PGM393223:PGM393228 PQI393223:PQI393228 QAE393223:QAE393228 QKA393223:QKA393228 QTW393223:QTW393228 RDS393223:RDS393228 RNO393223:RNO393228 RXK393223:RXK393228 SHG393223:SHG393228 SRC393223:SRC393228 TAY393223:TAY393228 TKU393223:TKU393228 TUQ393223:TUQ393228 UEM393223:UEM393228 UOI393223:UOI393228 UYE393223:UYE393228 VIA393223:VIA393228 VRW393223:VRW393228 WBS393223:WBS393228 WLO393223:WLO393228 WVK393223:WVK393228 IY458759:IY458764 SU458759:SU458764 ACQ458759:ACQ458764 AMM458759:AMM458764 AWI458759:AWI458764 BGE458759:BGE458764 BQA458759:BQA458764 BZW458759:BZW458764 CJS458759:CJS458764 CTO458759:CTO458764 DDK458759:DDK458764 DNG458759:DNG458764 DXC458759:DXC458764 EGY458759:EGY458764 EQU458759:EQU458764 FAQ458759:FAQ458764 FKM458759:FKM458764 FUI458759:FUI458764 GEE458759:GEE458764 GOA458759:GOA458764 GXW458759:GXW458764 HHS458759:HHS458764 HRO458759:HRO458764 IBK458759:IBK458764 ILG458759:ILG458764 IVC458759:IVC458764 JEY458759:JEY458764 JOU458759:JOU458764 JYQ458759:JYQ458764 KIM458759:KIM458764 KSI458759:KSI458764 LCE458759:LCE458764 LMA458759:LMA458764 LVW458759:LVW458764 MFS458759:MFS458764 MPO458759:MPO458764 MZK458759:MZK458764 NJG458759:NJG458764 NTC458759:NTC458764 OCY458759:OCY458764 OMU458759:OMU458764 OWQ458759:OWQ458764 PGM458759:PGM458764 PQI458759:PQI458764 QAE458759:QAE458764 QKA458759:QKA458764 QTW458759:QTW458764 RDS458759:RDS458764 RNO458759:RNO458764 RXK458759:RXK458764 SHG458759:SHG458764 SRC458759:SRC458764 TAY458759:TAY458764 TKU458759:TKU458764 TUQ458759:TUQ458764 UEM458759:UEM458764 UOI458759:UOI458764 UYE458759:UYE458764 VIA458759:VIA458764 VRW458759:VRW458764 WBS458759:WBS458764 WLO458759:WLO458764 WVK458759:WVK458764 IY524295:IY524300 SU524295:SU524300 ACQ524295:ACQ524300 AMM524295:AMM524300 AWI524295:AWI524300 BGE524295:BGE524300 BQA524295:BQA524300 BZW524295:BZW524300 CJS524295:CJS524300 CTO524295:CTO524300 DDK524295:DDK524300 DNG524295:DNG524300 DXC524295:DXC524300 EGY524295:EGY524300 EQU524295:EQU524300 FAQ524295:FAQ524300 FKM524295:FKM524300 FUI524295:FUI524300 GEE524295:GEE524300 GOA524295:GOA524300 GXW524295:GXW524300 HHS524295:HHS524300 HRO524295:HRO524300 IBK524295:IBK524300 ILG524295:ILG524300 IVC524295:IVC524300 JEY524295:JEY524300 JOU524295:JOU524300 JYQ524295:JYQ524300 KIM524295:KIM524300 KSI524295:KSI524300 LCE524295:LCE524300 LMA524295:LMA524300 LVW524295:LVW524300 MFS524295:MFS524300 MPO524295:MPO524300 MZK524295:MZK524300 NJG524295:NJG524300 NTC524295:NTC524300 OCY524295:OCY524300 OMU524295:OMU524300 OWQ524295:OWQ524300 PGM524295:PGM524300 PQI524295:PQI524300 QAE524295:QAE524300 QKA524295:QKA524300 QTW524295:QTW524300 RDS524295:RDS524300 RNO524295:RNO524300 RXK524295:RXK524300 SHG524295:SHG524300 SRC524295:SRC524300 TAY524295:TAY524300 TKU524295:TKU524300 TUQ524295:TUQ524300 UEM524295:UEM524300 UOI524295:UOI524300 UYE524295:UYE524300 VIA524295:VIA524300 VRW524295:VRW524300 WBS524295:WBS524300 WLO524295:WLO524300 WVK524295:WVK524300 IY589831:IY589836 SU589831:SU589836 ACQ589831:ACQ589836 AMM589831:AMM589836 AWI589831:AWI589836 BGE589831:BGE589836 BQA589831:BQA589836 BZW589831:BZW589836 CJS589831:CJS589836 CTO589831:CTO589836 DDK589831:DDK589836 DNG589831:DNG589836 DXC589831:DXC589836 EGY589831:EGY589836 EQU589831:EQU589836 FAQ589831:FAQ589836 FKM589831:FKM589836 FUI589831:FUI589836 GEE589831:GEE589836 GOA589831:GOA589836 GXW589831:GXW589836 HHS589831:HHS589836 HRO589831:HRO589836 IBK589831:IBK589836 ILG589831:ILG589836 IVC589831:IVC589836 JEY589831:JEY589836 JOU589831:JOU589836 JYQ589831:JYQ589836 KIM589831:KIM589836 KSI589831:KSI589836 LCE589831:LCE589836 LMA589831:LMA589836 LVW589831:LVW589836 MFS589831:MFS589836 MPO589831:MPO589836 MZK589831:MZK589836 NJG589831:NJG589836 NTC589831:NTC589836 OCY589831:OCY589836 OMU589831:OMU589836 OWQ589831:OWQ589836 PGM589831:PGM589836 PQI589831:PQI589836 QAE589831:QAE589836 QKA589831:QKA589836 QTW589831:QTW589836 RDS589831:RDS589836 RNO589831:RNO589836 RXK589831:RXK589836 SHG589831:SHG589836 SRC589831:SRC589836 TAY589831:TAY589836 TKU589831:TKU589836 TUQ589831:TUQ589836 UEM589831:UEM589836 UOI589831:UOI589836 UYE589831:UYE589836 VIA589831:VIA589836 VRW589831:VRW589836 WBS589831:WBS589836 WLO589831:WLO589836 WVK589831:WVK589836 IY655367:IY655372 SU655367:SU655372 ACQ655367:ACQ655372 AMM655367:AMM655372 AWI655367:AWI655372 BGE655367:BGE655372 BQA655367:BQA655372 BZW655367:BZW655372 CJS655367:CJS655372 CTO655367:CTO655372 DDK655367:DDK655372 DNG655367:DNG655372 DXC655367:DXC655372 EGY655367:EGY655372 EQU655367:EQU655372 FAQ655367:FAQ655372 FKM655367:FKM655372 FUI655367:FUI655372 GEE655367:GEE655372 GOA655367:GOA655372 GXW655367:GXW655372 HHS655367:HHS655372 HRO655367:HRO655372 IBK655367:IBK655372 ILG655367:ILG655372 IVC655367:IVC655372 JEY655367:JEY655372 JOU655367:JOU655372 JYQ655367:JYQ655372 KIM655367:KIM655372 KSI655367:KSI655372 LCE655367:LCE655372 LMA655367:LMA655372 LVW655367:LVW655372 MFS655367:MFS655372 MPO655367:MPO655372 MZK655367:MZK655372 NJG655367:NJG655372 NTC655367:NTC655372 OCY655367:OCY655372 OMU655367:OMU655372 OWQ655367:OWQ655372 PGM655367:PGM655372 PQI655367:PQI655372 QAE655367:QAE655372 QKA655367:QKA655372 QTW655367:QTW655372 RDS655367:RDS655372 RNO655367:RNO655372 RXK655367:RXK655372 SHG655367:SHG655372 SRC655367:SRC655372 TAY655367:TAY655372 TKU655367:TKU655372 TUQ655367:TUQ655372 UEM655367:UEM655372 UOI655367:UOI655372 UYE655367:UYE655372 VIA655367:VIA655372 VRW655367:VRW655372 WBS655367:WBS655372 WLO655367:WLO655372 WVK655367:WVK655372 IY720903:IY720908 SU720903:SU720908 ACQ720903:ACQ720908 AMM720903:AMM720908 AWI720903:AWI720908 BGE720903:BGE720908 BQA720903:BQA720908 BZW720903:BZW720908 CJS720903:CJS720908 CTO720903:CTO720908 DDK720903:DDK720908 DNG720903:DNG720908 DXC720903:DXC720908 EGY720903:EGY720908 EQU720903:EQU720908 FAQ720903:FAQ720908 FKM720903:FKM720908 FUI720903:FUI720908 GEE720903:GEE720908 GOA720903:GOA720908 GXW720903:GXW720908 HHS720903:HHS720908 HRO720903:HRO720908 IBK720903:IBK720908 ILG720903:ILG720908 IVC720903:IVC720908 JEY720903:JEY720908 JOU720903:JOU720908 JYQ720903:JYQ720908 KIM720903:KIM720908 KSI720903:KSI720908 LCE720903:LCE720908 LMA720903:LMA720908 LVW720903:LVW720908 MFS720903:MFS720908 MPO720903:MPO720908 MZK720903:MZK720908 NJG720903:NJG720908 NTC720903:NTC720908 OCY720903:OCY720908 OMU720903:OMU720908 OWQ720903:OWQ720908 PGM720903:PGM720908 PQI720903:PQI720908 QAE720903:QAE720908 QKA720903:QKA720908 QTW720903:QTW720908 RDS720903:RDS720908 RNO720903:RNO720908 RXK720903:RXK720908 SHG720903:SHG720908 SRC720903:SRC720908 TAY720903:TAY720908 TKU720903:TKU720908 TUQ720903:TUQ720908 UEM720903:UEM720908 UOI720903:UOI720908 UYE720903:UYE720908 VIA720903:VIA720908 VRW720903:VRW720908 WBS720903:WBS720908 WLO720903:WLO720908 WVK720903:WVK720908 IY786439:IY786444 SU786439:SU786444 ACQ786439:ACQ786444 AMM786439:AMM786444 AWI786439:AWI786444 BGE786439:BGE786444 BQA786439:BQA786444 BZW786439:BZW786444 CJS786439:CJS786444 CTO786439:CTO786444 DDK786439:DDK786444 DNG786439:DNG786444 DXC786439:DXC786444 EGY786439:EGY786444 EQU786439:EQU786444 FAQ786439:FAQ786444 FKM786439:FKM786444 FUI786439:FUI786444 GEE786439:GEE786444 GOA786439:GOA786444 GXW786439:GXW786444 HHS786439:HHS786444 HRO786439:HRO786444 IBK786439:IBK786444 ILG786439:ILG786444 IVC786439:IVC786444 JEY786439:JEY786444 JOU786439:JOU786444 JYQ786439:JYQ786444 KIM786439:KIM786444 KSI786439:KSI786444 LCE786439:LCE786444 LMA786439:LMA786444 LVW786439:LVW786444 MFS786439:MFS786444 MPO786439:MPO786444 MZK786439:MZK786444 NJG786439:NJG786444 NTC786439:NTC786444 OCY786439:OCY786444 OMU786439:OMU786444 OWQ786439:OWQ786444 PGM786439:PGM786444 PQI786439:PQI786444 QAE786439:QAE786444 QKA786439:QKA786444 QTW786439:QTW786444 RDS786439:RDS786444 RNO786439:RNO786444 RXK786439:RXK786444 SHG786439:SHG786444 SRC786439:SRC786444 TAY786439:TAY786444 TKU786439:TKU786444 TUQ786439:TUQ786444 UEM786439:UEM786444 UOI786439:UOI786444 UYE786439:UYE786444 VIA786439:VIA786444 VRW786439:VRW786444 WBS786439:WBS786444 WLO786439:WLO786444 WVK786439:WVK786444 IY851975:IY851980 SU851975:SU851980 ACQ851975:ACQ851980 AMM851975:AMM851980 AWI851975:AWI851980 BGE851975:BGE851980 BQA851975:BQA851980 BZW851975:BZW851980 CJS851975:CJS851980 CTO851975:CTO851980 DDK851975:DDK851980 DNG851975:DNG851980 DXC851975:DXC851980 EGY851975:EGY851980 EQU851975:EQU851980 FAQ851975:FAQ851980 FKM851975:FKM851980 FUI851975:FUI851980 GEE851975:GEE851980 GOA851975:GOA851980 GXW851975:GXW851980 HHS851975:HHS851980 HRO851975:HRO851980 IBK851975:IBK851980 ILG851975:ILG851980 IVC851975:IVC851980 JEY851975:JEY851980 JOU851975:JOU851980 JYQ851975:JYQ851980 KIM851975:KIM851980 KSI851975:KSI851980 LCE851975:LCE851980 LMA851975:LMA851980 LVW851975:LVW851980 MFS851975:MFS851980 MPO851975:MPO851980 MZK851975:MZK851980 NJG851975:NJG851980 NTC851975:NTC851980 OCY851975:OCY851980 OMU851975:OMU851980 OWQ851975:OWQ851980 PGM851975:PGM851980 PQI851975:PQI851980 QAE851975:QAE851980 QKA851975:QKA851980 QTW851975:QTW851980 RDS851975:RDS851980 RNO851975:RNO851980 RXK851975:RXK851980 SHG851975:SHG851980 SRC851975:SRC851980 TAY851975:TAY851980 TKU851975:TKU851980 TUQ851975:TUQ851980 UEM851975:UEM851980 UOI851975:UOI851980 UYE851975:UYE851980 VIA851975:VIA851980 VRW851975:VRW851980 WBS851975:WBS851980 WLO851975:WLO851980 WVK851975:WVK851980 IY917511:IY917516 SU917511:SU917516 ACQ917511:ACQ917516 AMM917511:AMM917516 AWI917511:AWI917516 BGE917511:BGE917516 BQA917511:BQA917516 BZW917511:BZW917516 CJS917511:CJS917516 CTO917511:CTO917516 DDK917511:DDK917516 DNG917511:DNG917516 DXC917511:DXC917516 EGY917511:EGY917516 EQU917511:EQU917516 FAQ917511:FAQ917516 FKM917511:FKM917516 FUI917511:FUI917516 GEE917511:GEE917516 GOA917511:GOA917516 GXW917511:GXW917516 HHS917511:HHS917516 HRO917511:HRO917516 IBK917511:IBK917516 ILG917511:ILG917516 IVC917511:IVC917516 JEY917511:JEY917516 JOU917511:JOU917516 JYQ917511:JYQ917516 KIM917511:KIM917516 KSI917511:KSI917516 LCE917511:LCE917516 LMA917511:LMA917516 LVW917511:LVW917516 MFS917511:MFS917516 MPO917511:MPO917516 MZK917511:MZK917516 NJG917511:NJG917516 NTC917511:NTC917516 OCY917511:OCY917516 OMU917511:OMU917516 OWQ917511:OWQ917516 PGM917511:PGM917516 PQI917511:PQI917516 QAE917511:QAE917516 QKA917511:QKA917516 QTW917511:QTW917516 RDS917511:RDS917516 RNO917511:RNO917516 RXK917511:RXK917516 SHG917511:SHG917516 SRC917511:SRC917516 TAY917511:TAY917516 TKU917511:TKU917516 TUQ917511:TUQ917516 UEM917511:UEM917516 UOI917511:UOI917516 UYE917511:UYE917516 VIA917511:VIA917516 VRW917511:VRW917516 WBS917511:WBS917516 WLO917511:WLO917516 WVK917511:WVK917516 IY983047:IY983052 SU983047:SU983052 ACQ983047:ACQ983052 AMM983047:AMM983052 AWI983047:AWI983052 BGE983047:BGE983052 BQA983047:BQA983052 BZW983047:BZW983052 CJS983047:CJS983052 CTO983047:CTO983052 DDK983047:DDK983052 DNG983047:DNG983052 DXC983047:DXC983052 EGY983047:EGY983052 EQU983047:EQU983052 FAQ983047:FAQ983052 FKM983047:FKM983052 FUI983047:FUI983052 GEE983047:GEE983052 GOA983047:GOA983052 GXW983047:GXW983052 HHS983047:HHS983052 HRO983047:HRO983052 IBK983047:IBK983052 ILG983047:ILG983052 IVC983047:IVC983052 JEY983047:JEY983052 JOU983047:JOU983052 JYQ983047:JYQ983052 KIM983047:KIM983052 KSI983047:KSI983052 LCE983047:LCE983052 LMA983047:LMA983052 LVW983047:LVW983052 MFS983047:MFS983052 MPO983047:MPO983052 MZK983047:MZK983052 NJG983047:NJG983052 NTC983047:NTC983052 OCY983047:OCY983052 OMU983047:OMU983052 OWQ983047:OWQ983052 PGM983047:PGM983052 PQI983047:PQI983052 QAE983047:QAE983052 QKA983047:QKA983052 QTW983047:QTW983052 RDS983047:RDS983052 RNO983047:RNO983052 RXK983047:RXK983052 SHG983047:SHG983052 SRC983047:SRC983052 TAY983047:TAY983052 TKU983047:TKU983052 TUQ983047:TUQ983052 UEM983047:UEM983052 UOI983047:UOI983052 UYE983047:UYE983052 VIA983047:VIA983052 VRW983047:VRW983052 WBS983047:WBS983052 WLO983047:WLO983052 WVK983047:WVK983052">
      <formula1>50</formula1>
    </dataValidation>
    <dataValidation type="custom" operator="greaterThan" showInputMessage="1" showErrorMessage="1" errorTitle="RDM" error="No se admite ingresar RDM como ingresos y egresos a la vez. Tampoco se admiten valores menores a $50._x000a_" sqref="G151 JB151 SX151 ACT151 AMP151 AWL151 BGH151 BQD151 BZZ151 CJV151 CTR151 DDN151 DNJ151 DXF151 EHB151 EQX151 FAT151 FKP151 FUL151 GEH151 GOD151 GXZ151 HHV151 HRR151 IBN151 ILJ151 IVF151 JFB151 JOX151 JYT151 KIP151 KSL151 LCH151 LMD151 LVZ151 MFV151 MPR151 MZN151 NJJ151 NTF151 ODB151 OMX151 OWT151 PGP151 PQL151 QAH151 QKD151 QTZ151 RDV151 RNR151 RXN151 SHJ151 SRF151 TBB151 TKX151 TUT151 UEP151 UOL151 UYH151 VID151 VRZ151 WBV151 WLR151 WVN151 G65687 JB65687 SX65687 ACT65687 AMP65687 AWL65687 BGH65687 BQD65687 BZZ65687 CJV65687 CTR65687 DDN65687 DNJ65687 DXF65687 EHB65687 EQX65687 FAT65687 FKP65687 FUL65687 GEH65687 GOD65687 GXZ65687 HHV65687 HRR65687 IBN65687 ILJ65687 IVF65687 JFB65687 JOX65687 JYT65687 KIP65687 KSL65687 LCH65687 LMD65687 LVZ65687 MFV65687 MPR65687 MZN65687 NJJ65687 NTF65687 ODB65687 OMX65687 OWT65687 PGP65687 PQL65687 QAH65687 QKD65687 QTZ65687 RDV65687 RNR65687 RXN65687 SHJ65687 SRF65687 TBB65687 TKX65687 TUT65687 UEP65687 UOL65687 UYH65687 VID65687 VRZ65687 WBV65687 WLR65687 WVN65687 G131223 JB131223 SX131223 ACT131223 AMP131223 AWL131223 BGH131223 BQD131223 BZZ131223 CJV131223 CTR131223 DDN131223 DNJ131223 DXF131223 EHB131223 EQX131223 FAT131223 FKP131223 FUL131223 GEH131223 GOD131223 GXZ131223 HHV131223 HRR131223 IBN131223 ILJ131223 IVF131223 JFB131223 JOX131223 JYT131223 KIP131223 KSL131223 LCH131223 LMD131223 LVZ131223 MFV131223 MPR131223 MZN131223 NJJ131223 NTF131223 ODB131223 OMX131223 OWT131223 PGP131223 PQL131223 QAH131223 QKD131223 QTZ131223 RDV131223 RNR131223 RXN131223 SHJ131223 SRF131223 TBB131223 TKX131223 TUT131223 UEP131223 UOL131223 UYH131223 VID131223 VRZ131223 WBV131223 WLR131223 WVN131223 G196759 JB196759 SX196759 ACT196759 AMP196759 AWL196759 BGH196759 BQD196759 BZZ196759 CJV196759 CTR196759 DDN196759 DNJ196759 DXF196759 EHB196759 EQX196759 FAT196759 FKP196759 FUL196759 GEH196759 GOD196759 GXZ196759 HHV196759 HRR196759 IBN196759 ILJ196759 IVF196759 JFB196759 JOX196759 JYT196759 KIP196759 KSL196759 LCH196759 LMD196759 LVZ196759 MFV196759 MPR196759 MZN196759 NJJ196759 NTF196759 ODB196759 OMX196759 OWT196759 PGP196759 PQL196759 QAH196759 QKD196759 QTZ196759 RDV196759 RNR196759 RXN196759 SHJ196759 SRF196759 TBB196759 TKX196759 TUT196759 UEP196759 UOL196759 UYH196759 VID196759 VRZ196759 WBV196759 WLR196759 WVN196759 G262295 JB262295 SX262295 ACT262295 AMP262295 AWL262295 BGH262295 BQD262295 BZZ262295 CJV262295 CTR262295 DDN262295 DNJ262295 DXF262295 EHB262295 EQX262295 FAT262295 FKP262295 FUL262295 GEH262295 GOD262295 GXZ262295 HHV262295 HRR262295 IBN262295 ILJ262295 IVF262295 JFB262295 JOX262295 JYT262295 KIP262295 KSL262295 LCH262295 LMD262295 LVZ262295 MFV262295 MPR262295 MZN262295 NJJ262295 NTF262295 ODB262295 OMX262295 OWT262295 PGP262295 PQL262295 QAH262295 QKD262295 QTZ262295 RDV262295 RNR262295 RXN262295 SHJ262295 SRF262295 TBB262295 TKX262295 TUT262295 UEP262295 UOL262295 UYH262295 VID262295 VRZ262295 WBV262295 WLR262295 WVN262295 G327831 JB327831 SX327831 ACT327831 AMP327831 AWL327831 BGH327831 BQD327831 BZZ327831 CJV327831 CTR327831 DDN327831 DNJ327831 DXF327831 EHB327831 EQX327831 FAT327831 FKP327831 FUL327831 GEH327831 GOD327831 GXZ327831 HHV327831 HRR327831 IBN327831 ILJ327831 IVF327831 JFB327831 JOX327831 JYT327831 KIP327831 KSL327831 LCH327831 LMD327831 LVZ327831 MFV327831 MPR327831 MZN327831 NJJ327831 NTF327831 ODB327831 OMX327831 OWT327831 PGP327831 PQL327831 QAH327831 QKD327831 QTZ327831 RDV327831 RNR327831 RXN327831 SHJ327831 SRF327831 TBB327831 TKX327831 TUT327831 UEP327831 UOL327831 UYH327831 VID327831 VRZ327831 WBV327831 WLR327831 WVN327831 G393367 JB393367 SX393367 ACT393367 AMP393367 AWL393367 BGH393367 BQD393367 BZZ393367 CJV393367 CTR393367 DDN393367 DNJ393367 DXF393367 EHB393367 EQX393367 FAT393367 FKP393367 FUL393367 GEH393367 GOD393367 GXZ393367 HHV393367 HRR393367 IBN393367 ILJ393367 IVF393367 JFB393367 JOX393367 JYT393367 KIP393367 KSL393367 LCH393367 LMD393367 LVZ393367 MFV393367 MPR393367 MZN393367 NJJ393367 NTF393367 ODB393367 OMX393367 OWT393367 PGP393367 PQL393367 QAH393367 QKD393367 QTZ393367 RDV393367 RNR393367 RXN393367 SHJ393367 SRF393367 TBB393367 TKX393367 TUT393367 UEP393367 UOL393367 UYH393367 VID393367 VRZ393367 WBV393367 WLR393367 WVN393367 G458903 JB458903 SX458903 ACT458903 AMP458903 AWL458903 BGH458903 BQD458903 BZZ458903 CJV458903 CTR458903 DDN458903 DNJ458903 DXF458903 EHB458903 EQX458903 FAT458903 FKP458903 FUL458903 GEH458903 GOD458903 GXZ458903 HHV458903 HRR458903 IBN458903 ILJ458903 IVF458903 JFB458903 JOX458903 JYT458903 KIP458903 KSL458903 LCH458903 LMD458903 LVZ458903 MFV458903 MPR458903 MZN458903 NJJ458903 NTF458903 ODB458903 OMX458903 OWT458903 PGP458903 PQL458903 QAH458903 QKD458903 QTZ458903 RDV458903 RNR458903 RXN458903 SHJ458903 SRF458903 TBB458903 TKX458903 TUT458903 UEP458903 UOL458903 UYH458903 VID458903 VRZ458903 WBV458903 WLR458903 WVN458903 G524439 JB524439 SX524439 ACT524439 AMP524439 AWL524439 BGH524439 BQD524439 BZZ524439 CJV524439 CTR524439 DDN524439 DNJ524439 DXF524439 EHB524439 EQX524439 FAT524439 FKP524439 FUL524439 GEH524439 GOD524439 GXZ524439 HHV524439 HRR524439 IBN524439 ILJ524439 IVF524439 JFB524439 JOX524439 JYT524439 KIP524439 KSL524439 LCH524439 LMD524439 LVZ524439 MFV524439 MPR524439 MZN524439 NJJ524439 NTF524439 ODB524439 OMX524439 OWT524439 PGP524439 PQL524439 QAH524439 QKD524439 QTZ524439 RDV524439 RNR524439 RXN524439 SHJ524439 SRF524439 TBB524439 TKX524439 TUT524439 UEP524439 UOL524439 UYH524439 VID524439 VRZ524439 WBV524439 WLR524439 WVN524439 G589975 JB589975 SX589975 ACT589975 AMP589975 AWL589975 BGH589975 BQD589975 BZZ589975 CJV589975 CTR589975 DDN589975 DNJ589975 DXF589975 EHB589975 EQX589975 FAT589975 FKP589975 FUL589975 GEH589975 GOD589975 GXZ589975 HHV589975 HRR589975 IBN589975 ILJ589975 IVF589975 JFB589975 JOX589975 JYT589975 KIP589975 KSL589975 LCH589975 LMD589975 LVZ589975 MFV589975 MPR589975 MZN589975 NJJ589975 NTF589975 ODB589975 OMX589975 OWT589975 PGP589975 PQL589975 QAH589975 QKD589975 QTZ589975 RDV589975 RNR589975 RXN589975 SHJ589975 SRF589975 TBB589975 TKX589975 TUT589975 UEP589975 UOL589975 UYH589975 VID589975 VRZ589975 WBV589975 WLR589975 WVN589975 G655511 JB655511 SX655511 ACT655511 AMP655511 AWL655511 BGH655511 BQD655511 BZZ655511 CJV655511 CTR655511 DDN655511 DNJ655511 DXF655511 EHB655511 EQX655511 FAT655511 FKP655511 FUL655511 GEH655511 GOD655511 GXZ655511 HHV655511 HRR655511 IBN655511 ILJ655511 IVF655511 JFB655511 JOX655511 JYT655511 KIP655511 KSL655511 LCH655511 LMD655511 LVZ655511 MFV655511 MPR655511 MZN655511 NJJ655511 NTF655511 ODB655511 OMX655511 OWT655511 PGP655511 PQL655511 QAH655511 QKD655511 QTZ655511 RDV655511 RNR655511 RXN655511 SHJ655511 SRF655511 TBB655511 TKX655511 TUT655511 UEP655511 UOL655511 UYH655511 VID655511 VRZ655511 WBV655511 WLR655511 WVN655511 G721047 JB721047 SX721047 ACT721047 AMP721047 AWL721047 BGH721047 BQD721047 BZZ721047 CJV721047 CTR721047 DDN721047 DNJ721047 DXF721047 EHB721047 EQX721047 FAT721047 FKP721047 FUL721047 GEH721047 GOD721047 GXZ721047 HHV721047 HRR721047 IBN721047 ILJ721047 IVF721047 JFB721047 JOX721047 JYT721047 KIP721047 KSL721047 LCH721047 LMD721047 LVZ721047 MFV721047 MPR721047 MZN721047 NJJ721047 NTF721047 ODB721047 OMX721047 OWT721047 PGP721047 PQL721047 QAH721047 QKD721047 QTZ721047 RDV721047 RNR721047 RXN721047 SHJ721047 SRF721047 TBB721047 TKX721047 TUT721047 UEP721047 UOL721047 UYH721047 VID721047 VRZ721047 WBV721047 WLR721047 WVN721047 G786583 JB786583 SX786583 ACT786583 AMP786583 AWL786583 BGH786583 BQD786583 BZZ786583 CJV786583 CTR786583 DDN786583 DNJ786583 DXF786583 EHB786583 EQX786583 FAT786583 FKP786583 FUL786583 GEH786583 GOD786583 GXZ786583 HHV786583 HRR786583 IBN786583 ILJ786583 IVF786583 JFB786583 JOX786583 JYT786583 KIP786583 KSL786583 LCH786583 LMD786583 LVZ786583 MFV786583 MPR786583 MZN786583 NJJ786583 NTF786583 ODB786583 OMX786583 OWT786583 PGP786583 PQL786583 QAH786583 QKD786583 QTZ786583 RDV786583 RNR786583 RXN786583 SHJ786583 SRF786583 TBB786583 TKX786583 TUT786583 UEP786583 UOL786583 UYH786583 VID786583 VRZ786583 WBV786583 WLR786583 WVN786583 G852119 JB852119 SX852119 ACT852119 AMP852119 AWL852119 BGH852119 BQD852119 BZZ852119 CJV852119 CTR852119 DDN852119 DNJ852119 DXF852119 EHB852119 EQX852119 FAT852119 FKP852119 FUL852119 GEH852119 GOD852119 GXZ852119 HHV852119 HRR852119 IBN852119 ILJ852119 IVF852119 JFB852119 JOX852119 JYT852119 KIP852119 KSL852119 LCH852119 LMD852119 LVZ852119 MFV852119 MPR852119 MZN852119 NJJ852119 NTF852119 ODB852119 OMX852119 OWT852119 PGP852119 PQL852119 QAH852119 QKD852119 QTZ852119 RDV852119 RNR852119 RXN852119 SHJ852119 SRF852119 TBB852119 TKX852119 TUT852119 UEP852119 UOL852119 UYH852119 VID852119 VRZ852119 WBV852119 WLR852119 WVN852119 G917655 JB917655 SX917655 ACT917655 AMP917655 AWL917655 BGH917655 BQD917655 BZZ917655 CJV917655 CTR917655 DDN917655 DNJ917655 DXF917655 EHB917655 EQX917655 FAT917655 FKP917655 FUL917655 GEH917655 GOD917655 GXZ917655 HHV917655 HRR917655 IBN917655 ILJ917655 IVF917655 JFB917655 JOX917655 JYT917655 KIP917655 KSL917655 LCH917655 LMD917655 LVZ917655 MFV917655 MPR917655 MZN917655 NJJ917655 NTF917655 ODB917655 OMX917655 OWT917655 PGP917655 PQL917655 QAH917655 QKD917655 QTZ917655 RDV917655 RNR917655 RXN917655 SHJ917655 SRF917655 TBB917655 TKX917655 TUT917655 UEP917655 UOL917655 UYH917655 VID917655 VRZ917655 WBV917655 WLR917655 WVN917655 G983191 JB983191 SX983191 ACT983191 AMP983191 AWL983191 BGH983191 BQD983191 BZZ983191 CJV983191 CTR983191 DDN983191 DNJ983191 DXF983191 EHB983191 EQX983191 FAT983191 FKP983191 FUL983191 GEH983191 GOD983191 GXZ983191 HHV983191 HRR983191 IBN983191 ILJ983191 IVF983191 JFB983191 JOX983191 JYT983191 KIP983191 KSL983191 LCH983191 LMD983191 LVZ983191 MFV983191 MPR983191 MZN983191 NJJ983191 NTF983191 ODB983191 OMX983191 OWT983191 PGP983191 PQL983191 QAH983191 QKD983191 QTZ983191 RDV983191 RNR983191 RXN983191 SHJ983191 SRF983191 TBB983191 TKX983191 TUT983191 UEP983191 UOL983191 UYH983191 VID983191 VRZ983191 WBV983191 WLR983191 WVN983191">
      <formula1>AND(OR(G151=0, G151&gt;50),G165=0)</formula1>
    </dataValidation>
    <dataValidation type="custom" operator="greaterThan" showInputMessage="1" showErrorMessage="1" errorTitle="eee" sqref="D13:D55 IX13:IY55 ST13:SU55 ACP13:ACQ55 AML13:AMM55 AWH13:AWI55 BGD13:BGE55 BPZ13:BQA55 BZV13:BZW55 CJR13:CJS55 CTN13:CTO55 DDJ13:DDK55 DNF13:DNG55 DXB13:DXC55 EGX13:EGY55 EQT13:EQU55 FAP13:FAQ55 FKL13:FKM55 FUH13:FUI55 GED13:GEE55 GNZ13:GOA55 GXV13:GXW55 HHR13:HHS55 HRN13:HRO55 IBJ13:IBK55 ILF13:ILG55 IVB13:IVC55 JEX13:JEY55 JOT13:JOU55 JYP13:JYQ55 KIL13:KIM55 KSH13:KSI55 LCD13:LCE55 LLZ13:LMA55 LVV13:LVW55 MFR13:MFS55 MPN13:MPO55 MZJ13:MZK55 NJF13:NJG55 NTB13:NTC55 OCX13:OCY55 OMT13:OMU55 OWP13:OWQ55 PGL13:PGM55 PQH13:PQI55 QAD13:QAE55 QJZ13:QKA55 QTV13:QTW55 RDR13:RDS55 RNN13:RNO55 RXJ13:RXK55 SHF13:SHG55 SRB13:SRC55 TAX13:TAY55 TKT13:TKU55 TUP13:TUQ55 UEL13:UEM55 UOH13:UOI55 UYD13:UYE55 VHZ13:VIA55 VRV13:VRW55 WBR13:WBS55 WLN13:WLO55 WVJ13:WVK55 D65549:D65591 IX65549:IY65591 ST65549:SU65591 ACP65549:ACQ65591 AML65549:AMM65591 AWH65549:AWI65591 BGD65549:BGE65591 BPZ65549:BQA65591 BZV65549:BZW65591 CJR65549:CJS65591 CTN65549:CTO65591 DDJ65549:DDK65591 DNF65549:DNG65591 DXB65549:DXC65591 EGX65549:EGY65591 EQT65549:EQU65591 FAP65549:FAQ65591 FKL65549:FKM65591 FUH65549:FUI65591 GED65549:GEE65591 GNZ65549:GOA65591 GXV65549:GXW65591 HHR65549:HHS65591 HRN65549:HRO65591 IBJ65549:IBK65591 ILF65549:ILG65591 IVB65549:IVC65591 JEX65549:JEY65591 JOT65549:JOU65591 JYP65549:JYQ65591 KIL65549:KIM65591 KSH65549:KSI65591 LCD65549:LCE65591 LLZ65549:LMA65591 LVV65549:LVW65591 MFR65549:MFS65591 MPN65549:MPO65591 MZJ65549:MZK65591 NJF65549:NJG65591 NTB65549:NTC65591 OCX65549:OCY65591 OMT65549:OMU65591 OWP65549:OWQ65591 PGL65549:PGM65591 PQH65549:PQI65591 QAD65549:QAE65591 QJZ65549:QKA65591 QTV65549:QTW65591 RDR65549:RDS65591 RNN65549:RNO65591 RXJ65549:RXK65591 SHF65549:SHG65591 SRB65549:SRC65591 TAX65549:TAY65591 TKT65549:TKU65591 TUP65549:TUQ65591 UEL65549:UEM65591 UOH65549:UOI65591 UYD65549:UYE65591 VHZ65549:VIA65591 VRV65549:VRW65591 WBR65549:WBS65591 WLN65549:WLO65591 WVJ65549:WVK65591 D131085:D131127 IX131085:IY131127 ST131085:SU131127 ACP131085:ACQ131127 AML131085:AMM131127 AWH131085:AWI131127 BGD131085:BGE131127 BPZ131085:BQA131127 BZV131085:BZW131127 CJR131085:CJS131127 CTN131085:CTO131127 DDJ131085:DDK131127 DNF131085:DNG131127 DXB131085:DXC131127 EGX131085:EGY131127 EQT131085:EQU131127 FAP131085:FAQ131127 FKL131085:FKM131127 FUH131085:FUI131127 GED131085:GEE131127 GNZ131085:GOA131127 GXV131085:GXW131127 HHR131085:HHS131127 HRN131085:HRO131127 IBJ131085:IBK131127 ILF131085:ILG131127 IVB131085:IVC131127 JEX131085:JEY131127 JOT131085:JOU131127 JYP131085:JYQ131127 KIL131085:KIM131127 KSH131085:KSI131127 LCD131085:LCE131127 LLZ131085:LMA131127 LVV131085:LVW131127 MFR131085:MFS131127 MPN131085:MPO131127 MZJ131085:MZK131127 NJF131085:NJG131127 NTB131085:NTC131127 OCX131085:OCY131127 OMT131085:OMU131127 OWP131085:OWQ131127 PGL131085:PGM131127 PQH131085:PQI131127 QAD131085:QAE131127 QJZ131085:QKA131127 QTV131085:QTW131127 RDR131085:RDS131127 RNN131085:RNO131127 RXJ131085:RXK131127 SHF131085:SHG131127 SRB131085:SRC131127 TAX131085:TAY131127 TKT131085:TKU131127 TUP131085:TUQ131127 UEL131085:UEM131127 UOH131085:UOI131127 UYD131085:UYE131127 VHZ131085:VIA131127 VRV131085:VRW131127 WBR131085:WBS131127 WLN131085:WLO131127 WVJ131085:WVK131127 D196621:D196663 IX196621:IY196663 ST196621:SU196663 ACP196621:ACQ196663 AML196621:AMM196663 AWH196621:AWI196663 BGD196621:BGE196663 BPZ196621:BQA196663 BZV196621:BZW196663 CJR196621:CJS196663 CTN196621:CTO196663 DDJ196621:DDK196663 DNF196621:DNG196663 DXB196621:DXC196663 EGX196621:EGY196663 EQT196621:EQU196663 FAP196621:FAQ196663 FKL196621:FKM196663 FUH196621:FUI196663 GED196621:GEE196663 GNZ196621:GOA196663 GXV196621:GXW196663 HHR196621:HHS196663 HRN196621:HRO196663 IBJ196621:IBK196663 ILF196621:ILG196663 IVB196621:IVC196663 JEX196621:JEY196663 JOT196621:JOU196663 JYP196621:JYQ196663 KIL196621:KIM196663 KSH196621:KSI196663 LCD196621:LCE196663 LLZ196621:LMA196663 LVV196621:LVW196663 MFR196621:MFS196663 MPN196621:MPO196663 MZJ196621:MZK196663 NJF196621:NJG196663 NTB196621:NTC196663 OCX196621:OCY196663 OMT196621:OMU196663 OWP196621:OWQ196663 PGL196621:PGM196663 PQH196621:PQI196663 QAD196621:QAE196663 QJZ196621:QKA196663 QTV196621:QTW196663 RDR196621:RDS196663 RNN196621:RNO196663 RXJ196621:RXK196663 SHF196621:SHG196663 SRB196621:SRC196663 TAX196621:TAY196663 TKT196621:TKU196663 TUP196621:TUQ196663 UEL196621:UEM196663 UOH196621:UOI196663 UYD196621:UYE196663 VHZ196621:VIA196663 VRV196621:VRW196663 WBR196621:WBS196663 WLN196621:WLO196663 WVJ196621:WVK196663 D262157:D262199 IX262157:IY262199 ST262157:SU262199 ACP262157:ACQ262199 AML262157:AMM262199 AWH262157:AWI262199 BGD262157:BGE262199 BPZ262157:BQA262199 BZV262157:BZW262199 CJR262157:CJS262199 CTN262157:CTO262199 DDJ262157:DDK262199 DNF262157:DNG262199 DXB262157:DXC262199 EGX262157:EGY262199 EQT262157:EQU262199 FAP262157:FAQ262199 FKL262157:FKM262199 FUH262157:FUI262199 GED262157:GEE262199 GNZ262157:GOA262199 GXV262157:GXW262199 HHR262157:HHS262199 HRN262157:HRO262199 IBJ262157:IBK262199 ILF262157:ILG262199 IVB262157:IVC262199 JEX262157:JEY262199 JOT262157:JOU262199 JYP262157:JYQ262199 KIL262157:KIM262199 KSH262157:KSI262199 LCD262157:LCE262199 LLZ262157:LMA262199 LVV262157:LVW262199 MFR262157:MFS262199 MPN262157:MPO262199 MZJ262157:MZK262199 NJF262157:NJG262199 NTB262157:NTC262199 OCX262157:OCY262199 OMT262157:OMU262199 OWP262157:OWQ262199 PGL262157:PGM262199 PQH262157:PQI262199 QAD262157:QAE262199 QJZ262157:QKA262199 QTV262157:QTW262199 RDR262157:RDS262199 RNN262157:RNO262199 RXJ262157:RXK262199 SHF262157:SHG262199 SRB262157:SRC262199 TAX262157:TAY262199 TKT262157:TKU262199 TUP262157:TUQ262199 UEL262157:UEM262199 UOH262157:UOI262199 UYD262157:UYE262199 VHZ262157:VIA262199 VRV262157:VRW262199 WBR262157:WBS262199 WLN262157:WLO262199 WVJ262157:WVK262199 D327693:D327735 IX327693:IY327735 ST327693:SU327735 ACP327693:ACQ327735 AML327693:AMM327735 AWH327693:AWI327735 BGD327693:BGE327735 BPZ327693:BQA327735 BZV327693:BZW327735 CJR327693:CJS327735 CTN327693:CTO327735 DDJ327693:DDK327735 DNF327693:DNG327735 DXB327693:DXC327735 EGX327693:EGY327735 EQT327693:EQU327735 FAP327693:FAQ327735 FKL327693:FKM327735 FUH327693:FUI327735 GED327693:GEE327735 GNZ327693:GOA327735 GXV327693:GXW327735 HHR327693:HHS327735 HRN327693:HRO327735 IBJ327693:IBK327735 ILF327693:ILG327735 IVB327693:IVC327735 JEX327693:JEY327735 JOT327693:JOU327735 JYP327693:JYQ327735 KIL327693:KIM327735 KSH327693:KSI327735 LCD327693:LCE327735 LLZ327693:LMA327735 LVV327693:LVW327735 MFR327693:MFS327735 MPN327693:MPO327735 MZJ327693:MZK327735 NJF327693:NJG327735 NTB327693:NTC327735 OCX327693:OCY327735 OMT327693:OMU327735 OWP327693:OWQ327735 PGL327693:PGM327735 PQH327693:PQI327735 QAD327693:QAE327735 QJZ327693:QKA327735 QTV327693:QTW327735 RDR327693:RDS327735 RNN327693:RNO327735 RXJ327693:RXK327735 SHF327693:SHG327735 SRB327693:SRC327735 TAX327693:TAY327735 TKT327693:TKU327735 TUP327693:TUQ327735 UEL327693:UEM327735 UOH327693:UOI327735 UYD327693:UYE327735 VHZ327693:VIA327735 VRV327693:VRW327735 WBR327693:WBS327735 WLN327693:WLO327735 WVJ327693:WVK327735 D393229:D393271 IX393229:IY393271 ST393229:SU393271 ACP393229:ACQ393271 AML393229:AMM393271 AWH393229:AWI393271 BGD393229:BGE393271 BPZ393229:BQA393271 BZV393229:BZW393271 CJR393229:CJS393271 CTN393229:CTO393271 DDJ393229:DDK393271 DNF393229:DNG393271 DXB393229:DXC393271 EGX393229:EGY393271 EQT393229:EQU393271 FAP393229:FAQ393271 FKL393229:FKM393271 FUH393229:FUI393271 GED393229:GEE393271 GNZ393229:GOA393271 GXV393229:GXW393271 HHR393229:HHS393271 HRN393229:HRO393271 IBJ393229:IBK393271 ILF393229:ILG393271 IVB393229:IVC393271 JEX393229:JEY393271 JOT393229:JOU393271 JYP393229:JYQ393271 KIL393229:KIM393271 KSH393229:KSI393271 LCD393229:LCE393271 LLZ393229:LMA393271 LVV393229:LVW393271 MFR393229:MFS393271 MPN393229:MPO393271 MZJ393229:MZK393271 NJF393229:NJG393271 NTB393229:NTC393271 OCX393229:OCY393271 OMT393229:OMU393271 OWP393229:OWQ393271 PGL393229:PGM393271 PQH393229:PQI393271 QAD393229:QAE393271 QJZ393229:QKA393271 QTV393229:QTW393271 RDR393229:RDS393271 RNN393229:RNO393271 RXJ393229:RXK393271 SHF393229:SHG393271 SRB393229:SRC393271 TAX393229:TAY393271 TKT393229:TKU393271 TUP393229:TUQ393271 UEL393229:UEM393271 UOH393229:UOI393271 UYD393229:UYE393271 VHZ393229:VIA393271 VRV393229:VRW393271 WBR393229:WBS393271 WLN393229:WLO393271 WVJ393229:WVK393271 D458765:D458807 IX458765:IY458807 ST458765:SU458807 ACP458765:ACQ458807 AML458765:AMM458807 AWH458765:AWI458807 BGD458765:BGE458807 BPZ458765:BQA458807 BZV458765:BZW458807 CJR458765:CJS458807 CTN458765:CTO458807 DDJ458765:DDK458807 DNF458765:DNG458807 DXB458765:DXC458807 EGX458765:EGY458807 EQT458765:EQU458807 FAP458765:FAQ458807 FKL458765:FKM458807 FUH458765:FUI458807 GED458765:GEE458807 GNZ458765:GOA458807 GXV458765:GXW458807 HHR458765:HHS458807 HRN458765:HRO458807 IBJ458765:IBK458807 ILF458765:ILG458807 IVB458765:IVC458807 JEX458765:JEY458807 JOT458765:JOU458807 JYP458765:JYQ458807 KIL458765:KIM458807 KSH458765:KSI458807 LCD458765:LCE458807 LLZ458765:LMA458807 LVV458765:LVW458807 MFR458765:MFS458807 MPN458765:MPO458807 MZJ458765:MZK458807 NJF458765:NJG458807 NTB458765:NTC458807 OCX458765:OCY458807 OMT458765:OMU458807 OWP458765:OWQ458807 PGL458765:PGM458807 PQH458765:PQI458807 QAD458765:QAE458807 QJZ458765:QKA458807 QTV458765:QTW458807 RDR458765:RDS458807 RNN458765:RNO458807 RXJ458765:RXK458807 SHF458765:SHG458807 SRB458765:SRC458807 TAX458765:TAY458807 TKT458765:TKU458807 TUP458765:TUQ458807 UEL458765:UEM458807 UOH458765:UOI458807 UYD458765:UYE458807 VHZ458765:VIA458807 VRV458765:VRW458807 WBR458765:WBS458807 WLN458765:WLO458807 WVJ458765:WVK458807 D524301:D524343 IX524301:IY524343 ST524301:SU524343 ACP524301:ACQ524343 AML524301:AMM524343 AWH524301:AWI524343 BGD524301:BGE524343 BPZ524301:BQA524343 BZV524301:BZW524343 CJR524301:CJS524343 CTN524301:CTO524343 DDJ524301:DDK524343 DNF524301:DNG524343 DXB524301:DXC524343 EGX524301:EGY524343 EQT524301:EQU524343 FAP524301:FAQ524343 FKL524301:FKM524343 FUH524301:FUI524343 GED524301:GEE524343 GNZ524301:GOA524343 GXV524301:GXW524343 HHR524301:HHS524343 HRN524301:HRO524343 IBJ524301:IBK524343 ILF524301:ILG524343 IVB524301:IVC524343 JEX524301:JEY524343 JOT524301:JOU524343 JYP524301:JYQ524343 KIL524301:KIM524343 KSH524301:KSI524343 LCD524301:LCE524343 LLZ524301:LMA524343 LVV524301:LVW524343 MFR524301:MFS524343 MPN524301:MPO524343 MZJ524301:MZK524343 NJF524301:NJG524343 NTB524301:NTC524343 OCX524301:OCY524343 OMT524301:OMU524343 OWP524301:OWQ524343 PGL524301:PGM524343 PQH524301:PQI524343 QAD524301:QAE524343 QJZ524301:QKA524343 QTV524301:QTW524343 RDR524301:RDS524343 RNN524301:RNO524343 RXJ524301:RXK524343 SHF524301:SHG524343 SRB524301:SRC524343 TAX524301:TAY524343 TKT524301:TKU524343 TUP524301:TUQ524343 UEL524301:UEM524343 UOH524301:UOI524343 UYD524301:UYE524343 VHZ524301:VIA524343 VRV524301:VRW524343 WBR524301:WBS524343 WLN524301:WLO524343 WVJ524301:WVK524343 D589837:D589879 IX589837:IY589879 ST589837:SU589879 ACP589837:ACQ589879 AML589837:AMM589879 AWH589837:AWI589879 BGD589837:BGE589879 BPZ589837:BQA589879 BZV589837:BZW589879 CJR589837:CJS589879 CTN589837:CTO589879 DDJ589837:DDK589879 DNF589837:DNG589879 DXB589837:DXC589879 EGX589837:EGY589879 EQT589837:EQU589879 FAP589837:FAQ589879 FKL589837:FKM589879 FUH589837:FUI589879 GED589837:GEE589879 GNZ589837:GOA589879 GXV589837:GXW589879 HHR589837:HHS589879 HRN589837:HRO589879 IBJ589837:IBK589879 ILF589837:ILG589879 IVB589837:IVC589879 JEX589837:JEY589879 JOT589837:JOU589879 JYP589837:JYQ589879 KIL589837:KIM589879 KSH589837:KSI589879 LCD589837:LCE589879 LLZ589837:LMA589879 LVV589837:LVW589879 MFR589837:MFS589879 MPN589837:MPO589879 MZJ589837:MZK589879 NJF589837:NJG589879 NTB589837:NTC589879 OCX589837:OCY589879 OMT589837:OMU589879 OWP589837:OWQ589879 PGL589837:PGM589879 PQH589837:PQI589879 QAD589837:QAE589879 QJZ589837:QKA589879 QTV589837:QTW589879 RDR589837:RDS589879 RNN589837:RNO589879 RXJ589837:RXK589879 SHF589837:SHG589879 SRB589837:SRC589879 TAX589837:TAY589879 TKT589837:TKU589879 TUP589837:TUQ589879 UEL589837:UEM589879 UOH589837:UOI589879 UYD589837:UYE589879 VHZ589837:VIA589879 VRV589837:VRW589879 WBR589837:WBS589879 WLN589837:WLO589879 WVJ589837:WVK589879 D655373:D655415 IX655373:IY655415 ST655373:SU655415 ACP655373:ACQ655415 AML655373:AMM655415 AWH655373:AWI655415 BGD655373:BGE655415 BPZ655373:BQA655415 BZV655373:BZW655415 CJR655373:CJS655415 CTN655373:CTO655415 DDJ655373:DDK655415 DNF655373:DNG655415 DXB655373:DXC655415 EGX655373:EGY655415 EQT655373:EQU655415 FAP655373:FAQ655415 FKL655373:FKM655415 FUH655373:FUI655415 GED655373:GEE655415 GNZ655373:GOA655415 GXV655373:GXW655415 HHR655373:HHS655415 HRN655373:HRO655415 IBJ655373:IBK655415 ILF655373:ILG655415 IVB655373:IVC655415 JEX655373:JEY655415 JOT655373:JOU655415 JYP655373:JYQ655415 KIL655373:KIM655415 KSH655373:KSI655415 LCD655373:LCE655415 LLZ655373:LMA655415 LVV655373:LVW655415 MFR655373:MFS655415 MPN655373:MPO655415 MZJ655373:MZK655415 NJF655373:NJG655415 NTB655373:NTC655415 OCX655373:OCY655415 OMT655373:OMU655415 OWP655373:OWQ655415 PGL655373:PGM655415 PQH655373:PQI655415 QAD655373:QAE655415 QJZ655373:QKA655415 QTV655373:QTW655415 RDR655373:RDS655415 RNN655373:RNO655415 RXJ655373:RXK655415 SHF655373:SHG655415 SRB655373:SRC655415 TAX655373:TAY655415 TKT655373:TKU655415 TUP655373:TUQ655415 UEL655373:UEM655415 UOH655373:UOI655415 UYD655373:UYE655415 VHZ655373:VIA655415 VRV655373:VRW655415 WBR655373:WBS655415 WLN655373:WLO655415 WVJ655373:WVK655415 D720909:D720951 IX720909:IY720951 ST720909:SU720951 ACP720909:ACQ720951 AML720909:AMM720951 AWH720909:AWI720951 BGD720909:BGE720951 BPZ720909:BQA720951 BZV720909:BZW720951 CJR720909:CJS720951 CTN720909:CTO720951 DDJ720909:DDK720951 DNF720909:DNG720951 DXB720909:DXC720951 EGX720909:EGY720951 EQT720909:EQU720951 FAP720909:FAQ720951 FKL720909:FKM720951 FUH720909:FUI720951 GED720909:GEE720951 GNZ720909:GOA720951 GXV720909:GXW720951 HHR720909:HHS720951 HRN720909:HRO720951 IBJ720909:IBK720951 ILF720909:ILG720951 IVB720909:IVC720951 JEX720909:JEY720951 JOT720909:JOU720951 JYP720909:JYQ720951 KIL720909:KIM720951 KSH720909:KSI720951 LCD720909:LCE720951 LLZ720909:LMA720951 LVV720909:LVW720951 MFR720909:MFS720951 MPN720909:MPO720951 MZJ720909:MZK720951 NJF720909:NJG720951 NTB720909:NTC720951 OCX720909:OCY720951 OMT720909:OMU720951 OWP720909:OWQ720951 PGL720909:PGM720951 PQH720909:PQI720951 QAD720909:QAE720951 QJZ720909:QKA720951 QTV720909:QTW720951 RDR720909:RDS720951 RNN720909:RNO720951 RXJ720909:RXK720951 SHF720909:SHG720951 SRB720909:SRC720951 TAX720909:TAY720951 TKT720909:TKU720951 TUP720909:TUQ720951 UEL720909:UEM720951 UOH720909:UOI720951 UYD720909:UYE720951 VHZ720909:VIA720951 VRV720909:VRW720951 WBR720909:WBS720951 WLN720909:WLO720951 WVJ720909:WVK720951 D786445:D786487 IX786445:IY786487 ST786445:SU786487 ACP786445:ACQ786487 AML786445:AMM786487 AWH786445:AWI786487 BGD786445:BGE786487 BPZ786445:BQA786487 BZV786445:BZW786487 CJR786445:CJS786487 CTN786445:CTO786487 DDJ786445:DDK786487 DNF786445:DNG786487 DXB786445:DXC786487 EGX786445:EGY786487 EQT786445:EQU786487 FAP786445:FAQ786487 FKL786445:FKM786487 FUH786445:FUI786487 GED786445:GEE786487 GNZ786445:GOA786487 GXV786445:GXW786487 HHR786445:HHS786487 HRN786445:HRO786487 IBJ786445:IBK786487 ILF786445:ILG786487 IVB786445:IVC786487 JEX786445:JEY786487 JOT786445:JOU786487 JYP786445:JYQ786487 KIL786445:KIM786487 KSH786445:KSI786487 LCD786445:LCE786487 LLZ786445:LMA786487 LVV786445:LVW786487 MFR786445:MFS786487 MPN786445:MPO786487 MZJ786445:MZK786487 NJF786445:NJG786487 NTB786445:NTC786487 OCX786445:OCY786487 OMT786445:OMU786487 OWP786445:OWQ786487 PGL786445:PGM786487 PQH786445:PQI786487 QAD786445:QAE786487 QJZ786445:QKA786487 QTV786445:QTW786487 RDR786445:RDS786487 RNN786445:RNO786487 RXJ786445:RXK786487 SHF786445:SHG786487 SRB786445:SRC786487 TAX786445:TAY786487 TKT786445:TKU786487 TUP786445:TUQ786487 UEL786445:UEM786487 UOH786445:UOI786487 UYD786445:UYE786487 VHZ786445:VIA786487 VRV786445:VRW786487 WBR786445:WBS786487 WLN786445:WLO786487 WVJ786445:WVK786487 D851981:D852023 IX851981:IY852023 ST851981:SU852023 ACP851981:ACQ852023 AML851981:AMM852023 AWH851981:AWI852023 BGD851981:BGE852023 BPZ851981:BQA852023 BZV851981:BZW852023 CJR851981:CJS852023 CTN851981:CTO852023 DDJ851981:DDK852023 DNF851981:DNG852023 DXB851981:DXC852023 EGX851981:EGY852023 EQT851981:EQU852023 FAP851981:FAQ852023 FKL851981:FKM852023 FUH851981:FUI852023 GED851981:GEE852023 GNZ851981:GOA852023 GXV851981:GXW852023 HHR851981:HHS852023 HRN851981:HRO852023 IBJ851981:IBK852023 ILF851981:ILG852023 IVB851981:IVC852023 JEX851981:JEY852023 JOT851981:JOU852023 JYP851981:JYQ852023 KIL851981:KIM852023 KSH851981:KSI852023 LCD851981:LCE852023 LLZ851981:LMA852023 LVV851981:LVW852023 MFR851981:MFS852023 MPN851981:MPO852023 MZJ851981:MZK852023 NJF851981:NJG852023 NTB851981:NTC852023 OCX851981:OCY852023 OMT851981:OMU852023 OWP851981:OWQ852023 PGL851981:PGM852023 PQH851981:PQI852023 QAD851981:QAE852023 QJZ851981:QKA852023 QTV851981:QTW852023 RDR851981:RDS852023 RNN851981:RNO852023 RXJ851981:RXK852023 SHF851981:SHG852023 SRB851981:SRC852023 TAX851981:TAY852023 TKT851981:TKU852023 TUP851981:TUQ852023 UEL851981:UEM852023 UOH851981:UOI852023 UYD851981:UYE852023 VHZ851981:VIA852023 VRV851981:VRW852023 WBR851981:WBS852023 WLN851981:WLO852023 WVJ851981:WVK852023 D917517:D917559 IX917517:IY917559 ST917517:SU917559 ACP917517:ACQ917559 AML917517:AMM917559 AWH917517:AWI917559 BGD917517:BGE917559 BPZ917517:BQA917559 BZV917517:BZW917559 CJR917517:CJS917559 CTN917517:CTO917559 DDJ917517:DDK917559 DNF917517:DNG917559 DXB917517:DXC917559 EGX917517:EGY917559 EQT917517:EQU917559 FAP917517:FAQ917559 FKL917517:FKM917559 FUH917517:FUI917559 GED917517:GEE917559 GNZ917517:GOA917559 GXV917517:GXW917559 HHR917517:HHS917559 HRN917517:HRO917559 IBJ917517:IBK917559 ILF917517:ILG917559 IVB917517:IVC917559 JEX917517:JEY917559 JOT917517:JOU917559 JYP917517:JYQ917559 KIL917517:KIM917559 KSH917517:KSI917559 LCD917517:LCE917559 LLZ917517:LMA917559 LVV917517:LVW917559 MFR917517:MFS917559 MPN917517:MPO917559 MZJ917517:MZK917559 NJF917517:NJG917559 NTB917517:NTC917559 OCX917517:OCY917559 OMT917517:OMU917559 OWP917517:OWQ917559 PGL917517:PGM917559 PQH917517:PQI917559 QAD917517:QAE917559 QJZ917517:QKA917559 QTV917517:QTW917559 RDR917517:RDS917559 RNN917517:RNO917559 RXJ917517:RXK917559 SHF917517:SHG917559 SRB917517:SRC917559 TAX917517:TAY917559 TKT917517:TKU917559 TUP917517:TUQ917559 UEL917517:UEM917559 UOH917517:UOI917559 UYD917517:UYE917559 VHZ917517:VIA917559 VRV917517:VRW917559 WBR917517:WBS917559 WLN917517:WLO917559 WVJ917517:WVK917559 D983053:D983095 IX983053:IY983095 ST983053:SU983095 ACP983053:ACQ983095 AML983053:AMM983095 AWH983053:AWI983095 BGD983053:BGE983095 BPZ983053:BQA983095 BZV983053:BZW983095 CJR983053:CJS983095 CTN983053:CTO983095 DDJ983053:DDK983095 DNF983053:DNG983095 DXB983053:DXC983095 EGX983053:EGY983095 EQT983053:EQU983095 FAP983053:FAQ983095 FKL983053:FKM983095 FUH983053:FUI983095 GED983053:GEE983095 GNZ983053:GOA983095 GXV983053:GXW983095 HHR983053:HHS983095 HRN983053:HRO983095 IBJ983053:IBK983095 ILF983053:ILG983095 IVB983053:IVC983095 JEX983053:JEY983095 JOT983053:JOU983095 JYP983053:JYQ983095 KIL983053:KIM983095 KSH983053:KSI983095 LCD983053:LCE983095 LLZ983053:LMA983095 LVV983053:LVW983095 MFR983053:MFS983095 MPN983053:MPO983095 MZJ983053:MZK983095 NJF983053:NJG983095 NTB983053:NTC983095 OCX983053:OCY983095 OMT983053:OMU983095 OWP983053:OWQ983095 PGL983053:PGM983095 PQH983053:PQI983095 QAD983053:QAE983095 QJZ983053:QKA983095 QTV983053:QTW983095 RDR983053:RDS983095 RNN983053:RNO983095 RXJ983053:RXK983095 SHF983053:SHG983095 SRB983053:SRC983095 TAX983053:TAY983095 TKT983053:TKU983095 TUP983053:TUQ983095 UEL983053:UEM983095 UOH983053:UOI983095 UYD983053:UYE983095 VHZ983053:VIA983095 VRV983053:VRW983095 WBR983053:WBS983095 WLN983053:WLO983095 WVJ983053:WVK983095 D62:D155 IX62:IY155 ST62:SU155 ACP62:ACQ155 AML62:AMM155 AWH62:AWI155 BGD62:BGE155 BPZ62:BQA155 BZV62:BZW155 CJR62:CJS155 CTN62:CTO155 DDJ62:DDK155 DNF62:DNG155 DXB62:DXC155 EGX62:EGY155 EQT62:EQU155 FAP62:FAQ155 FKL62:FKM155 FUH62:FUI155 GED62:GEE155 GNZ62:GOA155 GXV62:GXW155 HHR62:HHS155 HRN62:HRO155 IBJ62:IBK155 ILF62:ILG155 IVB62:IVC155 JEX62:JEY155 JOT62:JOU155 JYP62:JYQ155 KIL62:KIM155 KSH62:KSI155 LCD62:LCE155 LLZ62:LMA155 LVV62:LVW155 MFR62:MFS155 MPN62:MPO155 MZJ62:MZK155 NJF62:NJG155 NTB62:NTC155 OCX62:OCY155 OMT62:OMU155 OWP62:OWQ155 PGL62:PGM155 PQH62:PQI155 QAD62:QAE155 QJZ62:QKA155 QTV62:QTW155 RDR62:RDS155 RNN62:RNO155 RXJ62:RXK155 SHF62:SHG155 SRB62:SRC155 TAX62:TAY155 TKT62:TKU155 TUP62:TUQ155 UEL62:UEM155 UOH62:UOI155 UYD62:UYE155 VHZ62:VIA155 VRV62:VRW155 WBR62:WBS155 WLN62:WLO155 WVJ62:WVK155 D65598:D65691 IX65598:IY65691 ST65598:SU65691 ACP65598:ACQ65691 AML65598:AMM65691 AWH65598:AWI65691 BGD65598:BGE65691 BPZ65598:BQA65691 BZV65598:BZW65691 CJR65598:CJS65691 CTN65598:CTO65691 DDJ65598:DDK65691 DNF65598:DNG65691 DXB65598:DXC65691 EGX65598:EGY65691 EQT65598:EQU65691 FAP65598:FAQ65691 FKL65598:FKM65691 FUH65598:FUI65691 GED65598:GEE65691 GNZ65598:GOA65691 GXV65598:GXW65691 HHR65598:HHS65691 HRN65598:HRO65691 IBJ65598:IBK65691 ILF65598:ILG65691 IVB65598:IVC65691 JEX65598:JEY65691 JOT65598:JOU65691 JYP65598:JYQ65691 KIL65598:KIM65691 KSH65598:KSI65691 LCD65598:LCE65691 LLZ65598:LMA65691 LVV65598:LVW65691 MFR65598:MFS65691 MPN65598:MPO65691 MZJ65598:MZK65691 NJF65598:NJG65691 NTB65598:NTC65691 OCX65598:OCY65691 OMT65598:OMU65691 OWP65598:OWQ65691 PGL65598:PGM65691 PQH65598:PQI65691 QAD65598:QAE65691 QJZ65598:QKA65691 QTV65598:QTW65691 RDR65598:RDS65691 RNN65598:RNO65691 RXJ65598:RXK65691 SHF65598:SHG65691 SRB65598:SRC65691 TAX65598:TAY65691 TKT65598:TKU65691 TUP65598:TUQ65691 UEL65598:UEM65691 UOH65598:UOI65691 UYD65598:UYE65691 VHZ65598:VIA65691 VRV65598:VRW65691 WBR65598:WBS65691 WLN65598:WLO65691 WVJ65598:WVK65691 D131134:D131227 IX131134:IY131227 ST131134:SU131227 ACP131134:ACQ131227 AML131134:AMM131227 AWH131134:AWI131227 BGD131134:BGE131227 BPZ131134:BQA131227 BZV131134:BZW131227 CJR131134:CJS131227 CTN131134:CTO131227 DDJ131134:DDK131227 DNF131134:DNG131227 DXB131134:DXC131227 EGX131134:EGY131227 EQT131134:EQU131227 FAP131134:FAQ131227 FKL131134:FKM131227 FUH131134:FUI131227 GED131134:GEE131227 GNZ131134:GOA131227 GXV131134:GXW131227 HHR131134:HHS131227 HRN131134:HRO131227 IBJ131134:IBK131227 ILF131134:ILG131227 IVB131134:IVC131227 JEX131134:JEY131227 JOT131134:JOU131227 JYP131134:JYQ131227 KIL131134:KIM131227 KSH131134:KSI131227 LCD131134:LCE131227 LLZ131134:LMA131227 LVV131134:LVW131227 MFR131134:MFS131227 MPN131134:MPO131227 MZJ131134:MZK131227 NJF131134:NJG131227 NTB131134:NTC131227 OCX131134:OCY131227 OMT131134:OMU131227 OWP131134:OWQ131227 PGL131134:PGM131227 PQH131134:PQI131227 QAD131134:QAE131227 QJZ131134:QKA131227 QTV131134:QTW131227 RDR131134:RDS131227 RNN131134:RNO131227 RXJ131134:RXK131227 SHF131134:SHG131227 SRB131134:SRC131227 TAX131134:TAY131227 TKT131134:TKU131227 TUP131134:TUQ131227 UEL131134:UEM131227 UOH131134:UOI131227 UYD131134:UYE131227 VHZ131134:VIA131227 VRV131134:VRW131227 WBR131134:WBS131227 WLN131134:WLO131227 WVJ131134:WVK131227 D196670:D196763 IX196670:IY196763 ST196670:SU196763 ACP196670:ACQ196763 AML196670:AMM196763 AWH196670:AWI196763 BGD196670:BGE196763 BPZ196670:BQA196763 BZV196670:BZW196763 CJR196670:CJS196763 CTN196670:CTO196763 DDJ196670:DDK196763 DNF196670:DNG196763 DXB196670:DXC196763 EGX196670:EGY196763 EQT196670:EQU196763 FAP196670:FAQ196763 FKL196670:FKM196763 FUH196670:FUI196763 GED196670:GEE196763 GNZ196670:GOA196763 GXV196670:GXW196763 HHR196670:HHS196763 HRN196670:HRO196763 IBJ196670:IBK196763 ILF196670:ILG196763 IVB196670:IVC196763 JEX196670:JEY196763 JOT196670:JOU196763 JYP196670:JYQ196763 KIL196670:KIM196763 KSH196670:KSI196763 LCD196670:LCE196763 LLZ196670:LMA196763 LVV196670:LVW196763 MFR196670:MFS196763 MPN196670:MPO196763 MZJ196670:MZK196763 NJF196670:NJG196763 NTB196670:NTC196763 OCX196670:OCY196763 OMT196670:OMU196763 OWP196670:OWQ196763 PGL196670:PGM196763 PQH196670:PQI196763 QAD196670:QAE196763 QJZ196670:QKA196763 QTV196670:QTW196763 RDR196670:RDS196763 RNN196670:RNO196763 RXJ196670:RXK196763 SHF196670:SHG196763 SRB196670:SRC196763 TAX196670:TAY196763 TKT196670:TKU196763 TUP196670:TUQ196763 UEL196670:UEM196763 UOH196670:UOI196763 UYD196670:UYE196763 VHZ196670:VIA196763 VRV196670:VRW196763 WBR196670:WBS196763 WLN196670:WLO196763 WVJ196670:WVK196763 D262206:D262299 IX262206:IY262299 ST262206:SU262299 ACP262206:ACQ262299 AML262206:AMM262299 AWH262206:AWI262299 BGD262206:BGE262299 BPZ262206:BQA262299 BZV262206:BZW262299 CJR262206:CJS262299 CTN262206:CTO262299 DDJ262206:DDK262299 DNF262206:DNG262299 DXB262206:DXC262299 EGX262206:EGY262299 EQT262206:EQU262299 FAP262206:FAQ262299 FKL262206:FKM262299 FUH262206:FUI262299 GED262206:GEE262299 GNZ262206:GOA262299 GXV262206:GXW262299 HHR262206:HHS262299 HRN262206:HRO262299 IBJ262206:IBK262299 ILF262206:ILG262299 IVB262206:IVC262299 JEX262206:JEY262299 JOT262206:JOU262299 JYP262206:JYQ262299 KIL262206:KIM262299 KSH262206:KSI262299 LCD262206:LCE262299 LLZ262206:LMA262299 LVV262206:LVW262299 MFR262206:MFS262299 MPN262206:MPO262299 MZJ262206:MZK262299 NJF262206:NJG262299 NTB262206:NTC262299 OCX262206:OCY262299 OMT262206:OMU262299 OWP262206:OWQ262299 PGL262206:PGM262299 PQH262206:PQI262299 QAD262206:QAE262299 QJZ262206:QKA262299 QTV262206:QTW262299 RDR262206:RDS262299 RNN262206:RNO262299 RXJ262206:RXK262299 SHF262206:SHG262299 SRB262206:SRC262299 TAX262206:TAY262299 TKT262206:TKU262299 TUP262206:TUQ262299 UEL262206:UEM262299 UOH262206:UOI262299 UYD262206:UYE262299 VHZ262206:VIA262299 VRV262206:VRW262299 WBR262206:WBS262299 WLN262206:WLO262299 WVJ262206:WVK262299 D327742:D327835 IX327742:IY327835 ST327742:SU327835 ACP327742:ACQ327835 AML327742:AMM327835 AWH327742:AWI327835 BGD327742:BGE327835 BPZ327742:BQA327835 BZV327742:BZW327835 CJR327742:CJS327835 CTN327742:CTO327835 DDJ327742:DDK327835 DNF327742:DNG327835 DXB327742:DXC327835 EGX327742:EGY327835 EQT327742:EQU327835 FAP327742:FAQ327835 FKL327742:FKM327835 FUH327742:FUI327835 GED327742:GEE327835 GNZ327742:GOA327835 GXV327742:GXW327835 HHR327742:HHS327835 HRN327742:HRO327835 IBJ327742:IBK327835 ILF327742:ILG327835 IVB327742:IVC327835 JEX327742:JEY327835 JOT327742:JOU327835 JYP327742:JYQ327835 KIL327742:KIM327835 KSH327742:KSI327835 LCD327742:LCE327835 LLZ327742:LMA327835 LVV327742:LVW327835 MFR327742:MFS327835 MPN327742:MPO327835 MZJ327742:MZK327835 NJF327742:NJG327835 NTB327742:NTC327835 OCX327742:OCY327835 OMT327742:OMU327835 OWP327742:OWQ327835 PGL327742:PGM327835 PQH327742:PQI327835 QAD327742:QAE327835 QJZ327742:QKA327835 QTV327742:QTW327835 RDR327742:RDS327835 RNN327742:RNO327835 RXJ327742:RXK327835 SHF327742:SHG327835 SRB327742:SRC327835 TAX327742:TAY327835 TKT327742:TKU327835 TUP327742:TUQ327835 UEL327742:UEM327835 UOH327742:UOI327835 UYD327742:UYE327835 VHZ327742:VIA327835 VRV327742:VRW327835 WBR327742:WBS327835 WLN327742:WLO327835 WVJ327742:WVK327835 D393278:D393371 IX393278:IY393371 ST393278:SU393371 ACP393278:ACQ393371 AML393278:AMM393371 AWH393278:AWI393371 BGD393278:BGE393371 BPZ393278:BQA393371 BZV393278:BZW393371 CJR393278:CJS393371 CTN393278:CTO393371 DDJ393278:DDK393371 DNF393278:DNG393371 DXB393278:DXC393371 EGX393278:EGY393371 EQT393278:EQU393371 FAP393278:FAQ393371 FKL393278:FKM393371 FUH393278:FUI393371 GED393278:GEE393371 GNZ393278:GOA393371 GXV393278:GXW393371 HHR393278:HHS393371 HRN393278:HRO393371 IBJ393278:IBK393371 ILF393278:ILG393371 IVB393278:IVC393371 JEX393278:JEY393371 JOT393278:JOU393371 JYP393278:JYQ393371 KIL393278:KIM393371 KSH393278:KSI393371 LCD393278:LCE393371 LLZ393278:LMA393371 LVV393278:LVW393371 MFR393278:MFS393371 MPN393278:MPO393371 MZJ393278:MZK393371 NJF393278:NJG393371 NTB393278:NTC393371 OCX393278:OCY393371 OMT393278:OMU393371 OWP393278:OWQ393371 PGL393278:PGM393371 PQH393278:PQI393371 QAD393278:QAE393371 QJZ393278:QKA393371 QTV393278:QTW393371 RDR393278:RDS393371 RNN393278:RNO393371 RXJ393278:RXK393371 SHF393278:SHG393371 SRB393278:SRC393371 TAX393278:TAY393371 TKT393278:TKU393371 TUP393278:TUQ393371 UEL393278:UEM393371 UOH393278:UOI393371 UYD393278:UYE393371 VHZ393278:VIA393371 VRV393278:VRW393371 WBR393278:WBS393371 WLN393278:WLO393371 WVJ393278:WVK393371 D458814:D458907 IX458814:IY458907 ST458814:SU458907 ACP458814:ACQ458907 AML458814:AMM458907 AWH458814:AWI458907 BGD458814:BGE458907 BPZ458814:BQA458907 BZV458814:BZW458907 CJR458814:CJS458907 CTN458814:CTO458907 DDJ458814:DDK458907 DNF458814:DNG458907 DXB458814:DXC458907 EGX458814:EGY458907 EQT458814:EQU458907 FAP458814:FAQ458907 FKL458814:FKM458907 FUH458814:FUI458907 GED458814:GEE458907 GNZ458814:GOA458907 GXV458814:GXW458907 HHR458814:HHS458907 HRN458814:HRO458907 IBJ458814:IBK458907 ILF458814:ILG458907 IVB458814:IVC458907 JEX458814:JEY458907 JOT458814:JOU458907 JYP458814:JYQ458907 KIL458814:KIM458907 KSH458814:KSI458907 LCD458814:LCE458907 LLZ458814:LMA458907 LVV458814:LVW458907 MFR458814:MFS458907 MPN458814:MPO458907 MZJ458814:MZK458907 NJF458814:NJG458907 NTB458814:NTC458907 OCX458814:OCY458907 OMT458814:OMU458907 OWP458814:OWQ458907 PGL458814:PGM458907 PQH458814:PQI458907 QAD458814:QAE458907 QJZ458814:QKA458907 QTV458814:QTW458907 RDR458814:RDS458907 RNN458814:RNO458907 RXJ458814:RXK458907 SHF458814:SHG458907 SRB458814:SRC458907 TAX458814:TAY458907 TKT458814:TKU458907 TUP458814:TUQ458907 UEL458814:UEM458907 UOH458814:UOI458907 UYD458814:UYE458907 VHZ458814:VIA458907 VRV458814:VRW458907 WBR458814:WBS458907 WLN458814:WLO458907 WVJ458814:WVK458907 D524350:D524443 IX524350:IY524443 ST524350:SU524443 ACP524350:ACQ524443 AML524350:AMM524443 AWH524350:AWI524443 BGD524350:BGE524443 BPZ524350:BQA524443 BZV524350:BZW524443 CJR524350:CJS524443 CTN524350:CTO524443 DDJ524350:DDK524443 DNF524350:DNG524443 DXB524350:DXC524443 EGX524350:EGY524443 EQT524350:EQU524443 FAP524350:FAQ524443 FKL524350:FKM524443 FUH524350:FUI524443 GED524350:GEE524443 GNZ524350:GOA524443 GXV524350:GXW524443 HHR524350:HHS524443 HRN524350:HRO524443 IBJ524350:IBK524443 ILF524350:ILG524443 IVB524350:IVC524443 JEX524350:JEY524443 JOT524350:JOU524443 JYP524350:JYQ524443 KIL524350:KIM524443 KSH524350:KSI524443 LCD524350:LCE524443 LLZ524350:LMA524443 LVV524350:LVW524443 MFR524350:MFS524443 MPN524350:MPO524443 MZJ524350:MZK524443 NJF524350:NJG524443 NTB524350:NTC524443 OCX524350:OCY524443 OMT524350:OMU524443 OWP524350:OWQ524443 PGL524350:PGM524443 PQH524350:PQI524443 QAD524350:QAE524443 QJZ524350:QKA524443 QTV524350:QTW524443 RDR524350:RDS524443 RNN524350:RNO524443 RXJ524350:RXK524443 SHF524350:SHG524443 SRB524350:SRC524443 TAX524350:TAY524443 TKT524350:TKU524443 TUP524350:TUQ524443 UEL524350:UEM524443 UOH524350:UOI524443 UYD524350:UYE524443 VHZ524350:VIA524443 VRV524350:VRW524443 WBR524350:WBS524443 WLN524350:WLO524443 WVJ524350:WVK524443 D589886:D589979 IX589886:IY589979 ST589886:SU589979 ACP589886:ACQ589979 AML589886:AMM589979 AWH589886:AWI589979 BGD589886:BGE589979 BPZ589886:BQA589979 BZV589886:BZW589979 CJR589886:CJS589979 CTN589886:CTO589979 DDJ589886:DDK589979 DNF589886:DNG589979 DXB589886:DXC589979 EGX589886:EGY589979 EQT589886:EQU589979 FAP589886:FAQ589979 FKL589886:FKM589979 FUH589886:FUI589979 GED589886:GEE589979 GNZ589886:GOA589979 GXV589886:GXW589979 HHR589886:HHS589979 HRN589886:HRO589979 IBJ589886:IBK589979 ILF589886:ILG589979 IVB589886:IVC589979 JEX589886:JEY589979 JOT589886:JOU589979 JYP589886:JYQ589979 KIL589886:KIM589979 KSH589886:KSI589979 LCD589886:LCE589979 LLZ589886:LMA589979 LVV589886:LVW589979 MFR589886:MFS589979 MPN589886:MPO589979 MZJ589886:MZK589979 NJF589886:NJG589979 NTB589886:NTC589979 OCX589886:OCY589979 OMT589886:OMU589979 OWP589886:OWQ589979 PGL589886:PGM589979 PQH589886:PQI589979 QAD589886:QAE589979 QJZ589886:QKA589979 QTV589886:QTW589979 RDR589886:RDS589979 RNN589886:RNO589979 RXJ589886:RXK589979 SHF589886:SHG589979 SRB589886:SRC589979 TAX589886:TAY589979 TKT589886:TKU589979 TUP589886:TUQ589979 UEL589886:UEM589979 UOH589886:UOI589979 UYD589886:UYE589979 VHZ589886:VIA589979 VRV589886:VRW589979 WBR589886:WBS589979 WLN589886:WLO589979 WVJ589886:WVK589979 D655422:D655515 IX655422:IY655515 ST655422:SU655515 ACP655422:ACQ655515 AML655422:AMM655515 AWH655422:AWI655515 BGD655422:BGE655515 BPZ655422:BQA655515 BZV655422:BZW655515 CJR655422:CJS655515 CTN655422:CTO655515 DDJ655422:DDK655515 DNF655422:DNG655515 DXB655422:DXC655515 EGX655422:EGY655515 EQT655422:EQU655515 FAP655422:FAQ655515 FKL655422:FKM655515 FUH655422:FUI655515 GED655422:GEE655515 GNZ655422:GOA655515 GXV655422:GXW655515 HHR655422:HHS655515 HRN655422:HRO655515 IBJ655422:IBK655515 ILF655422:ILG655515 IVB655422:IVC655515 JEX655422:JEY655515 JOT655422:JOU655515 JYP655422:JYQ655515 KIL655422:KIM655515 KSH655422:KSI655515 LCD655422:LCE655515 LLZ655422:LMA655515 LVV655422:LVW655515 MFR655422:MFS655515 MPN655422:MPO655515 MZJ655422:MZK655515 NJF655422:NJG655515 NTB655422:NTC655515 OCX655422:OCY655515 OMT655422:OMU655515 OWP655422:OWQ655515 PGL655422:PGM655515 PQH655422:PQI655515 QAD655422:QAE655515 QJZ655422:QKA655515 QTV655422:QTW655515 RDR655422:RDS655515 RNN655422:RNO655515 RXJ655422:RXK655515 SHF655422:SHG655515 SRB655422:SRC655515 TAX655422:TAY655515 TKT655422:TKU655515 TUP655422:TUQ655515 UEL655422:UEM655515 UOH655422:UOI655515 UYD655422:UYE655515 VHZ655422:VIA655515 VRV655422:VRW655515 WBR655422:WBS655515 WLN655422:WLO655515 WVJ655422:WVK655515 D720958:D721051 IX720958:IY721051 ST720958:SU721051 ACP720958:ACQ721051 AML720958:AMM721051 AWH720958:AWI721051 BGD720958:BGE721051 BPZ720958:BQA721051 BZV720958:BZW721051 CJR720958:CJS721051 CTN720958:CTO721051 DDJ720958:DDK721051 DNF720958:DNG721051 DXB720958:DXC721051 EGX720958:EGY721051 EQT720958:EQU721051 FAP720958:FAQ721051 FKL720958:FKM721051 FUH720958:FUI721051 GED720958:GEE721051 GNZ720958:GOA721051 GXV720958:GXW721051 HHR720958:HHS721051 HRN720958:HRO721051 IBJ720958:IBK721051 ILF720958:ILG721051 IVB720958:IVC721051 JEX720958:JEY721051 JOT720958:JOU721051 JYP720958:JYQ721051 KIL720958:KIM721051 KSH720958:KSI721051 LCD720958:LCE721051 LLZ720958:LMA721051 LVV720958:LVW721051 MFR720958:MFS721051 MPN720958:MPO721051 MZJ720958:MZK721051 NJF720958:NJG721051 NTB720958:NTC721051 OCX720958:OCY721051 OMT720958:OMU721051 OWP720958:OWQ721051 PGL720958:PGM721051 PQH720958:PQI721051 QAD720958:QAE721051 QJZ720958:QKA721051 QTV720958:QTW721051 RDR720958:RDS721051 RNN720958:RNO721051 RXJ720958:RXK721051 SHF720958:SHG721051 SRB720958:SRC721051 TAX720958:TAY721051 TKT720958:TKU721051 TUP720958:TUQ721051 UEL720958:UEM721051 UOH720958:UOI721051 UYD720958:UYE721051 VHZ720958:VIA721051 VRV720958:VRW721051 WBR720958:WBS721051 WLN720958:WLO721051 WVJ720958:WVK721051 D786494:D786587 IX786494:IY786587 ST786494:SU786587 ACP786494:ACQ786587 AML786494:AMM786587 AWH786494:AWI786587 BGD786494:BGE786587 BPZ786494:BQA786587 BZV786494:BZW786587 CJR786494:CJS786587 CTN786494:CTO786587 DDJ786494:DDK786587 DNF786494:DNG786587 DXB786494:DXC786587 EGX786494:EGY786587 EQT786494:EQU786587 FAP786494:FAQ786587 FKL786494:FKM786587 FUH786494:FUI786587 GED786494:GEE786587 GNZ786494:GOA786587 GXV786494:GXW786587 HHR786494:HHS786587 HRN786494:HRO786587 IBJ786494:IBK786587 ILF786494:ILG786587 IVB786494:IVC786587 JEX786494:JEY786587 JOT786494:JOU786587 JYP786494:JYQ786587 KIL786494:KIM786587 KSH786494:KSI786587 LCD786494:LCE786587 LLZ786494:LMA786587 LVV786494:LVW786587 MFR786494:MFS786587 MPN786494:MPO786587 MZJ786494:MZK786587 NJF786494:NJG786587 NTB786494:NTC786587 OCX786494:OCY786587 OMT786494:OMU786587 OWP786494:OWQ786587 PGL786494:PGM786587 PQH786494:PQI786587 QAD786494:QAE786587 QJZ786494:QKA786587 QTV786494:QTW786587 RDR786494:RDS786587 RNN786494:RNO786587 RXJ786494:RXK786587 SHF786494:SHG786587 SRB786494:SRC786587 TAX786494:TAY786587 TKT786494:TKU786587 TUP786494:TUQ786587 UEL786494:UEM786587 UOH786494:UOI786587 UYD786494:UYE786587 VHZ786494:VIA786587 VRV786494:VRW786587 WBR786494:WBS786587 WLN786494:WLO786587 WVJ786494:WVK786587 D852030:D852123 IX852030:IY852123 ST852030:SU852123 ACP852030:ACQ852123 AML852030:AMM852123 AWH852030:AWI852123 BGD852030:BGE852123 BPZ852030:BQA852123 BZV852030:BZW852123 CJR852030:CJS852123 CTN852030:CTO852123 DDJ852030:DDK852123 DNF852030:DNG852123 DXB852030:DXC852123 EGX852030:EGY852123 EQT852030:EQU852123 FAP852030:FAQ852123 FKL852030:FKM852123 FUH852030:FUI852123 GED852030:GEE852123 GNZ852030:GOA852123 GXV852030:GXW852123 HHR852030:HHS852123 HRN852030:HRO852123 IBJ852030:IBK852123 ILF852030:ILG852123 IVB852030:IVC852123 JEX852030:JEY852123 JOT852030:JOU852123 JYP852030:JYQ852123 KIL852030:KIM852123 KSH852030:KSI852123 LCD852030:LCE852123 LLZ852030:LMA852123 LVV852030:LVW852123 MFR852030:MFS852123 MPN852030:MPO852123 MZJ852030:MZK852123 NJF852030:NJG852123 NTB852030:NTC852123 OCX852030:OCY852123 OMT852030:OMU852123 OWP852030:OWQ852123 PGL852030:PGM852123 PQH852030:PQI852123 QAD852030:QAE852123 QJZ852030:QKA852123 QTV852030:QTW852123 RDR852030:RDS852123 RNN852030:RNO852123 RXJ852030:RXK852123 SHF852030:SHG852123 SRB852030:SRC852123 TAX852030:TAY852123 TKT852030:TKU852123 TUP852030:TUQ852123 UEL852030:UEM852123 UOH852030:UOI852123 UYD852030:UYE852123 VHZ852030:VIA852123 VRV852030:VRW852123 WBR852030:WBS852123 WLN852030:WLO852123 WVJ852030:WVK852123 D917566:D917659 IX917566:IY917659 ST917566:SU917659 ACP917566:ACQ917659 AML917566:AMM917659 AWH917566:AWI917659 BGD917566:BGE917659 BPZ917566:BQA917659 BZV917566:BZW917659 CJR917566:CJS917659 CTN917566:CTO917659 DDJ917566:DDK917659 DNF917566:DNG917659 DXB917566:DXC917659 EGX917566:EGY917659 EQT917566:EQU917659 FAP917566:FAQ917659 FKL917566:FKM917659 FUH917566:FUI917659 GED917566:GEE917659 GNZ917566:GOA917659 GXV917566:GXW917659 HHR917566:HHS917659 HRN917566:HRO917659 IBJ917566:IBK917659 ILF917566:ILG917659 IVB917566:IVC917659 JEX917566:JEY917659 JOT917566:JOU917659 JYP917566:JYQ917659 KIL917566:KIM917659 KSH917566:KSI917659 LCD917566:LCE917659 LLZ917566:LMA917659 LVV917566:LVW917659 MFR917566:MFS917659 MPN917566:MPO917659 MZJ917566:MZK917659 NJF917566:NJG917659 NTB917566:NTC917659 OCX917566:OCY917659 OMT917566:OMU917659 OWP917566:OWQ917659 PGL917566:PGM917659 PQH917566:PQI917659 QAD917566:QAE917659 QJZ917566:QKA917659 QTV917566:QTW917659 RDR917566:RDS917659 RNN917566:RNO917659 RXJ917566:RXK917659 SHF917566:SHG917659 SRB917566:SRC917659 TAX917566:TAY917659 TKT917566:TKU917659 TUP917566:TUQ917659 UEL917566:UEM917659 UOH917566:UOI917659 UYD917566:UYE917659 VHZ917566:VIA917659 VRV917566:VRW917659 WBR917566:WBS917659 WLN917566:WLO917659 WVJ917566:WVK917659 D983102:D983195 IX983102:IY983195 ST983102:SU983195 ACP983102:ACQ983195 AML983102:AMM983195 AWH983102:AWI983195 BGD983102:BGE983195 BPZ983102:BQA983195 BZV983102:BZW983195 CJR983102:CJS983195 CTN983102:CTO983195 DDJ983102:DDK983195 DNF983102:DNG983195 DXB983102:DXC983195 EGX983102:EGY983195 EQT983102:EQU983195 FAP983102:FAQ983195 FKL983102:FKM983195 FUH983102:FUI983195 GED983102:GEE983195 GNZ983102:GOA983195 GXV983102:GXW983195 HHR983102:HHS983195 HRN983102:HRO983195 IBJ983102:IBK983195 ILF983102:ILG983195 IVB983102:IVC983195 JEX983102:JEY983195 JOT983102:JOU983195 JYP983102:JYQ983195 KIL983102:KIM983195 KSH983102:KSI983195 LCD983102:LCE983195 LLZ983102:LMA983195 LVV983102:LVW983195 MFR983102:MFS983195 MPN983102:MPO983195 MZJ983102:MZK983195 NJF983102:NJG983195 NTB983102:NTC983195 OCX983102:OCY983195 OMT983102:OMU983195 OWP983102:OWQ983195 PGL983102:PGM983195 PQH983102:PQI983195 QAD983102:QAE983195 QJZ983102:QKA983195 QTV983102:QTW983195 RDR983102:RDS983195 RNN983102:RNO983195 RXJ983102:RXK983195 SHF983102:SHG983195 SRB983102:SRC983195 TAX983102:TAY983195 TKT983102:TKU983195 TUP983102:TUQ983195 UEL983102:UEM983195 UOH983102:UOI983195 UYD983102:UYE983195 VHZ983102:VIA983195 VRV983102:VRW983195 WBR983102:WBS983195 WLN983102:WLO983195 WVJ983102:WVK983195 G152:G154 JB152:JB154 SX152:SX154 ACT152:ACT154 AMP152:AMP154 AWL152:AWL154 BGH152:BGH154 BQD152:BQD154 BZZ152:BZZ154 CJV152:CJV154 CTR152:CTR154 DDN152:DDN154 DNJ152:DNJ154 DXF152:DXF154 EHB152:EHB154 EQX152:EQX154 FAT152:FAT154 FKP152:FKP154 FUL152:FUL154 GEH152:GEH154 GOD152:GOD154 GXZ152:GXZ154 HHV152:HHV154 HRR152:HRR154 IBN152:IBN154 ILJ152:ILJ154 IVF152:IVF154 JFB152:JFB154 JOX152:JOX154 JYT152:JYT154 KIP152:KIP154 KSL152:KSL154 LCH152:LCH154 LMD152:LMD154 LVZ152:LVZ154 MFV152:MFV154 MPR152:MPR154 MZN152:MZN154 NJJ152:NJJ154 NTF152:NTF154 ODB152:ODB154 OMX152:OMX154 OWT152:OWT154 PGP152:PGP154 PQL152:PQL154 QAH152:QAH154 QKD152:QKD154 QTZ152:QTZ154 RDV152:RDV154 RNR152:RNR154 RXN152:RXN154 SHJ152:SHJ154 SRF152:SRF154 TBB152:TBB154 TKX152:TKX154 TUT152:TUT154 UEP152:UEP154 UOL152:UOL154 UYH152:UYH154 VID152:VID154 VRZ152:VRZ154 WBV152:WBV154 WLR152:WLR154 WVN152:WVN154 G65688:G65690 JB65688:JB65690 SX65688:SX65690 ACT65688:ACT65690 AMP65688:AMP65690 AWL65688:AWL65690 BGH65688:BGH65690 BQD65688:BQD65690 BZZ65688:BZZ65690 CJV65688:CJV65690 CTR65688:CTR65690 DDN65688:DDN65690 DNJ65688:DNJ65690 DXF65688:DXF65690 EHB65688:EHB65690 EQX65688:EQX65690 FAT65688:FAT65690 FKP65688:FKP65690 FUL65688:FUL65690 GEH65688:GEH65690 GOD65688:GOD65690 GXZ65688:GXZ65690 HHV65688:HHV65690 HRR65688:HRR65690 IBN65688:IBN65690 ILJ65688:ILJ65690 IVF65688:IVF65690 JFB65688:JFB65690 JOX65688:JOX65690 JYT65688:JYT65690 KIP65688:KIP65690 KSL65688:KSL65690 LCH65688:LCH65690 LMD65688:LMD65690 LVZ65688:LVZ65690 MFV65688:MFV65690 MPR65688:MPR65690 MZN65688:MZN65690 NJJ65688:NJJ65690 NTF65688:NTF65690 ODB65688:ODB65690 OMX65688:OMX65690 OWT65688:OWT65690 PGP65688:PGP65690 PQL65688:PQL65690 QAH65688:QAH65690 QKD65688:QKD65690 QTZ65688:QTZ65690 RDV65688:RDV65690 RNR65688:RNR65690 RXN65688:RXN65690 SHJ65688:SHJ65690 SRF65688:SRF65690 TBB65688:TBB65690 TKX65688:TKX65690 TUT65688:TUT65690 UEP65688:UEP65690 UOL65688:UOL65690 UYH65688:UYH65690 VID65688:VID65690 VRZ65688:VRZ65690 WBV65688:WBV65690 WLR65688:WLR65690 WVN65688:WVN65690 G131224:G131226 JB131224:JB131226 SX131224:SX131226 ACT131224:ACT131226 AMP131224:AMP131226 AWL131224:AWL131226 BGH131224:BGH131226 BQD131224:BQD131226 BZZ131224:BZZ131226 CJV131224:CJV131226 CTR131224:CTR131226 DDN131224:DDN131226 DNJ131224:DNJ131226 DXF131224:DXF131226 EHB131224:EHB131226 EQX131224:EQX131226 FAT131224:FAT131226 FKP131224:FKP131226 FUL131224:FUL131226 GEH131224:GEH131226 GOD131224:GOD131226 GXZ131224:GXZ131226 HHV131224:HHV131226 HRR131224:HRR131226 IBN131224:IBN131226 ILJ131224:ILJ131226 IVF131224:IVF131226 JFB131224:JFB131226 JOX131224:JOX131226 JYT131224:JYT131226 KIP131224:KIP131226 KSL131224:KSL131226 LCH131224:LCH131226 LMD131224:LMD131226 LVZ131224:LVZ131226 MFV131224:MFV131226 MPR131224:MPR131226 MZN131224:MZN131226 NJJ131224:NJJ131226 NTF131224:NTF131226 ODB131224:ODB131226 OMX131224:OMX131226 OWT131224:OWT131226 PGP131224:PGP131226 PQL131224:PQL131226 QAH131224:QAH131226 QKD131224:QKD131226 QTZ131224:QTZ131226 RDV131224:RDV131226 RNR131224:RNR131226 RXN131224:RXN131226 SHJ131224:SHJ131226 SRF131224:SRF131226 TBB131224:TBB131226 TKX131224:TKX131226 TUT131224:TUT131226 UEP131224:UEP131226 UOL131224:UOL131226 UYH131224:UYH131226 VID131224:VID131226 VRZ131224:VRZ131226 WBV131224:WBV131226 WLR131224:WLR131226 WVN131224:WVN131226 G196760:G196762 JB196760:JB196762 SX196760:SX196762 ACT196760:ACT196762 AMP196760:AMP196762 AWL196760:AWL196762 BGH196760:BGH196762 BQD196760:BQD196762 BZZ196760:BZZ196762 CJV196760:CJV196762 CTR196760:CTR196762 DDN196760:DDN196762 DNJ196760:DNJ196762 DXF196760:DXF196762 EHB196760:EHB196762 EQX196760:EQX196762 FAT196760:FAT196762 FKP196760:FKP196762 FUL196760:FUL196762 GEH196760:GEH196762 GOD196760:GOD196762 GXZ196760:GXZ196762 HHV196760:HHV196762 HRR196760:HRR196762 IBN196760:IBN196762 ILJ196760:ILJ196762 IVF196760:IVF196762 JFB196760:JFB196762 JOX196760:JOX196762 JYT196760:JYT196762 KIP196760:KIP196762 KSL196760:KSL196762 LCH196760:LCH196762 LMD196760:LMD196762 LVZ196760:LVZ196762 MFV196760:MFV196762 MPR196760:MPR196762 MZN196760:MZN196762 NJJ196760:NJJ196762 NTF196760:NTF196762 ODB196760:ODB196762 OMX196760:OMX196762 OWT196760:OWT196762 PGP196760:PGP196762 PQL196760:PQL196762 QAH196760:QAH196762 QKD196760:QKD196762 QTZ196760:QTZ196762 RDV196760:RDV196762 RNR196760:RNR196762 RXN196760:RXN196762 SHJ196760:SHJ196762 SRF196760:SRF196762 TBB196760:TBB196762 TKX196760:TKX196762 TUT196760:TUT196762 UEP196760:UEP196762 UOL196760:UOL196762 UYH196760:UYH196762 VID196760:VID196762 VRZ196760:VRZ196762 WBV196760:WBV196762 WLR196760:WLR196762 WVN196760:WVN196762 G262296:G262298 JB262296:JB262298 SX262296:SX262298 ACT262296:ACT262298 AMP262296:AMP262298 AWL262296:AWL262298 BGH262296:BGH262298 BQD262296:BQD262298 BZZ262296:BZZ262298 CJV262296:CJV262298 CTR262296:CTR262298 DDN262296:DDN262298 DNJ262296:DNJ262298 DXF262296:DXF262298 EHB262296:EHB262298 EQX262296:EQX262298 FAT262296:FAT262298 FKP262296:FKP262298 FUL262296:FUL262298 GEH262296:GEH262298 GOD262296:GOD262298 GXZ262296:GXZ262298 HHV262296:HHV262298 HRR262296:HRR262298 IBN262296:IBN262298 ILJ262296:ILJ262298 IVF262296:IVF262298 JFB262296:JFB262298 JOX262296:JOX262298 JYT262296:JYT262298 KIP262296:KIP262298 KSL262296:KSL262298 LCH262296:LCH262298 LMD262296:LMD262298 LVZ262296:LVZ262298 MFV262296:MFV262298 MPR262296:MPR262298 MZN262296:MZN262298 NJJ262296:NJJ262298 NTF262296:NTF262298 ODB262296:ODB262298 OMX262296:OMX262298 OWT262296:OWT262298 PGP262296:PGP262298 PQL262296:PQL262298 QAH262296:QAH262298 QKD262296:QKD262298 QTZ262296:QTZ262298 RDV262296:RDV262298 RNR262296:RNR262298 RXN262296:RXN262298 SHJ262296:SHJ262298 SRF262296:SRF262298 TBB262296:TBB262298 TKX262296:TKX262298 TUT262296:TUT262298 UEP262296:UEP262298 UOL262296:UOL262298 UYH262296:UYH262298 VID262296:VID262298 VRZ262296:VRZ262298 WBV262296:WBV262298 WLR262296:WLR262298 WVN262296:WVN262298 G327832:G327834 JB327832:JB327834 SX327832:SX327834 ACT327832:ACT327834 AMP327832:AMP327834 AWL327832:AWL327834 BGH327832:BGH327834 BQD327832:BQD327834 BZZ327832:BZZ327834 CJV327832:CJV327834 CTR327832:CTR327834 DDN327832:DDN327834 DNJ327832:DNJ327834 DXF327832:DXF327834 EHB327832:EHB327834 EQX327832:EQX327834 FAT327832:FAT327834 FKP327832:FKP327834 FUL327832:FUL327834 GEH327832:GEH327834 GOD327832:GOD327834 GXZ327832:GXZ327834 HHV327832:HHV327834 HRR327832:HRR327834 IBN327832:IBN327834 ILJ327832:ILJ327834 IVF327832:IVF327834 JFB327832:JFB327834 JOX327832:JOX327834 JYT327832:JYT327834 KIP327832:KIP327834 KSL327832:KSL327834 LCH327832:LCH327834 LMD327832:LMD327834 LVZ327832:LVZ327834 MFV327832:MFV327834 MPR327832:MPR327834 MZN327832:MZN327834 NJJ327832:NJJ327834 NTF327832:NTF327834 ODB327832:ODB327834 OMX327832:OMX327834 OWT327832:OWT327834 PGP327832:PGP327834 PQL327832:PQL327834 QAH327832:QAH327834 QKD327832:QKD327834 QTZ327832:QTZ327834 RDV327832:RDV327834 RNR327832:RNR327834 RXN327832:RXN327834 SHJ327832:SHJ327834 SRF327832:SRF327834 TBB327832:TBB327834 TKX327832:TKX327834 TUT327832:TUT327834 UEP327832:UEP327834 UOL327832:UOL327834 UYH327832:UYH327834 VID327832:VID327834 VRZ327832:VRZ327834 WBV327832:WBV327834 WLR327832:WLR327834 WVN327832:WVN327834 G393368:G393370 JB393368:JB393370 SX393368:SX393370 ACT393368:ACT393370 AMP393368:AMP393370 AWL393368:AWL393370 BGH393368:BGH393370 BQD393368:BQD393370 BZZ393368:BZZ393370 CJV393368:CJV393370 CTR393368:CTR393370 DDN393368:DDN393370 DNJ393368:DNJ393370 DXF393368:DXF393370 EHB393368:EHB393370 EQX393368:EQX393370 FAT393368:FAT393370 FKP393368:FKP393370 FUL393368:FUL393370 GEH393368:GEH393370 GOD393368:GOD393370 GXZ393368:GXZ393370 HHV393368:HHV393370 HRR393368:HRR393370 IBN393368:IBN393370 ILJ393368:ILJ393370 IVF393368:IVF393370 JFB393368:JFB393370 JOX393368:JOX393370 JYT393368:JYT393370 KIP393368:KIP393370 KSL393368:KSL393370 LCH393368:LCH393370 LMD393368:LMD393370 LVZ393368:LVZ393370 MFV393368:MFV393370 MPR393368:MPR393370 MZN393368:MZN393370 NJJ393368:NJJ393370 NTF393368:NTF393370 ODB393368:ODB393370 OMX393368:OMX393370 OWT393368:OWT393370 PGP393368:PGP393370 PQL393368:PQL393370 QAH393368:QAH393370 QKD393368:QKD393370 QTZ393368:QTZ393370 RDV393368:RDV393370 RNR393368:RNR393370 RXN393368:RXN393370 SHJ393368:SHJ393370 SRF393368:SRF393370 TBB393368:TBB393370 TKX393368:TKX393370 TUT393368:TUT393370 UEP393368:UEP393370 UOL393368:UOL393370 UYH393368:UYH393370 VID393368:VID393370 VRZ393368:VRZ393370 WBV393368:WBV393370 WLR393368:WLR393370 WVN393368:WVN393370 G458904:G458906 JB458904:JB458906 SX458904:SX458906 ACT458904:ACT458906 AMP458904:AMP458906 AWL458904:AWL458906 BGH458904:BGH458906 BQD458904:BQD458906 BZZ458904:BZZ458906 CJV458904:CJV458906 CTR458904:CTR458906 DDN458904:DDN458906 DNJ458904:DNJ458906 DXF458904:DXF458906 EHB458904:EHB458906 EQX458904:EQX458906 FAT458904:FAT458906 FKP458904:FKP458906 FUL458904:FUL458906 GEH458904:GEH458906 GOD458904:GOD458906 GXZ458904:GXZ458906 HHV458904:HHV458906 HRR458904:HRR458906 IBN458904:IBN458906 ILJ458904:ILJ458906 IVF458904:IVF458906 JFB458904:JFB458906 JOX458904:JOX458906 JYT458904:JYT458906 KIP458904:KIP458906 KSL458904:KSL458906 LCH458904:LCH458906 LMD458904:LMD458906 LVZ458904:LVZ458906 MFV458904:MFV458906 MPR458904:MPR458906 MZN458904:MZN458906 NJJ458904:NJJ458906 NTF458904:NTF458906 ODB458904:ODB458906 OMX458904:OMX458906 OWT458904:OWT458906 PGP458904:PGP458906 PQL458904:PQL458906 QAH458904:QAH458906 QKD458904:QKD458906 QTZ458904:QTZ458906 RDV458904:RDV458906 RNR458904:RNR458906 RXN458904:RXN458906 SHJ458904:SHJ458906 SRF458904:SRF458906 TBB458904:TBB458906 TKX458904:TKX458906 TUT458904:TUT458906 UEP458904:UEP458906 UOL458904:UOL458906 UYH458904:UYH458906 VID458904:VID458906 VRZ458904:VRZ458906 WBV458904:WBV458906 WLR458904:WLR458906 WVN458904:WVN458906 G524440:G524442 JB524440:JB524442 SX524440:SX524442 ACT524440:ACT524442 AMP524440:AMP524442 AWL524440:AWL524442 BGH524440:BGH524442 BQD524440:BQD524442 BZZ524440:BZZ524442 CJV524440:CJV524442 CTR524440:CTR524442 DDN524440:DDN524442 DNJ524440:DNJ524442 DXF524440:DXF524442 EHB524440:EHB524442 EQX524440:EQX524442 FAT524440:FAT524442 FKP524440:FKP524442 FUL524440:FUL524442 GEH524440:GEH524442 GOD524440:GOD524442 GXZ524440:GXZ524442 HHV524440:HHV524442 HRR524440:HRR524442 IBN524440:IBN524442 ILJ524440:ILJ524442 IVF524440:IVF524442 JFB524440:JFB524442 JOX524440:JOX524442 JYT524440:JYT524442 KIP524440:KIP524442 KSL524440:KSL524442 LCH524440:LCH524442 LMD524440:LMD524442 LVZ524440:LVZ524442 MFV524440:MFV524442 MPR524440:MPR524442 MZN524440:MZN524442 NJJ524440:NJJ524442 NTF524440:NTF524442 ODB524440:ODB524442 OMX524440:OMX524442 OWT524440:OWT524442 PGP524440:PGP524442 PQL524440:PQL524442 QAH524440:QAH524442 QKD524440:QKD524442 QTZ524440:QTZ524442 RDV524440:RDV524442 RNR524440:RNR524442 RXN524440:RXN524442 SHJ524440:SHJ524442 SRF524440:SRF524442 TBB524440:TBB524442 TKX524440:TKX524442 TUT524440:TUT524442 UEP524440:UEP524442 UOL524440:UOL524442 UYH524440:UYH524442 VID524440:VID524442 VRZ524440:VRZ524442 WBV524440:WBV524442 WLR524440:WLR524442 WVN524440:WVN524442 G589976:G589978 JB589976:JB589978 SX589976:SX589978 ACT589976:ACT589978 AMP589976:AMP589978 AWL589976:AWL589978 BGH589976:BGH589978 BQD589976:BQD589978 BZZ589976:BZZ589978 CJV589976:CJV589978 CTR589976:CTR589978 DDN589976:DDN589978 DNJ589976:DNJ589978 DXF589976:DXF589978 EHB589976:EHB589978 EQX589976:EQX589978 FAT589976:FAT589978 FKP589976:FKP589978 FUL589976:FUL589978 GEH589976:GEH589978 GOD589976:GOD589978 GXZ589976:GXZ589978 HHV589976:HHV589978 HRR589976:HRR589978 IBN589976:IBN589978 ILJ589976:ILJ589978 IVF589976:IVF589978 JFB589976:JFB589978 JOX589976:JOX589978 JYT589976:JYT589978 KIP589976:KIP589978 KSL589976:KSL589978 LCH589976:LCH589978 LMD589976:LMD589978 LVZ589976:LVZ589978 MFV589976:MFV589978 MPR589976:MPR589978 MZN589976:MZN589978 NJJ589976:NJJ589978 NTF589976:NTF589978 ODB589976:ODB589978 OMX589976:OMX589978 OWT589976:OWT589978 PGP589976:PGP589978 PQL589976:PQL589978 QAH589976:QAH589978 QKD589976:QKD589978 QTZ589976:QTZ589978 RDV589976:RDV589978 RNR589976:RNR589978 RXN589976:RXN589978 SHJ589976:SHJ589978 SRF589976:SRF589978 TBB589976:TBB589978 TKX589976:TKX589978 TUT589976:TUT589978 UEP589976:UEP589978 UOL589976:UOL589978 UYH589976:UYH589978 VID589976:VID589978 VRZ589976:VRZ589978 WBV589976:WBV589978 WLR589976:WLR589978 WVN589976:WVN589978 G655512:G655514 JB655512:JB655514 SX655512:SX655514 ACT655512:ACT655514 AMP655512:AMP655514 AWL655512:AWL655514 BGH655512:BGH655514 BQD655512:BQD655514 BZZ655512:BZZ655514 CJV655512:CJV655514 CTR655512:CTR655514 DDN655512:DDN655514 DNJ655512:DNJ655514 DXF655512:DXF655514 EHB655512:EHB655514 EQX655512:EQX655514 FAT655512:FAT655514 FKP655512:FKP655514 FUL655512:FUL655514 GEH655512:GEH655514 GOD655512:GOD655514 GXZ655512:GXZ655514 HHV655512:HHV655514 HRR655512:HRR655514 IBN655512:IBN655514 ILJ655512:ILJ655514 IVF655512:IVF655514 JFB655512:JFB655514 JOX655512:JOX655514 JYT655512:JYT655514 KIP655512:KIP655514 KSL655512:KSL655514 LCH655512:LCH655514 LMD655512:LMD655514 LVZ655512:LVZ655514 MFV655512:MFV655514 MPR655512:MPR655514 MZN655512:MZN655514 NJJ655512:NJJ655514 NTF655512:NTF655514 ODB655512:ODB655514 OMX655512:OMX655514 OWT655512:OWT655514 PGP655512:PGP655514 PQL655512:PQL655514 QAH655512:QAH655514 QKD655512:QKD655514 QTZ655512:QTZ655514 RDV655512:RDV655514 RNR655512:RNR655514 RXN655512:RXN655514 SHJ655512:SHJ655514 SRF655512:SRF655514 TBB655512:TBB655514 TKX655512:TKX655514 TUT655512:TUT655514 UEP655512:UEP655514 UOL655512:UOL655514 UYH655512:UYH655514 VID655512:VID655514 VRZ655512:VRZ655514 WBV655512:WBV655514 WLR655512:WLR655514 WVN655512:WVN655514 G721048:G721050 JB721048:JB721050 SX721048:SX721050 ACT721048:ACT721050 AMP721048:AMP721050 AWL721048:AWL721050 BGH721048:BGH721050 BQD721048:BQD721050 BZZ721048:BZZ721050 CJV721048:CJV721050 CTR721048:CTR721050 DDN721048:DDN721050 DNJ721048:DNJ721050 DXF721048:DXF721050 EHB721048:EHB721050 EQX721048:EQX721050 FAT721048:FAT721050 FKP721048:FKP721050 FUL721048:FUL721050 GEH721048:GEH721050 GOD721048:GOD721050 GXZ721048:GXZ721050 HHV721048:HHV721050 HRR721048:HRR721050 IBN721048:IBN721050 ILJ721048:ILJ721050 IVF721048:IVF721050 JFB721048:JFB721050 JOX721048:JOX721050 JYT721048:JYT721050 KIP721048:KIP721050 KSL721048:KSL721050 LCH721048:LCH721050 LMD721048:LMD721050 LVZ721048:LVZ721050 MFV721048:MFV721050 MPR721048:MPR721050 MZN721048:MZN721050 NJJ721048:NJJ721050 NTF721048:NTF721050 ODB721048:ODB721050 OMX721048:OMX721050 OWT721048:OWT721050 PGP721048:PGP721050 PQL721048:PQL721050 QAH721048:QAH721050 QKD721048:QKD721050 QTZ721048:QTZ721050 RDV721048:RDV721050 RNR721048:RNR721050 RXN721048:RXN721050 SHJ721048:SHJ721050 SRF721048:SRF721050 TBB721048:TBB721050 TKX721048:TKX721050 TUT721048:TUT721050 UEP721048:UEP721050 UOL721048:UOL721050 UYH721048:UYH721050 VID721048:VID721050 VRZ721048:VRZ721050 WBV721048:WBV721050 WLR721048:WLR721050 WVN721048:WVN721050 G786584:G786586 JB786584:JB786586 SX786584:SX786586 ACT786584:ACT786586 AMP786584:AMP786586 AWL786584:AWL786586 BGH786584:BGH786586 BQD786584:BQD786586 BZZ786584:BZZ786586 CJV786584:CJV786586 CTR786584:CTR786586 DDN786584:DDN786586 DNJ786584:DNJ786586 DXF786584:DXF786586 EHB786584:EHB786586 EQX786584:EQX786586 FAT786584:FAT786586 FKP786584:FKP786586 FUL786584:FUL786586 GEH786584:GEH786586 GOD786584:GOD786586 GXZ786584:GXZ786586 HHV786584:HHV786586 HRR786584:HRR786586 IBN786584:IBN786586 ILJ786584:ILJ786586 IVF786584:IVF786586 JFB786584:JFB786586 JOX786584:JOX786586 JYT786584:JYT786586 KIP786584:KIP786586 KSL786584:KSL786586 LCH786584:LCH786586 LMD786584:LMD786586 LVZ786584:LVZ786586 MFV786584:MFV786586 MPR786584:MPR786586 MZN786584:MZN786586 NJJ786584:NJJ786586 NTF786584:NTF786586 ODB786584:ODB786586 OMX786584:OMX786586 OWT786584:OWT786586 PGP786584:PGP786586 PQL786584:PQL786586 QAH786584:QAH786586 QKD786584:QKD786586 QTZ786584:QTZ786586 RDV786584:RDV786586 RNR786584:RNR786586 RXN786584:RXN786586 SHJ786584:SHJ786586 SRF786584:SRF786586 TBB786584:TBB786586 TKX786584:TKX786586 TUT786584:TUT786586 UEP786584:UEP786586 UOL786584:UOL786586 UYH786584:UYH786586 VID786584:VID786586 VRZ786584:VRZ786586 WBV786584:WBV786586 WLR786584:WLR786586 WVN786584:WVN786586 G852120:G852122 JB852120:JB852122 SX852120:SX852122 ACT852120:ACT852122 AMP852120:AMP852122 AWL852120:AWL852122 BGH852120:BGH852122 BQD852120:BQD852122 BZZ852120:BZZ852122 CJV852120:CJV852122 CTR852120:CTR852122 DDN852120:DDN852122 DNJ852120:DNJ852122 DXF852120:DXF852122 EHB852120:EHB852122 EQX852120:EQX852122 FAT852120:FAT852122 FKP852120:FKP852122 FUL852120:FUL852122 GEH852120:GEH852122 GOD852120:GOD852122 GXZ852120:GXZ852122 HHV852120:HHV852122 HRR852120:HRR852122 IBN852120:IBN852122 ILJ852120:ILJ852122 IVF852120:IVF852122 JFB852120:JFB852122 JOX852120:JOX852122 JYT852120:JYT852122 KIP852120:KIP852122 KSL852120:KSL852122 LCH852120:LCH852122 LMD852120:LMD852122 LVZ852120:LVZ852122 MFV852120:MFV852122 MPR852120:MPR852122 MZN852120:MZN852122 NJJ852120:NJJ852122 NTF852120:NTF852122 ODB852120:ODB852122 OMX852120:OMX852122 OWT852120:OWT852122 PGP852120:PGP852122 PQL852120:PQL852122 QAH852120:QAH852122 QKD852120:QKD852122 QTZ852120:QTZ852122 RDV852120:RDV852122 RNR852120:RNR852122 RXN852120:RXN852122 SHJ852120:SHJ852122 SRF852120:SRF852122 TBB852120:TBB852122 TKX852120:TKX852122 TUT852120:TUT852122 UEP852120:UEP852122 UOL852120:UOL852122 UYH852120:UYH852122 VID852120:VID852122 VRZ852120:VRZ852122 WBV852120:WBV852122 WLR852120:WLR852122 WVN852120:WVN852122 G917656:G917658 JB917656:JB917658 SX917656:SX917658 ACT917656:ACT917658 AMP917656:AMP917658 AWL917656:AWL917658 BGH917656:BGH917658 BQD917656:BQD917658 BZZ917656:BZZ917658 CJV917656:CJV917658 CTR917656:CTR917658 DDN917656:DDN917658 DNJ917656:DNJ917658 DXF917656:DXF917658 EHB917656:EHB917658 EQX917656:EQX917658 FAT917656:FAT917658 FKP917656:FKP917658 FUL917656:FUL917658 GEH917656:GEH917658 GOD917656:GOD917658 GXZ917656:GXZ917658 HHV917656:HHV917658 HRR917656:HRR917658 IBN917656:IBN917658 ILJ917656:ILJ917658 IVF917656:IVF917658 JFB917656:JFB917658 JOX917656:JOX917658 JYT917656:JYT917658 KIP917656:KIP917658 KSL917656:KSL917658 LCH917656:LCH917658 LMD917656:LMD917658 LVZ917656:LVZ917658 MFV917656:MFV917658 MPR917656:MPR917658 MZN917656:MZN917658 NJJ917656:NJJ917658 NTF917656:NTF917658 ODB917656:ODB917658 OMX917656:OMX917658 OWT917656:OWT917658 PGP917656:PGP917658 PQL917656:PQL917658 QAH917656:QAH917658 QKD917656:QKD917658 QTZ917656:QTZ917658 RDV917656:RDV917658 RNR917656:RNR917658 RXN917656:RXN917658 SHJ917656:SHJ917658 SRF917656:SRF917658 TBB917656:TBB917658 TKX917656:TKX917658 TUT917656:TUT917658 UEP917656:UEP917658 UOL917656:UOL917658 UYH917656:UYH917658 VID917656:VID917658 VRZ917656:VRZ917658 WBV917656:WBV917658 WLR917656:WLR917658 WVN917656:WVN917658 G983192:G983194 JB983192:JB983194 SX983192:SX983194 ACT983192:ACT983194 AMP983192:AMP983194 AWL983192:AWL983194 BGH983192:BGH983194 BQD983192:BQD983194 BZZ983192:BZZ983194 CJV983192:CJV983194 CTR983192:CTR983194 DDN983192:DDN983194 DNJ983192:DNJ983194 DXF983192:DXF983194 EHB983192:EHB983194 EQX983192:EQX983194 FAT983192:FAT983194 FKP983192:FKP983194 FUL983192:FUL983194 GEH983192:GEH983194 GOD983192:GOD983194 GXZ983192:GXZ983194 HHV983192:HHV983194 HRR983192:HRR983194 IBN983192:IBN983194 ILJ983192:ILJ983194 IVF983192:IVF983194 JFB983192:JFB983194 JOX983192:JOX983194 JYT983192:JYT983194 KIP983192:KIP983194 KSL983192:KSL983194 LCH983192:LCH983194 LMD983192:LMD983194 LVZ983192:LVZ983194 MFV983192:MFV983194 MPR983192:MPR983194 MZN983192:MZN983194 NJJ983192:NJJ983194 NTF983192:NTF983194 ODB983192:ODB983194 OMX983192:OMX983194 OWT983192:OWT983194 PGP983192:PGP983194 PQL983192:PQL983194 QAH983192:QAH983194 QKD983192:QKD983194 QTZ983192:QTZ983194 RDV983192:RDV983194 RNR983192:RNR983194 RXN983192:RXN983194 SHJ983192:SHJ983194 SRF983192:SRF983194 TBB983192:TBB983194 TKX983192:TKX983194 TUT983192:TUT983194 UEP983192:UEP983194 UOL983192:UOL983194 UYH983192:UYH983194 VID983192:VID983194 VRZ983192:VRZ983194 WBV983192:WBV983194 WLR983192:WLR983194 WVN983192:WVN983194 G7:G140 JB7:JC140 SX7:SY140 ACT7:ACU140 AMP7:AMQ140 AWL7:AWM140 BGH7:BGI140 BQD7:BQE140 BZZ7:CAA140 CJV7:CJW140 CTR7:CTS140 DDN7:DDO140 DNJ7:DNK140 DXF7:DXG140 EHB7:EHC140 EQX7:EQY140 FAT7:FAU140 FKP7:FKQ140 FUL7:FUM140 GEH7:GEI140 GOD7:GOE140 GXZ7:GYA140 HHV7:HHW140 HRR7:HRS140 IBN7:IBO140 ILJ7:ILK140 IVF7:IVG140 JFB7:JFC140 JOX7:JOY140 JYT7:JYU140 KIP7:KIQ140 KSL7:KSM140 LCH7:LCI140 LMD7:LME140 LVZ7:LWA140 MFV7:MFW140 MPR7:MPS140 MZN7:MZO140 NJJ7:NJK140 NTF7:NTG140 ODB7:ODC140 OMX7:OMY140 OWT7:OWU140 PGP7:PGQ140 PQL7:PQM140 QAH7:QAI140 QKD7:QKE140 QTZ7:QUA140 RDV7:RDW140 RNR7:RNS140 RXN7:RXO140 SHJ7:SHK140 SRF7:SRG140 TBB7:TBC140 TKX7:TKY140 TUT7:TUU140 UEP7:UEQ140 UOL7:UOM140 UYH7:UYI140 VID7:VIE140 VRZ7:VSA140 WBV7:WBW140 WLR7:WLS140 WVN7:WVO140 G65543:G65676 JB65543:JC65676 SX65543:SY65676 ACT65543:ACU65676 AMP65543:AMQ65676 AWL65543:AWM65676 BGH65543:BGI65676 BQD65543:BQE65676 BZZ65543:CAA65676 CJV65543:CJW65676 CTR65543:CTS65676 DDN65543:DDO65676 DNJ65543:DNK65676 DXF65543:DXG65676 EHB65543:EHC65676 EQX65543:EQY65676 FAT65543:FAU65676 FKP65543:FKQ65676 FUL65543:FUM65676 GEH65543:GEI65676 GOD65543:GOE65676 GXZ65543:GYA65676 HHV65543:HHW65676 HRR65543:HRS65676 IBN65543:IBO65676 ILJ65543:ILK65676 IVF65543:IVG65676 JFB65543:JFC65676 JOX65543:JOY65676 JYT65543:JYU65676 KIP65543:KIQ65676 KSL65543:KSM65676 LCH65543:LCI65676 LMD65543:LME65676 LVZ65543:LWA65676 MFV65543:MFW65676 MPR65543:MPS65676 MZN65543:MZO65676 NJJ65543:NJK65676 NTF65543:NTG65676 ODB65543:ODC65676 OMX65543:OMY65676 OWT65543:OWU65676 PGP65543:PGQ65676 PQL65543:PQM65676 QAH65543:QAI65676 QKD65543:QKE65676 QTZ65543:QUA65676 RDV65543:RDW65676 RNR65543:RNS65676 RXN65543:RXO65676 SHJ65543:SHK65676 SRF65543:SRG65676 TBB65543:TBC65676 TKX65543:TKY65676 TUT65543:TUU65676 UEP65543:UEQ65676 UOL65543:UOM65676 UYH65543:UYI65676 VID65543:VIE65676 VRZ65543:VSA65676 WBV65543:WBW65676 WLR65543:WLS65676 WVN65543:WVO65676 G131079:G131212 JB131079:JC131212 SX131079:SY131212 ACT131079:ACU131212 AMP131079:AMQ131212 AWL131079:AWM131212 BGH131079:BGI131212 BQD131079:BQE131212 BZZ131079:CAA131212 CJV131079:CJW131212 CTR131079:CTS131212 DDN131079:DDO131212 DNJ131079:DNK131212 DXF131079:DXG131212 EHB131079:EHC131212 EQX131079:EQY131212 FAT131079:FAU131212 FKP131079:FKQ131212 FUL131079:FUM131212 GEH131079:GEI131212 GOD131079:GOE131212 GXZ131079:GYA131212 HHV131079:HHW131212 HRR131079:HRS131212 IBN131079:IBO131212 ILJ131079:ILK131212 IVF131079:IVG131212 JFB131079:JFC131212 JOX131079:JOY131212 JYT131079:JYU131212 KIP131079:KIQ131212 KSL131079:KSM131212 LCH131079:LCI131212 LMD131079:LME131212 LVZ131079:LWA131212 MFV131079:MFW131212 MPR131079:MPS131212 MZN131079:MZO131212 NJJ131079:NJK131212 NTF131079:NTG131212 ODB131079:ODC131212 OMX131079:OMY131212 OWT131079:OWU131212 PGP131079:PGQ131212 PQL131079:PQM131212 QAH131079:QAI131212 QKD131079:QKE131212 QTZ131079:QUA131212 RDV131079:RDW131212 RNR131079:RNS131212 RXN131079:RXO131212 SHJ131079:SHK131212 SRF131079:SRG131212 TBB131079:TBC131212 TKX131079:TKY131212 TUT131079:TUU131212 UEP131079:UEQ131212 UOL131079:UOM131212 UYH131079:UYI131212 VID131079:VIE131212 VRZ131079:VSA131212 WBV131079:WBW131212 WLR131079:WLS131212 WVN131079:WVO131212 G196615:G196748 JB196615:JC196748 SX196615:SY196748 ACT196615:ACU196748 AMP196615:AMQ196748 AWL196615:AWM196748 BGH196615:BGI196748 BQD196615:BQE196748 BZZ196615:CAA196748 CJV196615:CJW196748 CTR196615:CTS196748 DDN196615:DDO196748 DNJ196615:DNK196748 DXF196615:DXG196748 EHB196615:EHC196748 EQX196615:EQY196748 FAT196615:FAU196748 FKP196615:FKQ196748 FUL196615:FUM196748 GEH196615:GEI196748 GOD196615:GOE196748 GXZ196615:GYA196748 HHV196615:HHW196748 HRR196615:HRS196748 IBN196615:IBO196748 ILJ196615:ILK196748 IVF196615:IVG196748 JFB196615:JFC196748 JOX196615:JOY196748 JYT196615:JYU196748 KIP196615:KIQ196748 KSL196615:KSM196748 LCH196615:LCI196748 LMD196615:LME196748 LVZ196615:LWA196748 MFV196615:MFW196748 MPR196615:MPS196748 MZN196615:MZO196748 NJJ196615:NJK196748 NTF196615:NTG196748 ODB196615:ODC196748 OMX196615:OMY196748 OWT196615:OWU196748 PGP196615:PGQ196748 PQL196615:PQM196748 QAH196615:QAI196748 QKD196615:QKE196748 QTZ196615:QUA196748 RDV196615:RDW196748 RNR196615:RNS196748 RXN196615:RXO196748 SHJ196615:SHK196748 SRF196615:SRG196748 TBB196615:TBC196748 TKX196615:TKY196748 TUT196615:TUU196748 UEP196615:UEQ196748 UOL196615:UOM196748 UYH196615:UYI196748 VID196615:VIE196748 VRZ196615:VSA196748 WBV196615:WBW196748 WLR196615:WLS196748 WVN196615:WVO196748 G262151:G262284 JB262151:JC262284 SX262151:SY262284 ACT262151:ACU262284 AMP262151:AMQ262284 AWL262151:AWM262284 BGH262151:BGI262284 BQD262151:BQE262284 BZZ262151:CAA262284 CJV262151:CJW262284 CTR262151:CTS262284 DDN262151:DDO262284 DNJ262151:DNK262284 DXF262151:DXG262284 EHB262151:EHC262284 EQX262151:EQY262284 FAT262151:FAU262284 FKP262151:FKQ262284 FUL262151:FUM262284 GEH262151:GEI262284 GOD262151:GOE262284 GXZ262151:GYA262284 HHV262151:HHW262284 HRR262151:HRS262284 IBN262151:IBO262284 ILJ262151:ILK262284 IVF262151:IVG262284 JFB262151:JFC262284 JOX262151:JOY262284 JYT262151:JYU262284 KIP262151:KIQ262284 KSL262151:KSM262284 LCH262151:LCI262284 LMD262151:LME262284 LVZ262151:LWA262284 MFV262151:MFW262284 MPR262151:MPS262284 MZN262151:MZO262284 NJJ262151:NJK262284 NTF262151:NTG262284 ODB262151:ODC262284 OMX262151:OMY262284 OWT262151:OWU262284 PGP262151:PGQ262284 PQL262151:PQM262284 QAH262151:QAI262284 QKD262151:QKE262284 QTZ262151:QUA262284 RDV262151:RDW262284 RNR262151:RNS262284 RXN262151:RXO262284 SHJ262151:SHK262284 SRF262151:SRG262284 TBB262151:TBC262284 TKX262151:TKY262284 TUT262151:TUU262284 UEP262151:UEQ262284 UOL262151:UOM262284 UYH262151:UYI262284 VID262151:VIE262284 VRZ262151:VSA262284 WBV262151:WBW262284 WLR262151:WLS262284 WVN262151:WVO262284 G327687:G327820 JB327687:JC327820 SX327687:SY327820 ACT327687:ACU327820 AMP327687:AMQ327820 AWL327687:AWM327820 BGH327687:BGI327820 BQD327687:BQE327820 BZZ327687:CAA327820 CJV327687:CJW327820 CTR327687:CTS327820 DDN327687:DDO327820 DNJ327687:DNK327820 DXF327687:DXG327820 EHB327687:EHC327820 EQX327687:EQY327820 FAT327687:FAU327820 FKP327687:FKQ327820 FUL327687:FUM327820 GEH327687:GEI327820 GOD327687:GOE327820 GXZ327687:GYA327820 HHV327687:HHW327820 HRR327687:HRS327820 IBN327687:IBO327820 ILJ327687:ILK327820 IVF327687:IVG327820 JFB327687:JFC327820 JOX327687:JOY327820 JYT327687:JYU327820 KIP327687:KIQ327820 KSL327687:KSM327820 LCH327687:LCI327820 LMD327687:LME327820 LVZ327687:LWA327820 MFV327687:MFW327820 MPR327687:MPS327820 MZN327687:MZO327820 NJJ327687:NJK327820 NTF327687:NTG327820 ODB327687:ODC327820 OMX327687:OMY327820 OWT327687:OWU327820 PGP327687:PGQ327820 PQL327687:PQM327820 QAH327687:QAI327820 QKD327687:QKE327820 QTZ327687:QUA327820 RDV327687:RDW327820 RNR327687:RNS327820 RXN327687:RXO327820 SHJ327687:SHK327820 SRF327687:SRG327820 TBB327687:TBC327820 TKX327687:TKY327820 TUT327687:TUU327820 UEP327687:UEQ327820 UOL327687:UOM327820 UYH327687:UYI327820 VID327687:VIE327820 VRZ327687:VSA327820 WBV327687:WBW327820 WLR327687:WLS327820 WVN327687:WVO327820 G393223:G393356 JB393223:JC393356 SX393223:SY393356 ACT393223:ACU393356 AMP393223:AMQ393356 AWL393223:AWM393356 BGH393223:BGI393356 BQD393223:BQE393356 BZZ393223:CAA393356 CJV393223:CJW393356 CTR393223:CTS393356 DDN393223:DDO393356 DNJ393223:DNK393356 DXF393223:DXG393356 EHB393223:EHC393356 EQX393223:EQY393356 FAT393223:FAU393356 FKP393223:FKQ393356 FUL393223:FUM393356 GEH393223:GEI393356 GOD393223:GOE393356 GXZ393223:GYA393356 HHV393223:HHW393356 HRR393223:HRS393356 IBN393223:IBO393356 ILJ393223:ILK393356 IVF393223:IVG393356 JFB393223:JFC393356 JOX393223:JOY393356 JYT393223:JYU393356 KIP393223:KIQ393356 KSL393223:KSM393356 LCH393223:LCI393356 LMD393223:LME393356 LVZ393223:LWA393356 MFV393223:MFW393356 MPR393223:MPS393356 MZN393223:MZO393356 NJJ393223:NJK393356 NTF393223:NTG393356 ODB393223:ODC393356 OMX393223:OMY393356 OWT393223:OWU393356 PGP393223:PGQ393356 PQL393223:PQM393356 QAH393223:QAI393356 QKD393223:QKE393356 QTZ393223:QUA393356 RDV393223:RDW393356 RNR393223:RNS393356 RXN393223:RXO393356 SHJ393223:SHK393356 SRF393223:SRG393356 TBB393223:TBC393356 TKX393223:TKY393356 TUT393223:TUU393356 UEP393223:UEQ393356 UOL393223:UOM393356 UYH393223:UYI393356 VID393223:VIE393356 VRZ393223:VSA393356 WBV393223:WBW393356 WLR393223:WLS393356 WVN393223:WVO393356 G458759:G458892 JB458759:JC458892 SX458759:SY458892 ACT458759:ACU458892 AMP458759:AMQ458892 AWL458759:AWM458892 BGH458759:BGI458892 BQD458759:BQE458892 BZZ458759:CAA458892 CJV458759:CJW458892 CTR458759:CTS458892 DDN458759:DDO458892 DNJ458759:DNK458892 DXF458759:DXG458892 EHB458759:EHC458892 EQX458759:EQY458892 FAT458759:FAU458892 FKP458759:FKQ458892 FUL458759:FUM458892 GEH458759:GEI458892 GOD458759:GOE458892 GXZ458759:GYA458892 HHV458759:HHW458892 HRR458759:HRS458892 IBN458759:IBO458892 ILJ458759:ILK458892 IVF458759:IVG458892 JFB458759:JFC458892 JOX458759:JOY458892 JYT458759:JYU458892 KIP458759:KIQ458892 KSL458759:KSM458892 LCH458759:LCI458892 LMD458759:LME458892 LVZ458759:LWA458892 MFV458759:MFW458892 MPR458759:MPS458892 MZN458759:MZO458892 NJJ458759:NJK458892 NTF458759:NTG458892 ODB458759:ODC458892 OMX458759:OMY458892 OWT458759:OWU458892 PGP458759:PGQ458892 PQL458759:PQM458892 QAH458759:QAI458892 QKD458759:QKE458892 QTZ458759:QUA458892 RDV458759:RDW458892 RNR458759:RNS458892 RXN458759:RXO458892 SHJ458759:SHK458892 SRF458759:SRG458892 TBB458759:TBC458892 TKX458759:TKY458892 TUT458759:TUU458892 UEP458759:UEQ458892 UOL458759:UOM458892 UYH458759:UYI458892 VID458759:VIE458892 VRZ458759:VSA458892 WBV458759:WBW458892 WLR458759:WLS458892 WVN458759:WVO458892 G524295:G524428 JB524295:JC524428 SX524295:SY524428 ACT524295:ACU524428 AMP524295:AMQ524428 AWL524295:AWM524428 BGH524295:BGI524428 BQD524295:BQE524428 BZZ524295:CAA524428 CJV524295:CJW524428 CTR524295:CTS524428 DDN524295:DDO524428 DNJ524295:DNK524428 DXF524295:DXG524428 EHB524295:EHC524428 EQX524295:EQY524428 FAT524295:FAU524428 FKP524295:FKQ524428 FUL524295:FUM524428 GEH524295:GEI524428 GOD524295:GOE524428 GXZ524295:GYA524428 HHV524295:HHW524428 HRR524295:HRS524428 IBN524295:IBO524428 ILJ524295:ILK524428 IVF524295:IVG524428 JFB524295:JFC524428 JOX524295:JOY524428 JYT524295:JYU524428 KIP524295:KIQ524428 KSL524295:KSM524428 LCH524295:LCI524428 LMD524295:LME524428 LVZ524295:LWA524428 MFV524295:MFW524428 MPR524295:MPS524428 MZN524295:MZO524428 NJJ524295:NJK524428 NTF524295:NTG524428 ODB524295:ODC524428 OMX524295:OMY524428 OWT524295:OWU524428 PGP524295:PGQ524428 PQL524295:PQM524428 QAH524295:QAI524428 QKD524295:QKE524428 QTZ524295:QUA524428 RDV524295:RDW524428 RNR524295:RNS524428 RXN524295:RXO524428 SHJ524295:SHK524428 SRF524295:SRG524428 TBB524295:TBC524428 TKX524295:TKY524428 TUT524295:TUU524428 UEP524295:UEQ524428 UOL524295:UOM524428 UYH524295:UYI524428 VID524295:VIE524428 VRZ524295:VSA524428 WBV524295:WBW524428 WLR524295:WLS524428 WVN524295:WVO524428 G589831:G589964 JB589831:JC589964 SX589831:SY589964 ACT589831:ACU589964 AMP589831:AMQ589964 AWL589831:AWM589964 BGH589831:BGI589964 BQD589831:BQE589964 BZZ589831:CAA589964 CJV589831:CJW589964 CTR589831:CTS589964 DDN589831:DDO589964 DNJ589831:DNK589964 DXF589831:DXG589964 EHB589831:EHC589964 EQX589831:EQY589964 FAT589831:FAU589964 FKP589831:FKQ589964 FUL589831:FUM589964 GEH589831:GEI589964 GOD589831:GOE589964 GXZ589831:GYA589964 HHV589831:HHW589964 HRR589831:HRS589964 IBN589831:IBO589964 ILJ589831:ILK589964 IVF589831:IVG589964 JFB589831:JFC589964 JOX589831:JOY589964 JYT589831:JYU589964 KIP589831:KIQ589964 KSL589831:KSM589964 LCH589831:LCI589964 LMD589831:LME589964 LVZ589831:LWA589964 MFV589831:MFW589964 MPR589831:MPS589964 MZN589831:MZO589964 NJJ589831:NJK589964 NTF589831:NTG589964 ODB589831:ODC589964 OMX589831:OMY589964 OWT589831:OWU589964 PGP589831:PGQ589964 PQL589831:PQM589964 QAH589831:QAI589964 QKD589831:QKE589964 QTZ589831:QUA589964 RDV589831:RDW589964 RNR589831:RNS589964 RXN589831:RXO589964 SHJ589831:SHK589964 SRF589831:SRG589964 TBB589831:TBC589964 TKX589831:TKY589964 TUT589831:TUU589964 UEP589831:UEQ589964 UOL589831:UOM589964 UYH589831:UYI589964 VID589831:VIE589964 VRZ589831:VSA589964 WBV589831:WBW589964 WLR589831:WLS589964 WVN589831:WVO589964 G655367:G655500 JB655367:JC655500 SX655367:SY655500 ACT655367:ACU655500 AMP655367:AMQ655500 AWL655367:AWM655500 BGH655367:BGI655500 BQD655367:BQE655500 BZZ655367:CAA655500 CJV655367:CJW655500 CTR655367:CTS655500 DDN655367:DDO655500 DNJ655367:DNK655500 DXF655367:DXG655500 EHB655367:EHC655500 EQX655367:EQY655500 FAT655367:FAU655500 FKP655367:FKQ655500 FUL655367:FUM655500 GEH655367:GEI655500 GOD655367:GOE655500 GXZ655367:GYA655500 HHV655367:HHW655500 HRR655367:HRS655500 IBN655367:IBO655500 ILJ655367:ILK655500 IVF655367:IVG655500 JFB655367:JFC655500 JOX655367:JOY655500 JYT655367:JYU655500 KIP655367:KIQ655500 KSL655367:KSM655500 LCH655367:LCI655500 LMD655367:LME655500 LVZ655367:LWA655500 MFV655367:MFW655500 MPR655367:MPS655500 MZN655367:MZO655500 NJJ655367:NJK655500 NTF655367:NTG655500 ODB655367:ODC655500 OMX655367:OMY655500 OWT655367:OWU655500 PGP655367:PGQ655500 PQL655367:PQM655500 QAH655367:QAI655500 QKD655367:QKE655500 QTZ655367:QUA655500 RDV655367:RDW655500 RNR655367:RNS655500 RXN655367:RXO655500 SHJ655367:SHK655500 SRF655367:SRG655500 TBB655367:TBC655500 TKX655367:TKY655500 TUT655367:TUU655500 UEP655367:UEQ655500 UOL655367:UOM655500 UYH655367:UYI655500 VID655367:VIE655500 VRZ655367:VSA655500 WBV655367:WBW655500 WLR655367:WLS655500 WVN655367:WVO655500 G720903:G721036 JB720903:JC721036 SX720903:SY721036 ACT720903:ACU721036 AMP720903:AMQ721036 AWL720903:AWM721036 BGH720903:BGI721036 BQD720903:BQE721036 BZZ720903:CAA721036 CJV720903:CJW721036 CTR720903:CTS721036 DDN720903:DDO721036 DNJ720903:DNK721036 DXF720903:DXG721036 EHB720903:EHC721036 EQX720903:EQY721036 FAT720903:FAU721036 FKP720903:FKQ721036 FUL720903:FUM721036 GEH720903:GEI721036 GOD720903:GOE721036 GXZ720903:GYA721036 HHV720903:HHW721036 HRR720903:HRS721036 IBN720903:IBO721036 ILJ720903:ILK721036 IVF720903:IVG721036 JFB720903:JFC721036 JOX720903:JOY721036 JYT720903:JYU721036 KIP720903:KIQ721036 KSL720903:KSM721036 LCH720903:LCI721036 LMD720903:LME721036 LVZ720903:LWA721036 MFV720903:MFW721036 MPR720903:MPS721036 MZN720903:MZO721036 NJJ720903:NJK721036 NTF720903:NTG721036 ODB720903:ODC721036 OMX720903:OMY721036 OWT720903:OWU721036 PGP720903:PGQ721036 PQL720903:PQM721036 QAH720903:QAI721036 QKD720903:QKE721036 QTZ720903:QUA721036 RDV720903:RDW721036 RNR720903:RNS721036 RXN720903:RXO721036 SHJ720903:SHK721036 SRF720903:SRG721036 TBB720903:TBC721036 TKX720903:TKY721036 TUT720903:TUU721036 UEP720903:UEQ721036 UOL720903:UOM721036 UYH720903:UYI721036 VID720903:VIE721036 VRZ720903:VSA721036 WBV720903:WBW721036 WLR720903:WLS721036 WVN720903:WVO721036 G786439:G786572 JB786439:JC786572 SX786439:SY786572 ACT786439:ACU786572 AMP786439:AMQ786572 AWL786439:AWM786572 BGH786439:BGI786572 BQD786439:BQE786572 BZZ786439:CAA786572 CJV786439:CJW786572 CTR786439:CTS786572 DDN786439:DDO786572 DNJ786439:DNK786572 DXF786439:DXG786572 EHB786439:EHC786572 EQX786439:EQY786572 FAT786439:FAU786572 FKP786439:FKQ786572 FUL786439:FUM786572 GEH786439:GEI786572 GOD786439:GOE786572 GXZ786439:GYA786572 HHV786439:HHW786572 HRR786439:HRS786572 IBN786439:IBO786572 ILJ786439:ILK786572 IVF786439:IVG786572 JFB786439:JFC786572 JOX786439:JOY786572 JYT786439:JYU786572 KIP786439:KIQ786572 KSL786439:KSM786572 LCH786439:LCI786572 LMD786439:LME786572 LVZ786439:LWA786572 MFV786439:MFW786572 MPR786439:MPS786572 MZN786439:MZO786572 NJJ786439:NJK786572 NTF786439:NTG786572 ODB786439:ODC786572 OMX786439:OMY786572 OWT786439:OWU786572 PGP786439:PGQ786572 PQL786439:PQM786572 QAH786439:QAI786572 QKD786439:QKE786572 QTZ786439:QUA786572 RDV786439:RDW786572 RNR786439:RNS786572 RXN786439:RXO786572 SHJ786439:SHK786572 SRF786439:SRG786572 TBB786439:TBC786572 TKX786439:TKY786572 TUT786439:TUU786572 UEP786439:UEQ786572 UOL786439:UOM786572 UYH786439:UYI786572 VID786439:VIE786572 VRZ786439:VSA786572 WBV786439:WBW786572 WLR786439:WLS786572 WVN786439:WVO786572 G851975:G852108 JB851975:JC852108 SX851975:SY852108 ACT851975:ACU852108 AMP851975:AMQ852108 AWL851975:AWM852108 BGH851975:BGI852108 BQD851975:BQE852108 BZZ851975:CAA852108 CJV851975:CJW852108 CTR851975:CTS852108 DDN851975:DDO852108 DNJ851975:DNK852108 DXF851975:DXG852108 EHB851975:EHC852108 EQX851975:EQY852108 FAT851975:FAU852108 FKP851975:FKQ852108 FUL851975:FUM852108 GEH851975:GEI852108 GOD851975:GOE852108 GXZ851975:GYA852108 HHV851975:HHW852108 HRR851975:HRS852108 IBN851975:IBO852108 ILJ851975:ILK852108 IVF851975:IVG852108 JFB851975:JFC852108 JOX851975:JOY852108 JYT851975:JYU852108 KIP851975:KIQ852108 KSL851975:KSM852108 LCH851975:LCI852108 LMD851975:LME852108 LVZ851975:LWA852108 MFV851975:MFW852108 MPR851975:MPS852108 MZN851975:MZO852108 NJJ851975:NJK852108 NTF851975:NTG852108 ODB851975:ODC852108 OMX851975:OMY852108 OWT851975:OWU852108 PGP851975:PGQ852108 PQL851975:PQM852108 QAH851975:QAI852108 QKD851975:QKE852108 QTZ851975:QUA852108 RDV851975:RDW852108 RNR851975:RNS852108 RXN851975:RXO852108 SHJ851975:SHK852108 SRF851975:SRG852108 TBB851975:TBC852108 TKX851975:TKY852108 TUT851975:TUU852108 UEP851975:UEQ852108 UOL851975:UOM852108 UYH851975:UYI852108 VID851975:VIE852108 VRZ851975:VSA852108 WBV851975:WBW852108 WLR851975:WLS852108 WVN851975:WVO852108 G917511:G917644 JB917511:JC917644 SX917511:SY917644 ACT917511:ACU917644 AMP917511:AMQ917644 AWL917511:AWM917644 BGH917511:BGI917644 BQD917511:BQE917644 BZZ917511:CAA917644 CJV917511:CJW917644 CTR917511:CTS917644 DDN917511:DDO917644 DNJ917511:DNK917644 DXF917511:DXG917644 EHB917511:EHC917644 EQX917511:EQY917644 FAT917511:FAU917644 FKP917511:FKQ917644 FUL917511:FUM917644 GEH917511:GEI917644 GOD917511:GOE917644 GXZ917511:GYA917644 HHV917511:HHW917644 HRR917511:HRS917644 IBN917511:IBO917644 ILJ917511:ILK917644 IVF917511:IVG917644 JFB917511:JFC917644 JOX917511:JOY917644 JYT917511:JYU917644 KIP917511:KIQ917644 KSL917511:KSM917644 LCH917511:LCI917644 LMD917511:LME917644 LVZ917511:LWA917644 MFV917511:MFW917644 MPR917511:MPS917644 MZN917511:MZO917644 NJJ917511:NJK917644 NTF917511:NTG917644 ODB917511:ODC917644 OMX917511:OMY917644 OWT917511:OWU917644 PGP917511:PGQ917644 PQL917511:PQM917644 QAH917511:QAI917644 QKD917511:QKE917644 QTZ917511:QUA917644 RDV917511:RDW917644 RNR917511:RNS917644 RXN917511:RXO917644 SHJ917511:SHK917644 SRF917511:SRG917644 TBB917511:TBC917644 TKX917511:TKY917644 TUT917511:TUU917644 UEP917511:UEQ917644 UOL917511:UOM917644 UYH917511:UYI917644 VID917511:VIE917644 VRZ917511:VSA917644 WBV917511:WBW917644 WLR917511:WLS917644 WVN917511:WVO917644 G983047:G983180 JB983047:JC983180 SX983047:SY983180 ACT983047:ACU983180 AMP983047:AMQ983180 AWL983047:AWM983180 BGH983047:BGI983180 BQD983047:BQE983180 BZZ983047:CAA983180 CJV983047:CJW983180 CTR983047:CTS983180 DDN983047:DDO983180 DNJ983047:DNK983180 DXF983047:DXG983180 EHB983047:EHC983180 EQX983047:EQY983180 FAT983047:FAU983180 FKP983047:FKQ983180 FUL983047:FUM983180 GEH983047:GEI983180 GOD983047:GOE983180 GXZ983047:GYA983180 HHV983047:HHW983180 HRR983047:HRS983180 IBN983047:IBO983180 ILJ983047:ILK983180 IVF983047:IVG983180 JFB983047:JFC983180 JOX983047:JOY983180 JYT983047:JYU983180 KIP983047:KIQ983180 KSL983047:KSM983180 LCH983047:LCI983180 LMD983047:LME983180 LVZ983047:LWA983180 MFV983047:MFW983180 MPR983047:MPS983180 MZN983047:MZO983180 NJJ983047:NJK983180 NTF983047:NTG983180 ODB983047:ODC983180 OMX983047:OMY983180 OWT983047:OWU983180 PGP983047:PGQ983180 PQL983047:PQM983180 QAH983047:QAI983180 QKD983047:QKE983180 QTZ983047:QUA983180 RDV983047:RDW983180 RNR983047:RNS983180 RXN983047:RXO983180 SHJ983047:SHK983180 SRF983047:SRG983180 TBB983047:TBC983180 TKX983047:TKY983180 TUT983047:TUU983180 UEP983047:UEQ983180 UOL983047:UOM983180 UYH983047:UYI983180 VID983047:VIE983180 VRZ983047:VSA983180 WBV983047:WBW983180 WLR983047:WLS983180 WVN983047:WVO983180 JC152:JC164 SY152:SY164 ACU152:ACU164 AMQ152:AMQ164 AWM152:AWM164 BGI152:BGI164 BQE152:BQE164 CAA152:CAA164 CJW152:CJW164 CTS152:CTS164 DDO152:DDO164 DNK152:DNK164 DXG152:DXG164 EHC152:EHC164 EQY152:EQY164 FAU152:FAU164 FKQ152:FKQ164 FUM152:FUM164 GEI152:GEI164 GOE152:GOE164 GYA152:GYA164 HHW152:HHW164 HRS152:HRS164 IBO152:IBO164 ILK152:ILK164 IVG152:IVG164 JFC152:JFC164 JOY152:JOY164 JYU152:JYU164 KIQ152:KIQ164 KSM152:KSM164 LCI152:LCI164 LME152:LME164 LWA152:LWA164 MFW152:MFW164 MPS152:MPS164 MZO152:MZO164 NJK152:NJK164 NTG152:NTG164 ODC152:ODC164 OMY152:OMY164 OWU152:OWU164 PGQ152:PGQ164 PQM152:PQM164 QAI152:QAI164 QKE152:QKE164 QUA152:QUA164 RDW152:RDW164 RNS152:RNS164 RXO152:RXO164 SHK152:SHK164 SRG152:SRG164 TBC152:TBC164 TKY152:TKY164 TUU152:TUU164 UEQ152:UEQ164 UOM152:UOM164 UYI152:UYI164 VIE152:VIE164 VSA152:VSA164 WBW152:WBW164 WLS152:WLS164 WVO152:WVO164 JC65688:JC65700 SY65688:SY65700 ACU65688:ACU65700 AMQ65688:AMQ65700 AWM65688:AWM65700 BGI65688:BGI65700 BQE65688:BQE65700 CAA65688:CAA65700 CJW65688:CJW65700 CTS65688:CTS65700 DDO65688:DDO65700 DNK65688:DNK65700 DXG65688:DXG65700 EHC65688:EHC65700 EQY65688:EQY65700 FAU65688:FAU65700 FKQ65688:FKQ65700 FUM65688:FUM65700 GEI65688:GEI65700 GOE65688:GOE65700 GYA65688:GYA65700 HHW65688:HHW65700 HRS65688:HRS65700 IBO65688:IBO65700 ILK65688:ILK65700 IVG65688:IVG65700 JFC65688:JFC65700 JOY65688:JOY65700 JYU65688:JYU65700 KIQ65688:KIQ65700 KSM65688:KSM65700 LCI65688:LCI65700 LME65688:LME65700 LWA65688:LWA65700 MFW65688:MFW65700 MPS65688:MPS65700 MZO65688:MZO65700 NJK65688:NJK65700 NTG65688:NTG65700 ODC65688:ODC65700 OMY65688:OMY65700 OWU65688:OWU65700 PGQ65688:PGQ65700 PQM65688:PQM65700 QAI65688:QAI65700 QKE65688:QKE65700 QUA65688:QUA65700 RDW65688:RDW65700 RNS65688:RNS65700 RXO65688:RXO65700 SHK65688:SHK65700 SRG65688:SRG65700 TBC65688:TBC65700 TKY65688:TKY65700 TUU65688:TUU65700 UEQ65688:UEQ65700 UOM65688:UOM65700 UYI65688:UYI65700 VIE65688:VIE65700 VSA65688:VSA65700 WBW65688:WBW65700 WLS65688:WLS65700 WVO65688:WVO65700 JC131224:JC131236 SY131224:SY131236 ACU131224:ACU131236 AMQ131224:AMQ131236 AWM131224:AWM131236 BGI131224:BGI131236 BQE131224:BQE131236 CAA131224:CAA131236 CJW131224:CJW131236 CTS131224:CTS131236 DDO131224:DDO131236 DNK131224:DNK131236 DXG131224:DXG131236 EHC131224:EHC131236 EQY131224:EQY131236 FAU131224:FAU131236 FKQ131224:FKQ131236 FUM131224:FUM131236 GEI131224:GEI131236 GOE131224:GOE131236 GYA131224:GYA131236 HHW131224:HHW131236 HRS131224:HRS131236 IBO131224:IBO131236 ILK131224:ILK131236 IVG131224:IVG131236 JFC131224:JFC131236 JOY131224:JOY131236 JYU131224:JYU131236 KIQ131224:KIQ131236 KSM131224:KSM131236 LCI131224:LCI131236 LME131224:LME131236 LWA131224:LWA131236 MFW131224:MFW131236 MPS131224:MPS131236 MZO131224:MZO131236 NJK131224:NJK131236 NTG131224:NTG131236 ODC131224:ODC131236 OMY131224:OMY131236 OWU131224:OWU131236 PGQ131224:PGQ131236 PQM131224:PQM131236 QAI131224:QAI131236 QKE131224:QKE131236 QUA131224:QUA131236 RDW131224:RDW131236 RNS131224:RNS131236 RXO131224:RXO131236 SHK131224:SHK131236 SRG131224:SRG131236 TBC131224:TBC131236 TKY131224:TKY131236 TUU131224:TUU131236 UEQ131224:UEQ131236 UOM131224:UOM131236 UYI131224:UYI131236 VIE131224:VIE131236 VSA131224:VSA131236 WBW131224:WBW131236 WLS131224:WLS131236 WVO131224:WVO131236 JC196760:JC196772 SY196760:SY196772 ACU196760:ACU196772 AMQ196760:AMQ196772 AWM196760:AWM196772 BGI196760:BGI196772 BQE196760:BQE196772 CAA196760:CAA196772 CJW196760:CJW196772 CTS196760:CTS196772 DDO196760:DDO196772 DNK196760:DNK196772 DXG196760:DXG196772 EHC196760:EHC196772 EQY196760:EQY196772 FAU196760:FAU196772 FKQ196760:FKQ196772 FUM196760:FUM196772 GEI196760:GEI196772 GOE196760:GOE196772 GYA196760:GYA196772 HHW196760:HHW196772 HRS196760:HRS196772 IBO196760:IBO196772 ILK196760:ILK196772 IVG196760:IVG196772 JFC196760:JFC196772 JOY196760:JOY196772 JYU196760:JYU196772 KIQ196760:KIQ196772 KSM196760:KSM196772 LCI196760:LCI196772 LME196760:LME196772 LWA196760:LWA196772 MFW196760:MFW196772 MPS196760:MPS196772 MZO196760:MZO196772 NJK196760:NJK196772 NTG196760:NTG196772 ODC196760:ODC196772 OMY196760:OMY196772 OWU196760:OWU196772 PGQ196760:PGQ196772 PQM196760:PQM196772 QAI196760:QAI196772 QKE196760:QKE196772 QUA196760:QUA196772 RDW196760:RDW196772 RNS196760:RNS196772 RXO196760:RXO196772 SHK196760:SHK196772 SRG196760:SRG196772 TBC196760:TBC196772 TKY196760:TKY196772 TUU196760:TUU196772 UEQ196760:UEQ196772 UOM196760:UOM196772 UYI196760:UYI196772 VIE196760:VIE196772 VSA196760:VSA196772 WBW196760:WBW196772 WLS196760:WLS196772 WVO196760:WVO196772 JC262296:JC262308 SY262296:SY262308 ACU262296:ACU262308 AMQ262296:AMQ262308 AWM262296:AWM262308 BGI262296:BGI262308 BQE262296:BQE262308 CAA262296:CAA262308 CJW262296:CJW262308 CTS262296:CTS262308 DDO262296:DDO262308 DNK262296:DNK262308 DXG262296:DXG262308 EHC262296:EHC262308 EQY262296:EQY262308 FAU262296:FAU262308 FKQ262296:FKQ262308 FUM262296:FUM262308 GEI262296:GEI262308 GOE262296:GOE262308 GYA262296:GYA262308 HHW262296:HHW262308 HRS262296:HRS262308 IBO262296:IBO262308 ILK262296:ILK262308 IVG262296:IVG262308 JFC262296:JFC262308 JOY262296:JOY262308 JYU262296:JYU262308 KIQ262296:KIQ262308 KSM262296:KSM262308 LCI262296:LCI262308 LME262296:LME262308 LWA262296:LWA262308 MFW262296:MFW262308 MPS262296:MPS262308 MZO262296:MZO262308 NJK262296:NJK262308 NTG262296:NTG262308 ODC262296:ODC262308 OMY262296:OMY262308 OWU262296:OWU262308 PGQ262296:PGQ262308 PQM262296:PQM262308 QAI262296:QAI262308 QKE262296:QKE262308 QUA262296:QUA262308 RDW262296:RDW262308 RNS262296:RNS262308 RXO262296:RXO262308 SHK262296:SHK262308 SRG262296:SRG262308 TBC262296:TBC262308 TKY262296:TKY262308 TUU262296:TUU262308 UEQ262296:UEQ262308 UOM262296:UOM262308 UYI262296:UYI262308 VIE262296:VIE262308 VSA262296:VSA262308 WBW262296:WBW262308 WLS262296:WLS262308 WVO262296:WVO262308 JC327832:JC327844 SY327832:SY327844 ACU327832:ACU327844 AMQ327832:AMQ327844 AWM327832:AWM327844 BGI327832:BGI327844 BQE327832:BQE327844 CAA327832:CAA327844 CJW327832:CJW327844 CTS327832:CTS327844 DDO327832:DDO327844 DNK327832:DNK327844 DXG327832:DXG327844 EHC327832:EHC327844 EQY327832:EQY327844 FAU327832:FAU327844 FKQ327832:FKQ327844 FUM327832:FUM327844 GEI327832:GEI327844 GOE327832:GOE327844 GYA327832:GYA327844 HHW327832:HHW327844 HRS327832:HRS327844 IBO327832:IBO327844 ILK327832:ILK327844 IVG327832:IVG327844 JFC327832:JFC327844 JOY327832:JOY327844 JYU327832:JYU327844 KIQ327832:KIQ327844 KSM327832:KSM327844 LCI327832:LCI327844 LME327832:LME327844 LWA327832:LWA327844 MFW327832:MFW327844 MPS327832:MPS327844 MZO327832:MZO327844 NJK327832:NJK327844 NTG327832:NTG327844 ODC327832:ODC327844 OMY327832:OMY327844 OWU327832:OWU327844 PGQ327832:PGQ327844 PQM327832:PQM327844 QAI327832:QAI327844 QKE327832:QKE327844 QUA327832:QUA327844 RDW327832:RDW327844 RNS327832:RNS327844 RXO327832:RXO327844 SHK327832:SHK327844 SRG327832:SRG327844 TBC327832:TBC327844 TKY327832:TKY327844 TUU327832:TUU327844 UEQ327832:UEQ327844 UOM327832:UOM327844 UYI327832:UYI327844 VIE327832:VIE327844 VSA327832:VSA327844 WBW327832:WBW327844 WLS327832:WLS327844 WVO327832:WVO327844 JC393368:JC393380 SY393368:SY393380 ACU393368:ACU393380 AMQ393368:AMQ393380 AWM393368:AWM393380 BGI393368:BGI393380 BQE393368:BQE393380 CAA393368:CAA393380 CJW393368:CJW393380 CTS393368:CTS393380 DDO393368:DDO393380 DNK393368:DNK393380 DXG393368:DXG393380 EHC393368:EHC393380 EQY393368:EQY393380 FAU393368:FAU393380 FKQ393368:FKQ393380 FUM393368:FUM393380 GEI393368:GEI393380 GOE393368:GOE393380 GYA393368:GYA393380 HHW393368:HHW393380 HRS393368:HRS393380 IBO393368:IBO393380 ILK393368:ILK393380 IVG393368:IVG393380 JFC393368:JFC393380 JOY393368:JOY393380 JYU393368:JYU393380 KIQ393368:KIQ393380 KSM393368:KSM393380 LCI393368:LCI393380 LME393368:LME393380 LWA393368:LWA393380 MFW393368:MFW393380 MPS393368:MPS393380 MZO393368:MZO393380 NJK393368:NJK393380 NTG393368:NTG393380 ODC393368:ODC393380 OMY393368:OMY393380 OWU393368:OWU393380 PGQ393368:PGQ393380 PQM393368:PQM393380 QAI393368:QAI393380 QKE393368:QKE393380 QUA393368:QUA393380 RDW393368:RDW393380 RNS393368:RNS393380 RXO393368:RXO393380 SHK393368:SHK393380 SRG393368:SRG393380 TBC393368:TBC393380 TKY393368:TKY393380 TUU393368:TUU393380 UEQ393368:UEQ393380 UOM393368:UOM393380 UYI393368:UYI393380 VIE393368:VIE393380 VSA393368:VSA393380 WBW393368:WBW393380 WLS393368:WLS393380 WVO393368:WVO393380 JC458904:JC458916 SY458904:SY458916 ACU458904:ACU458916 AMQ458904:AMQ458916 AWM458904:AWM458916 BGI458904:BGI458916 BQE458904:BQE458916 CAA458904:CAA458916 CJW458904:CJW458916 CTS458904:CTS458916 DDO458904:DDO458916 DNK458904:DNK458916 DXG458904:DXG458916 EHC458904:EHC458916 EQY458904:EQY458916 FAU458904:FAU458916 FKQ458904:FKQ458916 FUM458904:FUM458916 GEI458904:GEI458916 GOE458904:GOE458916 GYA458904:GYA458916 HHW458904:HHW458916 HRS458904:HRS458916 IBO458904:IBO458916 ILK458904:ILK458916 IVG458904:IVG458916 JFC458904:JFC458916 JOY458904:JOY458916 JYU458904:JYU458916 KIQ458904:KIQ458916 KSM458904:KSM458916 LCI458904:LCI458916 LME458904:LME458916 LWA458904:LWA458916 MFW458904:MFW458916 MPS458904:MPS458916 MZO458904:MZO458916 NJK458904:NJK458916 NTG458904:NTG458916 ODC458904:ODC458916 OMY458904:OMY458916 OWU458904:OWU458916 PGQ458904:PGQ458916 PQM458904:PQM458916 QAI458904:QAI458916 QKE458904:QKE458916 QUA458904:QUA458916 RDW458904:RDW458916 RNS458904:RNS458916 RXO458904:RXO458916 SHK458904:SHK458916 SRG458904:SRG458916 TBC458904:TBC458916 TKY458904:TKY458916 TUU458904:TUU458916 UEQ458904:UEQ458916 UOM458904:UOM458916 UYI458904:UYI458916 VIE458904:VIE458916 VSA458904:VSA458916 WBW458904:WBW458916 WLS458904:WLS458916 WVO458904:WVO458916 JC524440:JC524452 SY524440:SY524452 ACU524440:ACU524452 AMQ524440:AMQ524452 AWM524440:AWM524452 BGI524440:BGI524452 BQE524440:BQE524452 CAA524440:CAA524452 CJW524440:CJW524452 CTS524440:CTS524452 DDO524440:DDO524452 DNK524440:DNK524452 DXG524440:DXG524452 EHC524440:EHC524452 EQY524440:EQY524452 FAU524440:FAU524452 FKQ524440:FKQ524452 FUM524440:FUM524452 GEI524440:GEI524452 GOE524440:GOE524452 GYA524440:GYA524452 HHW524440:HHW524452 HRS524440:HRS524452 IBO524440:IBO524452 ILK524440:ILK524452 IVG524440:IVG524452 JFC524440:JFC524452 JOY524440:JOY524452 JYU524440:JYU524452 KIQ524440:KIQ524452 KSM524440:KSM524452 LCI524440:LCI524452 LME524440:LME524452 LWA524440:LWA524452 MFW524440:MFW524452 MPS524440:MPS524452 MZO524440:MZO524452 NJK524440:NJK524452 NTG524440:NTG524452 ODC524440:ODC524452 OMY524440:OMY524452 OWU524440:OWU524452 PGQ524440:PGQ524452 PQM524440:PQM524452 QAI524440:QAI524452 QKE524440:QKE524452 QUA524440:QUA524452 RDW524440:RDW524452 RNS524440:RNS524452 RXO524440:RXO524452 SHK524440:SHK524452 SRG524440:SRG524452 TBC524440:TBC524452 TKY524440:TKY524452 TUU524440:TUU524452 UEQ524440:UEQ524452 UOM524440:UOM524452 UYI524440:UYI524452 VIE524440:VIE524452 VSA524440:VSA524452 WBW524440:WBW524452 WLS524440:WLS524452 WVO524440:WVO524452 JC589976:JC589988 SY589976:SY589988 ACU589976:ACU589988 AMQ589976:AMQ589988 AWM589976:AWM589988 BGI589976:BGI589988 BQE589976:BQE589988 CAA589976:CAA589988 CJW589976:CJW589988 CTS589976:CTS589988 DDO589976:DDO589988 DNK589976:DNK589988 DXG589976:DXG589988 EHC589976:EHC589988 EQY589976:EQY589988 FAU589976:FAU589988 FKQ589976:FKQ589988 FUM589976:FUM589988 GEI589976:GEI589988 GOE589976:GOE589988 GYA589976:GYA589988 HHW589976:HHW589988 HRS589976:HRS589988 IBO589976:IBO589988 ILK589976:ILK589988 IVG589976:IVG589988 JFC589976:JFC589988 JOY589976:JOY589988 JYU589976:JYU589988 KIQ589976:KIQ589988 KSM589976:KSM589988 LCI589976:LCI589988 LME589976:LME589988 LWA589976:LWA589988 MFW589976:MFW589988 MPS589976:MPS589988 MZO589976:MZO589988 NJK589976:NJK589988 NTG589976:NTG589988 ODC589976:ODC589988 OMY589976:OMY589988 OWU589976:OWU589988 PGQ589976:PGQ589988 PQM589976:PQM589988 QAI589976:QAI589988 QKE589976:QKE589988 QUA589976:QUA589988 RDW589976:RDW589988 RNS589976:RNS589988 RXO589976:RXO589988 SHK589976:SHK589988 SRG589976:SRG589988 TBC589976:TBC589988 TKY589976:TKY589988 TUU589976:TUU589988 UEQ589976:UEQ589988 UOM589976:UOM589988 UYI589976:UYI589988 VIE589976:VIE589988 VSA589976:VSA589988 WBW589976:WBW589988 WLS589976:WLS589988 WVO589976:WVO589988 JC655512:JC655524 SY655512:SY655524 ACU655512:ACU655524 AMQ655512:AMQ655524 AWM655512:AWM655524 BGI655512:BGI655524 BQE655512:BQE655524 CAA655512:CAA655524 CJW655512:CJW655524 CTS655512:CTS655524 DDO655512:DDO655524 DNK655512:DNK655524 DXG655512:DXG655524 EHC655512:EHC655524 EQY655512:EQY655524 FAU655512:FAU655524 FKQ655512:FKQ655524 FUM655512:FUM655524 GEI655512:GEI655524 GOE655512:GOE655524 GYA655512:GYA655524 HHW655512:HHW655524 HRS655512:HRS655524 IBO655512:IBO655524 ILK655512:ILK655524 IVG655512:IVG655524 JFC655512:JFC655524 JOY655512:JOY655524 JYU655512:JYU655524 KIQ655512:KIQ655524 KSM655512:KSM655524 LCI655512:LCI655524 LME655512:LME655524 LWA655512:LWA655524 MFW655512:MFW655524 MPS655512:MPS655524 MZO655512:MZO655524 NJK655512:NJK655524 NTG655512:NTG655524 ODC655512:ODC655524 OMY655512:OMY655524 OWU655512:OWU655524 PGQ655512:PGQ655524 PQM655512:PQM655524 QAI655512:QAI655524 QKE655512:QKE655524 QUA655512:QUA655524 RDW655512:RDW655524 RNS655512:RNS655524 RXO655512:RXO655524 SHK655512:SHK655524 SRG655512:SRG655524 TBC655512:TBC655524 TKY655512:TKY655524 TUU655512:TUU655524 UEQ655512:UEQ655524 UOM655512:UOM655524 UYI655512:UYI655524 VIE655512:VIE655524 VSA655512:VSA655524 WBW655512:WBW655524 WLS655512:WLS655524 WVO655512:WVO655524 JC721048:JC721060 SY721048:SY721060 ACU721048:ACU721060 AMQ721048:AMQ721060 AWM721048:AWM721060 BGI721048:BGI721060 BQE721048:BQE721060 CAA721048:CAA721060 CJW721048:CJW721060 CTS721048:CTS721060 DDO721048:DDO721060 DNK721048:DNK721060 DXG721048:DXG721060 EHC721048:EHC721060 EQY721048:EQY721060 FAU721048:FAU721060 FKQ721048:FKQ721060 FUM721048:FUM721060 GEI721048:GEI721060 GOE721048:GOE721060 GYA721048:GYA721060 HHW721048:HHW721060 HRS721048:HRS721060 IBO721048:IBO721060 ILK721048:ILK721060 IVG721048:IVG721060 JFC721048:JFC721060 JOY721048:JOY721060 JYU721048:JYU721060 KIQ721048:KIQ721060 KSM721048:KSM721060 LCI721048:LCI721060 LME721048:LME721060 LWA721048:LWA721060 MFW721048:MFW721060 MPS721048:MPS721060 MZO721048:MZO721060 NJK721048:NJK721060 NTG721048:NTG721060 ODC721048:ODC721060 OMY721048:OMY721060 OWU721048:OWU721060 PGQ721048:PGQ721060 PQM721048:PQM721060 QAI721048:QAI721060 QKE721048:QKE721060 QUA721048:QUA721060 RDW721048:RDW721060 RNS721048:RNS721060 RXO721048:RXO721060 SHK721048:SHK721060 SRG721048:SRG721060 TBC721048:TBC721060 TKY721048:TKY721060 TUU721048:TUU721060 UEQ721048:UEQ721060 UOM721048:UOM721060 UYI721048:UYI721060 VIE721048:VIE721060 VSA721048:VSA721060 WBW721048:WBW721060 WLS721048:WLS721060 WVO721048:WVO721060 JC786584:JC786596 SY786584:SY786596 ACU786584:ACU786596 AMQ786584:AMQ786596 AWM786584:AWM786596 BGI786584:BGI786596 BQE786584:BQE786596 CAA786584:CAA786596 CJW786584:CJW786596 CTS786584:CTS786596 DDO786584:DDO786596 DNK786584:DNK786596 DXG786584:DXG786596 EHC786584:EHC786596 EQY786584:EQY786596 FAU786584:FAU786596 FKQ786584:FKQ786596 FUM786584:FUM786596 GEI786584:GEI786596 GOE786584:GOE786596 GYA786584:GYA786596 HHW786584:HHW786596 HRS786584:HRS786596 IBO786584:IBO786596 ILK786584:ILK786596 IVG786584:IVG786596 JFC786584:JFC786596 JOY786584:JOY786596 JYU786584:JYU786596 KIQ786584:KIQ786596 KSM786584:KSM786596 LCI786584:LCI786596 LME786584:LME786596 LWA786584:LWA786596 MFW786584:MFW786596 MPS786584:MPS786596 MZO786584:MZO786596 NJK786584:NJK786596 NTG786584:NTG786596 ODC786584:ODC786596 OMY786584:OMY786596 OWU786584:OWU786596 PGQ786584:PGQ786596 PQM786584:PQM786596 QAI786584:QAI786596 QKE786584:QKE786596 QUA786584:QUA786596 RDW786584:RDW786596 RNS786584:RNS786596 RXO786584:RXO786596 SHK786584:SHK786596 SRG786584:SRG786596 TBC786584:TBC786596 TKY786584:TKY786596 TUU786584:TUU786596 UEQ786584:UEQ786596 UOM786584:UOM786596 UYI786584:UYI786596 VIE786584:VIE786596 VSA786584:VSA786596 WBW786584:WBW786596 WLS786584:WLS786596 WVO786584:WVO786596 JC852120:JC852132 SY852120:SY852132 ACU852120:ACU852132 AMQ852120:AMQ852132 AWM852120:AWM852132 BGI852120:BGI852132 BQE852120:BQE852132 CAA852120:CAA852132 CJW852120:CJW852132 CTS852120:CTS852132 DDO852120:DDO852132 DNK852120:DNK852132 DXG852120:DXG852132 EHC852120:EHC852132 EQY852120:EQY852132 FAU852120:FAU852132 FKQ852120:FKQ852132 FUM852120:FUM852132 GEI852120:GEI852132 GOE852120:GOE852132 GYA852120:GYA852132 HHW852120:HHW852132 HRS852120:HRS852132 IBO852120:IBO852132 ILK852120:ILK852132 IVG852120:IVG852132 JFC852120:JFC852132 JOY852120:JOY852132 JYU852120:JYU852132 KIQ852120:KIQ852132 KSM852120:KSM852132 LCI852120:LCI852132 LME852120:LME852132 LWA852120:LWA852132 MFW852120:MFW852132 MPS852120:MPS852132 MZO852120:MZO852132 NJK852120:NJK852132 NTG852120:NTG852132 ODC852120:ODC852132 OMY852120:OMY852132 OWU852120:OWU852132 PGQ852120:PGQ852132 PQM852120:PQM852132 QAI852120:QAI852132 QKE852120:QKE852132 QUA852120:QUA852132 RDW852120:RDW852132 RNS852120:RNS852132 RXO852120:RXO852132 SHK852120:SHK852132 SRG852120:SRG852132 TBC852120:TBC852132 TKY852120:TKY852132 TUU852120:TUU852132 UEQ852120:UEQ852132 UOM852120:UOM852132 UYI852120:UYI852132 VIE852120:VIE852132 VSA852120:VSA852132 WBW852120:WBW852132 WLS852120:WLS852132 WVO852120:WVO852132 JC917656:JC917668 SY917656:SY917668 ACU917656:ACU917668 AMQ917656:AMQ917668 AWM917656:AWM917668 BGI917656:BGI917668 BQE917656:BQE917668 CAA917656:CAA917668 CJW917656:CJW917668 CTS917656:CTS917668 DDO917656:DDO917668 DNK917656:DNK917668 DXG917656:DXG917668 EHC917656:EHC917668 EQY917656:EQY917668 FAU917656:FAU917668 FKQ917656:FKQ917668 FUM917656:FUM917668 GEI917656:GEI917668 GOE917656:GOE917668 GYA917656:GYA917668 HHW917656:HHW917668 HRS917656:HRS917668 IBO917656:IBO917668 ILK917656:ILK917668 IVG917656:IVG917668 JFC917656:JFC917668 JOY917656:JOY917668 JYU917656:JYU917668 KIQ917656:KIQ917668 KSM917656:KSM917668 LCI917656:LCI917668 LME917656:LME917668 LWA917656:LWA917668 MFW917656:MFW917668 MPS917656:MPS917668 MZO917656:MZO917668 NJK917656:NJK917668 NTG917656:NTG917668 ODC917656:ODC917668 OMY917656:OMY917668 OWU917656:OWU917668 PGQ917656:PGQ917668 PQM917656:PQM917668 QAI917656:QAI917668 QKE917656:QKE917668 QUA917656:QUA917668 RDW917656:RDW917668 RNS917656:RNS917668 RXO917656:RXO917668 SHK917656:SHK917668 SRG917656:SRG917668 TBC917656:TBC917668 TKY917656:TKY917668 TUU917656:TUU917668 UEQ917656:UEQ917668 UOM917656:UOM917668 UYI917656:UYI917668 VIE917656:VIE917668 VSA917656:VSA917668 WBW917656:WBW917668 WLS917656:WLS917668 WVO917656:WVO917668 JC983192:JC983204 SY983192:SY983204 ACU983192:ACU983204 AMQ983192:AMQ983204 AWM983192:AWM983204 BGI983192:BGI983204 BQE983192:BQE983204 CAA983192:CAA983204 CJW983192:CJW983204 CTS983192:CTS983204 DDO983192:DDO983204 DNK983192:DNK983204 DXG983192:DXG983204 EHC983192:EHC983204 EQY983192:EQY983204 FAU983192:FAU983204 FKQ983192:FKQ983204 FUM983192:FUM983204 GEI983192:GEI983204 GOE983192:GOE983204 GYA983192:GYA983204 HHW983192:HHW983204 HRS983192:HRS983204 IBO983192:IBO983204 ILK983192:ILK983204 IVG983192:IVG983204 JFC983192:JFC983204 JOY983192:JOY983204 JYU983192:JYU983204 KIQ983192:KIQ983204 KSM983192:KSM983204 LCI983192:LCI983204 LME983192:LME983204 LWA983192:LWA983204 MFW983192:MFW983204 MPS983192:MPS983204 MZO983192:MZO983204 NJK983192:NJK983204 NTG983192:NTG983204 ODC983192:ODC983204 OMY983192:OMY983204 OWU983192:OWU983204 PGQ983192:PGQ983204 PQM983192:PQM983204 QAI983192:QAI983204 QKE983192:QKE983204 QUA983192:QUA983204 RDW983192:RDW983204 RNS983192:RNS983204 RXO983192:RXO983204 SHK983192:SHK983204 SRG983192:SRG983204 TBC983192:TBC983204 TKY983192:TKY983204 TUU983192:TUU983204 UEQ983192:UEQ983204 UOM983192:UOM983204 UYI983192:UYI983204 VIE983192:VIE983204 VSA983192:VSA983204 WBW983192:WBW983204 WLS983192:WLS983204 WVO983192:WVO983204 G144:G150 JB144:JC150 SX144:SY150 ACT144:ACU150 AMP144:AMQ150 AWL144:AWM150 BGH144:BGI150 BQD144:BQE150 BZZ144:CAA150 CJV144:CJW150 CTR144:CTS150 DDN144:DDO150 DNJ144:DNK150 DXF144:DXG150 EHB144:EHC150 EQX144:EQY150 FAT144:FAU150 FKP144:FKQ150 FUL144:FUM150 GEH144:GEI150 GOD144:GOE150 GXZ144:GYA150 HHV144:HHW150 HRR144:HRS150 IBN144:IBO150 ILJ144:ILK150 IVF144:IVG150 JFB144:JFC150 JOX144:JOY150 JYT144:JYU150 KIP144:KIQ150 KSL144:KSM150 LCH144:LCI150 LMD144:LME150 LVZ144:LWA150 MFV144:MFW150 MPR144:MPS150 MZN144:MZO150 NJJ144:NJK150 NTF144:NTG150 ODB144:ODC150 OMX144:OMY150 OWT144:OWU150 PGP144:PGQ150 PQL144:PQM150 QAH144:QAI150 QKD144:QKE150 QTZ144:QUA150 RDV144:RDW150 RNR144:RNS150 RXN144:RXO150 SHJ144:SHK150 SRF144:SRG150 TBB144:TBC150 TKX144:TKY150 TUT144:TUU150 UEP144:UEQ150 UOL144:UOM150 UYH144:UYI150 VID144:VIE150 VRZ144:VSA150 WBV144:WBW150 WLR144:WLS150 WVN144:WVO150 G65680:G65686 JB65680:JC65686 SX65680:SY65686 ACT65680:ACU65686 AMP65680:AMQ65686 AWL65680:AWM65686 BGH65680:BGI65686 BQD65680:BQE65686 BZZ65680:CAA65686 CJV65680:CJW65686 CTR65680:CTS65686 DDN65680:DDO65686 DNJ65680:DNK65686 DXF65680:DXG65686 EHB65680:EHC65686 EQX65680:EQY65686 FAT65680:FAU65686 FKP65680:FKQ65686 FUL65680:FUM65686 GEH65680:GEI65686 GOD65680:GOE65686 GXZ65680:GYA65686 HHV65680:HHW65686 HRR65680:HRS65686 IBN65680:IBO65686 ILJ65680:ILK65686 IVF65680:IVG65686 JFB65680:JFC65686 JOX65680:JOY65686 JYT65680:JYU65686 KIP65680:KIQ65686 KSL65680:KSM65686 LCH65680:LCI65686 LMD65680:LME65686 LVZ65680:LWA65686 MFV65680:MFW65686 MPR65680:MPS65686 MZN65680:MZO65686 NJJ65680:NJK65686 NTF65680:NTG65686 ODB65680:ODC65686 OMX65680:OMY65686 OWT65680:OWU65686 PGP65680:PGQ65686 PQL65680:PQM65686 QAH65680:QAI65686 QKD65680:QKE65686 QTZ65680:QUA65686 RDV65680:RDW65686 RNR65680:RNS65686 RXN65680:RXO65686 SHJ65680:SHK65686 SRF65680:SRG65686 TBB65680:TBC65686 TKX65680:TKY65686 TUT65680:TUU65686 UEP65680:UEQ65686 UOL65680:UOM65686 UYH65680:UYI65686 VID65680:VIE65686 VRZ65680:VSA65686 WBV65680:WBW65686 WLR65680:WLS65686 WVN65680:WVO65686 G131216:G131222 JB131216:JC131222 SX131216:SY131222 ACT131216:ACU131222 AMP131216:AMQ131222 AWL131216:AWM131222 BGH131216:BGI131222 BQD131216:BQE131222 BZZ131216:CAA131222 CJV131216:CJW131222 CTR131216:CTS131222 DDN131216:DDO131222 DNJ131216:DNK131222 DXF131216:DXG131222 EHB131216:EHC131222 EQX131216:EQY131222 FAT131216:FAU131222 FKP131216:FKQ131222 FUL131216:FUM131222 GEH131216:GEI131222 GOD131216:GOE131222 GXZ131216:GYA131222 HHV131216:HHW131222 HRR131216:HRS131222 IBN131216:IBO131222 ILJ131216:ILK131222 IVF131216:IVG131222 JFB131216:JFC131222 JOX131216:JOY131222 JYT131216:JYU131222 KIP131216:KIQ131222 KSL131216:KSM131222 LCH131216:LCI131222 LMD131216:LME131222 LVZ131216:LWA131222 MFV131216:MFW131222 MPR131216:MPS131222 MZN131216:MZO131222 NJJ131216:NJK131222 NTF131216:NTG131222 ODB131216:ODC131222 OMX131216:OMY131222 OWT131216:OWU131222 PGP131216:PGQ131222 PQL131216:PQM131222 QAH131216:QAI131222 QKD131216:QKE131222 QTZ131216:QUA131222 RDV131216:RDW131222 RNR131216:RNS131222 RXN131216:RXO131222 SHJ131216:SHK131222 SRF131216:SRG131222 TBB131216:TBC131222 TKX131216:TKY131222 TUT131216:TUU131222 UEP131216:UEQ131222 UOL131216:UOM131222 UYH131216:UYI131222 VID131216:VIE131222 VRZ131216:VSA131222 WBV131216:WBW131222 WLR131216:WLS131222 WVN131216:WVO131222 G196752:G196758 JB196752:JC196758 SX196752:SY196758 ACT196752:ACU196758 AMP196752:AMQ196758 AWL196752:AWM196758 BGH196752:BGI196758 BQD196752:BQE196758 BZZ196752:CAA196758 CJV196752:CJW196758 CTR196752:CTS196758 DDN196752:DDO196758 DNJ196752:DNK196758 DXF196752:DXG196758 EHB196752:EHC196758 EQX196752:EQY196758 FAT196752:FAU196758 FKP196752:FKQ196758 FUL196752:FUM196758 GEH196752:GEI196758 GOD196752:GOE196758 GXZ196752:GYA196758 HHV196752:HHW196758 HRR196752:HRS196758 IBN196752:IBO196758 ILJ196752:ILK196758 IVF196752:IVG196758 JFB196752:JFC196758 JOX196752:JOY196758 JYT196752:JYU196758 KIP196752:KIQ196758 KSL196752:KSM196758 LCH196752:LCI196758 LMD196752:LME196758 LVZ196752:LWA196758 MFV196752:MFW196758 MPR196752:MPS196758 MZN196752:MZO196758 NJJ196752:NJK196758 NTF196752:NTG196758 ODB196752:ODC196758 OMX196752:OMY196758 OWT196752:OWU196758 PGP196752:PGQ196758 PQL196752:PQM196758 QAH196752:QAI196758 QKD196752:QKE196758 QTZ196752:QUA196758 RDV196752:RDW196758 RNR196752:RNS196758 RXN196752:RXO196758 SHJ196752:SHK196758 SRF196752:SRG196758 TBB196752:TBC196758 TKX196752:TKY196758 TUT196752:TUU196758 UEP196752:UEQ196758 UOL196752:UOM196758 UYH196752:UYI196758 VID196752:VIE196758 VRZ196752:VSA196758 WBV196752:WBW196758 WLR196752:WLS196758 WVN196752:WVO196758 G262288:G262294 JB262288:JC262294 SX262288:SY262294 ACT262288:ACU262294 AMP262288:AMQ262294 AWL262288:AWM262294 BGH262288:BGI262294 BQD262288:BQE262294 BZZ262288:CAA262294 CJV262288:CJW262294 CTR262288:CTS262294 DDN262288:DDO262294 DNJ262288:DNK262294 DXF262288:DXG262294 EHB262288:EHC262294 EQX262288:EQY262294 FAT262288:FAU262294 FKP262288:FKQ262294 FUL262288:FUM262294 GEH262288:GEI262294 GOD262288:GOE262294 GXZ262288:GYA262294 HHV262288:HHW262294 HRR262288:HRS262294 IBN262288:IBO262294 ILJ262288:ILK262294 IVF262288:IVG262294 JFB262288:JFC262294 JOX262288:JOY262294 JYT262288:JYU262294 KIP262288:KIQ262294 KSL262288:KSM262294 LCH262288:LCI262294 LMD262288:LME262294 LVZ262288:LWA262294 MFV262288:MFW262294 MPR262288:MPS262294 MZN262288:MZO262294 NJJ262288:NJK262294 NTF262288:NTG262294 ODB262288:ODC262294 OMX262288:OMY262294 OWT262288:OWU262294 PGP262288:PGQ262294 PQL262288:PQM262294 QAH262288:QAI262294 QKD262288:QKE262294 QTZ262288:QUA262294 RDV262288:RDW262294 RNR262288:RNS262294 RXN262288:RXO262294 SHJ262288:SHK262294 SRF262288:SRG262294 TBB262288:TBC262294 TKX262288:TKY262294 TUT262288:TUU262294 UEP262288:UEQ262294 UOL262288:UOM262294 UYH262288:UYI262294 VID262288:VIE262294 VRZ262288:VSA262294 WBV262288:WBW262294 WLR262288:WLS262294 WVN262288:WVO262294 G327824:G327830 JB327824:JC327830 SX327824:SY327830 ACT327824:ACU327830 AMP327824:AMQ327830 AWL327824:AWM327830 BGH327824:BGI327830 BQD327824:BQE327830 BZZ327824:CAA327830 CJV327824:CJW327830 CTR327824:CTS327830 DDN327824:DDO327830 DNJ327824:DNK327830 DXF327824:DXG327830 EHB327824:EHC327830 EQX327824:EQY327830 FAT327824:FAU327830 FKP327824:FKQ327830 FUL327824:FUM327830 GEH327824:GEI327830 GOD327824:GOE327830 GXZ327824:GYA327830 HHV327824:HHW327830 HRR327824:HRS327830 IBN327824:IBO327830 ILJ327824:ILK327830 IVF327824:IVG327830 JFB327824:JFC327830 JOX327824:JOY327830 JYT327824:JYU327830 KIP327824:KIQ327830 KSL327824:KSM327830 LCH327824:LCI327830 LMD327824:LME327830 LVZ327824:LWA327830 MFV327824:MFW327830 MPR327824:MPS327830 MZN327824:MZO327830 NJJ327824:NJK327830 NTF327824:NTG327830 ODB327824:ODC327830 OMX327824:OMY327830 OWT327824:OWU327830 PGP327824:PGQ327830 PQL327824:PQM327830 QAH327824:QAI327830 QKD327824:QKE327830 QTZ327824:QUA327830 RDV327824:RDW327830 RNR327824:RNS327830 RXN327824:RXO327830 SHJ327824:SHK327830 SRF327824:SRG327830 TBB327824:TBC327830 TKX327824:TKY327830 TUT327824:TUU327830 UEP327824:UEQ327830 UOL327824:UOM327830 UYH327824:UYI327830 VID327824:VIE327830 VRZ327824:VSA327830 WBV327824:WBW327830 WLR327824:WLS327830 WVN327824:WVO327830 G393360:G393366 JB393360:JC393366 SX393360:SY393366 ACT393360:ACU393366 AMP393360:AMQ393366 AWL393360:AWM393366 BGH393360:BGI393366 BQD393360:BQE393366 BZZ393360:CAA393366 CJV393360:CJW393366 CTR393360:CTS393366 DDN393360:DDO393366 DNJ393360:DNK393366 DXF393360:DXG393366 EHB393360:EHC393366 EQX393360:EQY393366 FAT393360:FAU393366 FKP393360:FKQ393366 FUL393360:FUM393366 GEH393360:GEI393366 GOD393360:GOE393366 GXZ393360:GYA393366 HHV393360:HHW393366 HRR393360:HRS393366 IBN393360:IBO393366 ILJ393360:ILK393366 IVF393360:IVG393366 JFB393360:JFC393366 JOX393360:JOY393366 JYT393360:JYU393366 KIP393360:KIQ393366 KSL393360:KSM393366 LCH393360:LCI393366 LMD393360:LME393366 LVZ393360:LWA393366 MFV393360:MFW393366 MPR393360:MPS393366 MZN393360:MZO393366 NJJ393360:NJK393366 NTF393360:NTG393366 ODB393360:ODC393366 OMX393360:OMY393366 OWT393360:OWU393366 PGP393360:PGQ393366 PQL393360:PQM393366 QAH393360:QAI393366 QKD393360:QKE393366 QTZ393360:QUA393366 RDV393360:RDW393366 RNR393360:RNS393366 RXN393360:RXO393366 SHJ393360:SHK393366 SRF393360:SRG393366 TBB393360:TBC393366 TKX393360:TKY393366 TUT393360:TUU393366 UEP393360:UEQ393366 UOL393360:UOM393366 UYH393360:UYI393366 VID393360:VIE393366 VRZ393360:VSA393366 WBV393360:WBW393366 WLR393360:WLS393366 WVN393360:WVO393366 G458896:G458902 JB458896:JC458902 SX458896:SY458902 ACT458896:ACU458902 AMP458896:AMQ458902 AWL458896:AWM458902 BGH458896:BGI458902 BQD458896:BQE458902 BZZ458896:CAA458902 CJV458896:CJW458902 CTR458896:CTS458902 DDN458896:DDO458902 DNJ458896:DNK458902 DXF458896:DXG458902 EHB458896:EHC458902 EQX458896:EQY458902 FAT458896:FAU458902 FKP458896:FKQ458902 FUL458896:FUM458902 GEH458896:GEI458902 GOD458896:GOE458902 GXZ458896:GYA458902 HHV458896:HHW458902 HRR458896:HRS458902 IBN458896:IBO458902 ILJ458896:ILK458902 IVF458896:IVG458902 JFB458896:JFC458902 JOX458896:JOY458902 JYT458896:JYU458902 KIP458896:KIQ458902 KSL458896:KSM458902 LCH458896:LCI458902 LMD458896:LME458902 LVZ458896:LWA458902 MFV458896:MFW458902 MPR458896:MPS458902 MZN458896:MZO458902 NJJ458896:NJK458902 NTF458896:NTG458902 ODB458896:ODC458902 OMX458896:OMY458902 OWT458896:OWU458902 PGP458896:PGQ458902 PQL458896:PQM458902 QAH458896:QAI458902 QKD458896:QKE458902 QTZ458896:QUA458902 RDV458896:RDW458902 RNR458896:RNS458902 RXN458896:RXO458902 SHJ458896:SHK458902 SRF458896:SRG458902 TBB458896:TBC458902 TKX458896:TKY458902 TUT458896:TUU458902 UEP458896:UEQ458902 UOL458896:UOM458902 UYH458896:UYI458902 VID458896:VIE458902 VRZ458896:VSA458902 WBV458896:WBW458902 WLR458896:WLS458902 WVN458896:WVO458902 G524432:G524438 JB524432:JC524438 SX524432:SY524438 ACT524432:ACU524438 AMP524432:AMQ524438 AWL524432:AWM524438 BGH524432:BGI524438 BQD524432:BQE524438 BZZ524432:CAA524438 CJV524432:CJW524438 CTR524432:CTS524438 DDN524432:DDO524438 DNJ524432:DNK524438 DXF524432:DXG524438 EHB524432:EHC524438 EQX524432:EQY524438 FAT524432:FAU524438 FKP524432:FKQ524438 FUL524432:FUM524438 GEH524432:GEI524438 GOD524432:GOE524438 GXZ524432:GYA524438 HHV524432:HHW524438 HRR524432:HRS524438 IBN524432:IBO524438 ILJ524432:ILK524438 IVF524432:IVG524438 JFB524432:JFC524438 JOX524432:JOY524438 JYT524432:JYU524438 KIP524432:KIQ524438 KSL524432:KSM524438 LCH524432:LCI524438 LMD524432:LME524438 LVZ524432:LWA524438 MFV524432:MFW524438 MPR524432:MPS524438 MZN524432:MZO524438 NJJ524432:NJK524438 NTF524432:NTG524438 ODB524432:ODC524438 OMX524432:OMY524438 OWT524432:OWU524438 PGP524432:PGQ524438 PQL524432:PQM524438 QAH524432:QAI524438 QKD524432:QKE524438 QTZ524432:QUA524438 RDV524432:RDW524438 RNR524432:RNS524438 RXN524432:RXO524438 SHJ524432:SHK524438 SRF524432:SRG524438 TBB524432:TBC524438 TKX524432:TKY524438 TUT524432:TUU524438 UEP524432:UEQ524438 UOL524432:UOM524438 UYH524432:UYI524438 VID524432:VIE524438 VRZ524432:VSA524438 WBV524432:WBW524438 WLR524432:WLS524438 WVN524432:WVO524438 G589968:G589974 JB589968:JC589974 SX589968:SY589974 ACT589968:ACU589974 AMP589968:AMQ589974 AWL589968:AWM589974 BGH589968:BGI589974 BQD589968:BQE589974 BZZ589968:CAA589974 CJV589968:CJW589974 CTR589968:CTS589974 DDN589968:DDO589974 DNJ589968:DNK589974 DXF589968:DXG589974 EHB589968:EHC589974 EQX589968:EQY589974 FAT589968:FAU589974 FKP589968:FKQ589974 FUL589968:FUM589974 GEH589968:GEI589974 GOD589968:GOE589974 GXZ589968:GYA589974 HHV589968:HHW589974 HRR589968:HRS589974 IBN589968:IBO589974 ILJ589968:ILK589974 IVF589968:IVG589974 JFB589968:JFC589974 JOX589968:JOY589974 JYT589968:JYU589974 KIP589968:KIQ589974 KSL589968:KSM589974 LCH589968:LCI589974 LMD589968:LME589974 LVZ589968:LWA589974 MFV589968:MFW589974 MPR589968:MPS589974 MZN589968:MZO589974 NJJ589968:NJK589974 NTF589968:NTG589974 ODB589968:ODC589974 OMX589968:OMY589974 OWT589968:OWU589974 PGP589968:PGQ589974 PQL589968:PQM589974 QAH589968:QAI589974 QKD589968:QKE589974 QTZ589968:QUA589974 RDV589968:RDW589974 RNR589968:RNS589974 RXN589968:RXO589974 SHJ589968:SHK589974 SRF589968:SRG589974 TBB589968:TBC589974 TKX589968:TKY589974 TUT589968:TUU589974 UEP589968:UEQ589974 UOL589968:UOM589974 UYH589968:UYI589974 VID589968:VIE589974 VRZ589968:VSA589974 WBV589968:WBW589974 WLR589968:WLS589974 WVN589968:WVO589974 G655504:G655510 JB655504:JC655510 SX655504:SY655510 ACT655504:ACU655510 AMP655504:AMQ655510 AWL655504:AWM655510 BGH655504:BGI655510 BQD655504:BQE655510 BZZ655504:CAA655510 CJV655504:CJW655510 CTR655504:CTS655510 DDN655504:DDO655510 DNJ655504:DNK655510 DXF655504:DXG655510 EHB655504:EHC655510 EQX655504:EQY655510 FAT655504:FAU655510 FKP655504:FKQ655510 FUL655504:FUM655510 GEH655504:GEI655510 GOD655504:GOE655510 GXZ655504:GYA655510 HHV655504:HHW655510 HRR655504:HRS655510 IBN655504:IBO655510 ILJ655504:ILK655510 IVF655504:IVG655510 JFB655504:JFC655510 JOX655504:JOY655510 JYT655504:JYU655510 KIP655504:KIQ655510 KSL655504:KSM655510 LCH655504:LCI655510 LMD655504:LME655510 LVZ655504:LWA655510 MFV655504:MFW655510 MPR655504:MPS655510 MZN655504:MZO655510 NJJ655504:NJK655510 NTF655504:NTG655510 ODB655504:ODC655510 OMX655504:OMY655510 OWT655504:OWU655510 PGP655504:PGQ655510 PQL655504:PQM655510 QAH655504:QAI655510 QKD655504:QKE655510 QTZ655504:QUA655510 RDV655504:RDW655510 RNR655504:RNS655510 RXN655504:RXO655510 SHJ655504:SHK655510 SRF655504:SRG655510 TBB655504:TBC655510 TKX655504:TKY655510 TUT655504:TUU655510 UEP655504:UEQ655510 UOL655504:UOM655510 UYH655504:UYI655510 VID655504:VIE655510 VRZ655504:VSA655510 WBV655504:WBW655510 WLR655504:WLS655510 WVN655504:WVO655510 G721040:G721046 JB721040:JC721046 SX721040:SY721046 ACT721040:ACU721046 AMP721040:AMQ721046 AWL721040:AWM721046 BGH721040:BGI721046 BQD721040:BQE721046 BZZ721040:CAA721046 CJV721040:CJW721046 CTR721040:CTS721046 DDN721040:DDO721046 DNJ721040:DNK721046 DXF721040:DXG721046 EHB721040:EHC721046 EQX721040:EQY721046 FAT721040:FAU721046 FKP721040:FKQ721046 FUL721040:FUM721046 GEH721040:GEI721046 GOD721040:GOE721046 GXZ721040:GYA721046 HHV721040:HHW721046 HRR721040:HRS721046 IBN721040:IBO721046 ILJ721040:ILK721046 IVF721040:IVG721046 JFB721040:JFC721046 JOX721040:JOY721046 JYT721040:JYU721046 KIP721040:KIQ721046 KSL721040:KSM721046 LCH721040:LCI721046 LMD721040:LME721046 LVZ721040:LWA721046 MFV721040:MFW721046 MPR721040:MPS721046 MZN721040:MZO721046 NJJ721040:NJK721046 NTF721040:NTG721046 ODB721040:ODC721046 OMX721040:OMY721046 OWT721040:OWU721046 PGP721040:PGQ721046 PQL721040:PQM721046 QAH721040:QAI721046 QKD721040:QKE721046 QTZ721040:QUA721046 RDV721040:RDW721046 RNR721040:RNS721046 RXN721040:RXO721046 SHJ721040:SHK721046 SRF721040:SRG721046 TBB721040:TBC721046 TKX721040:TKY721046 TUT721040:TUU721046 UEP721040:UEQ721046 UOL721040:UOM721046 UYH721040:UYI721046 VID721040:VIE721046 VRZ721040:VSA721046 WBV721040:WBW721046 WLR721040:WLS721046 WVN721040:WVO721046 G786576:G786582 JB786576:JC786582 SX786576:SY786582 ACT786576:ACU786582 AMP786576:AMQ786582 AWL786576:AWM786582 BGH786576:BGI786582 BQD786576:BQE786582 BZZ786576:CAA786582 CJV786576:CJW786582 CTR786576:CTS786582 DDN786576:DDO786582 DNJ786576:DNK786582 DXF786576:DXG786582 EHB786576:EHC786582 EQX786576:EQY786582 FAT786576:FAU786582 FKP786576:FKQ786582 FUL786576:FUM786582 GEH786576:GEI786582 GOD786576:GOE786582 GXZ786576:GYA786582 HHV786576:HHW786582 HRR786576:HRS786582 IBN786576:IBO786582 ILJ786576:ILK786582 IVF786576:IVG786582 JFB786576:JFC786582 JOX786576:JOY786582 JYT786576:JYU786582 KIP786576:KIQ786582 KSL786576:KSM786582 LCH786576:LCI786582 LMD786576:LME786582 LVZ786576:LWA786582 MFV786576:MFW786582 MPR786576:MPS786582 MZN786576:MZO786582 NJJ786576:NJK786582 NTF786576:NTG786582 ODB786576:ODC786582 OMX786576:OMY786582 OWT786576:OWU786582 PGP786576:PGQ786582 PQL786576:PQM786582 QAH786576:QAI786582 QKD786576:QKE786582 QTZ786576:QUA786582 RDV786576:RDW786582 RNR786576:RNS786582 RXN786576:RXO786582 SHJ786576:SHK786582 SRF786576:SRG786582 TBB786576:TBC786582 TKX786576:TKY786582 TUT786576:TUU786582 UEP786576:UEQ786582 UOL786576:UOM786582 UYH786576:UYI786582 VID786576:VIE786582 VRZ786576:VSA786582 WBV786576:WBW786582 WLR786576:WLS786582 WVN786576:WVO786582 G852112:G852118 JB852112:JC852118 SX852112:SY852118 ACT852112:ACU852118 AMP852112:AMQ852118 AWL852112:AWM852118 BGH852112:BGI852118 BQD852112:BQE852118 BZZ852112:CAA852118 CJV852112:CJW852118 CTR852112:CTS852118 DDN852112:DDO852118 DNJ852112:DNK852118 DXF852112:DXG852118 EHB852112:EHC852118 EQX852112:EQY852118 FAT852112:FAU852118 FKP852112:FKQ852118 FUL852112:FUM852118 GEH852112:GEI852118 GOD852112:GOE852118 GXZ852112:GYA852118 HHV852112:HHW852118 HRR852112:HRS852118 IBN852112:IBO852118 ILJ852112:ILK852118 IVF852112:IVG852118 JFB852112:JFC852118 JOX852112:JOY852118 JYT852112:JYU852118 KIP852112:KIQ852118 KSL852112:KSM852118 LCH852112:LCI852118 LMD852112:LME852118 LVZ852112:LWA852118 MFV852112:MFW852118 MPR852112:MPS852118 MZN852112:MZO852118 NJJ852112:NJK852118 NTF852112:NTG852118 ODB852112:ODC852118 OMX852112:OMY852118 OWT852112:OWU852118 PGP852112:PGQ852118 PQL852112:PQM852118 QAH852112:QAI852118 QKD852112:QKE852118 QTZ852112:QUA852118 RDV852112:RDW852118 RNR852112:RNS852118 RXN852112:RXO852118 SHJ852112:SHK852118 SRF852112:SRG852118 TBB852112:TBC852118 TKX852112:TKY852118 TUT852112:TUU852118 UEP852112:UEQ852118 UOL852112:UOM852118 UYH852112:UYI852118 VID852112:VIE852118 VRZ852112:VSA852118 WBV852112:WBW852118 WLR852112:WLS852118 WVN852112:WVO852118 G917648:G917654 JB917648:JC917654 SX917648:SY917654 ACT917648:ACU917654 AMP917648:AMQ917654 AWL917648:AWM917654 BGH917648:BGI917654 BQD917648:BQE917654 BZZ917648:CAA917654 CJV917648:CJW917654 CTR917648:CTS917654 DDN917648:DDO917654 DNJ917648:DNK917654 DXF917648:DXG917654 EHB917648:EHC917654 EQX917648:EQY917654 FAT917648:FAU917654 FKP917648:FKQ917654 FUL917648:FUM917654 GEH917648:GEI917654 GOD917648:GOE917654 GXZ917648:GYA917654 HHV917648:HHW917654 HRR917648:HRS917654 IBN917648:IBO917654 ILJ917648:ILK917654 IVF917648:IVG917654 JFB917648:JFC917654 JOX917648:JOY917654 JYT917648:JYU917654 KIP917648:KIQ917654 KSL917648:KSM917654 LCH917648:LCI917654 LMD917648:LME917654 LVZ917648:LWA917654 MFV917648:MFW917654 MPR917648:MPS917654 MZN917648:MZO917654 NJJ917648:NJK917654 NTF917648:NTG917654 ODB917648:ODC917654 OMX917648:OMY917654 OWT917648:OWU917654 PGP917648:PGQ917654 PQL917648:PQM917654 QAH917648:QAI917654 QKD917648:QKE917654 QTZ917648:QUA917654 RDV917648:RDW917654 RNR917648:RNS917654 RXN917648:RXO917654 SHJ917648:SHK917654 SRF917648:SRG917654 TBB917648:TBC917654 TKX917648:TKY917654 TUT917648:TUU917654 UEP917648:UEQ917654 UOL917648:UOM917654 UYH917648:UYI917654 VID917648:VIE917654 VRZ917648:VSA917654 WBV917648:WBW917654 WLR917648:WLS917654 WVN917648:WVO917654 G983184:G983190 JB983184:JC983190 SX983184:SY983190 ACT983184:ACU983190 AMP983184:AMQ983190 AWL983184:AWM983190 BGH983184:BGI983190 BQD983184:BQE983190 BZZ983184:CAA983190 CJV983184:CJW983190 CTR983184:CTS983190 DDN983184:DDO983190 DNJ983184:DNK983190 DXF983184:DXG983190 EHB983184:EHC983190 EQX983184:EQY983190 FAT983184:FAU983190 FKP983184:FKQ983190 FUL983184:FUM983190 GEH983184:GEI983190 GOD983184:GOE983190 GXZ983184:GYA983190 HHV983184:HHW983190 HRR983184:HRS983190 IBN983184:IBO983190 ILJ983184:ILK983190 IVF983184:IVG983190 JFB983184:JFC983190 JOX983184:JOY983190 JYT983184:JYU983190 KIP983184:KIQ983190 KSL983184:KSM983190 LCH983184:LCI983190 LMD983184:LME983190 LVZ983184:LWA983190 MFV983184:MFW983190 MPR983184:MPS983190 MZN983184:MZO983190 NJJ983184:NJK983190 NTF983184:NTG983190 ODB983184:ODC983190 OMX983184:OMY983190 OWT983184:OWU983190 PGP983184:PGQ983190 PQL983184:PQM983190 QAH983184:QAI983190 QKD983184:QKE983190 QTZ983184:QUA983190 RDV983184:RDW983190 RNR983184:RNS983190 RXN983184:RXO983190 SHJ983184:SHK983190 SRF983184:SRG983190 TBB983184:TBC983190 TKX983184:TKY983190 TUT983184:TUU983190 UEP983184:UEQ983190 UOL983184:UOM983190 UYH983184:UYI983190 VID983184:VIE983190 VRZ983184:VSA983190 WBV983184:WBW983190 WLR983184:WLS983190 WVN983184:WVO983190 G156:G181 JB156:JB181 SX156:SX181 ACT156:ACT181 AMP156:AMP181 AWL156:AWL181 BGH156:BGH181 BQD156:BQD181 BZZ156:BZZ181 CJV156:CJV181 CTR156:CTR181 DDN156:DDN181 DNJ156:DNJ181 DXF156:DXF181 EHB156:EHB181 EQX156:EQX181 FAT156:FAT181 FKP156:FKP181 FUL156:FUL181 GEH156:GEH181 GOD156:GOD181 GXZ156:GXZ181 HHV156:HHV181 HRR156:HRR181 IBN156:IBN181 ILJ156:ILJ181 IVF156:IVF181 JFB156:JFB181 JOX156:JOX181 JYT156:JYT181 KIP156:KIP181 KSL156:KSL181 LCH156:LCH181 LMD156:LMD181 LVZ156:LVZ181 MFV156:MFV181 MPR156:MPR181 MZN156:MZN181 NJJ156:NJJ181 NTF156:NTF181 ODB156:ODB181 OMX156:OMX181 OWT156:OWT181 PGP156:PGP181 PQL156:PQL181 QAH156:QAH181 QKD156:QKD181 QTZ156:QTZ181 RDV156:RDV181 RNR156:RNR181 RXN156:RXN181 SHJ156:SHJ181 SRF156:SRF181 TBB156:TBB181 TKX156:TKX181 TUT156:TUT181 UEP156:UEP181 UOL156:UOL181 UYH156:UYH181 VID156:VID181 VRZ156:VRZ181 WBV156:WBV181 WLR156:WLR181 WVN156:WVN181 G65692:G65717 JB65692:JB65717 SX65692:SX65717 ACT65692:ACT65717 AMP65692:AMP65717 AWL65692:AWL65717 BGH65692:BGH65717 BQD65692:BQD65717 BZZ65692:BZZ65717 CJV65692:CJV65717 CTR65692:CTR65717 DDN65692:DDN65717 DNJ65692:DNJ65717 DXF65692:DXF65717 EHB65692:EHB65717 EQX65692:EQX65717 FAT65692:FAT65717 FKP65692:FKP65717 FUL65692:FUL65717 GEH65692:GEH65717 GOD65692:GOD65717 GXZ65692:GXZ65717 HHV65692:HHV65717 HRR65692:HRR65717 IBN65692:IBN65717 ILJ65692:ILJ65717 IVF65692:IVF65717 JFB65692:JFB65717 JOX65692:JOX65717 JYT65692:JYT65717 KIP65692:KIP65717 KSL65692:KSL65717 LCH65692:LCH65717 LMD65692:LMD65717 LVZ65692:LVZ65717 MFV65692:MFV65717 MPR65692:MPR65717 MZN65692:MZN65717 NJJ65692:NJJ65717 NTF65692:NTF65717 ODB65692:ODB65717 OMX65692:OMX65717 OWT65692:OWT65717 PGP65692:PGP65717 PQL65692:PQL65717 QAH65692:QAH65717 QKD65692:QKD65717 QTZ65692:QTZ65717 RDV65692:RDV65717 RNR65692:RNR65717 RXN65692:RXN65717 SHJ65692:SHJ65717 SRF65692:SRF65717 TBB65692:TBB65717 TKX65692:TKX65717 TUT65692:TUT65717 UEP65692:UEP65717 UOL65692:UOL65717 UYH65692:UYH65717 VID65692:VID65717 VRZ65692:VRZ65717 WBV65692:WBV65717 WLR65692:WLR65717 WVN65692:WVN65717 G131228:G131253 JB131228:JB131253 SX131228:SX131253 ACT131228:ACT131253 AMP131228:AMP131253 AWL131228:AWL131253 BGH131228:BGH131253 BQD131228:BQD131253 BZZ131228:BZZ131253 CJV131228:CJV131253 CTR131228:CTR131253 DDN131228:DDN131253 DNJ131228:DNJ131253 DXF131228:DXF131253 EHB131228:EHB131253 EQX131228:EQX131253 FAT131228:FAT131253 FKP131228:FKP131253 FUL131228:FUL131253 GEH131228:GEH131253 GOD131228:GOD131253 GXZ131228:GXZ131253 HHV131228:HHV131253 HRR131228:HRR131253 IBN131228:IBN131253 ILJ131228:ILJ131253 IVF131228:IVF131253 JFB131228:JFB131253 JOX131228:JOX131253 JYT131228:JYT131253 KIP131228:KIP131253 KSL131228:KSL131253 LCH131228:LCH131253 LMD131228:LMD131253 LVZ131228:LVZ131253 MFV131228:MFV131253 MPR131228:MPR131253 MZN131228:MZN131253 NJJ131228:NJJ131253 NTF131228:NTF131253 ODB131228:ODB131253 OMX131228:OMX131253 OWT131228:OWT131253 PGP131228:PGP131253 PQL131228:PQL131253 QAH131228:QAH131253 QKD131228:QKD131253 QTZ131228:QTZ131253 RDV131228:RDV131253 RNR131228:RNR131253 RXN131228:RXN131253 SHJ131228:SHJ131253 SRF131228:SRF131253 TBB131228:TBB131253 TKX131228:TKX131253 TUT131228:TUT131253 UEP131228:UEP131253 UOL131228:UOL131253 UYH131228:UYH131253 VID131228:VID131253 VRZ131228:VRZ131253 WBV131228:WBV131253 WLR131228:WLR131253 WVN131228:WVN131253 G196764:G196789 JB196764:JB196789 SX196764:SX196789 ACT196764:ACT196789 AMP196764:AMP196789 AWL196764:AWL196789 BGH196764:BGH196789 BQD196764:BQD196789 BZZ196764:BZZ196789 CJV196764:CJV196789 CTR196764:CTR196789 DDN196764:DDN196789 DNJ196764:DNJ196789 DXF196764:DXF196789 EHB196764:EHB196789 EQX196764:EQX196789 FAT196764:FAT196789 FKP196764:FKP196789 FUL196764:FUL196789 GEH196764:GEH196789 GOD196764:GOD196789 GXZ196764:GXZ196789 HHV196764:HHV196789 HRR196764:HRR196789 IBN196764:IBN196789 ILJ196764:ILJ196789 IVF196764:IVF196789 JFB196764:JFB196789 JOX196764:JOX196789 JYT196764:JYT196789 KIP196764:KIP196789 KSL196764:KSL196789 LCH196764:LCH196789 LMD196764:LMD196789 LVZ196764:LVZ196789 MFV196764:MFV196789 MPR196764:MPR196789 MZN196764:MZN196789 NJJ196764:NJJ196789 NTF196764:NTF196789 ODB196764:ODB196789 OMX196764:OMX196789 OWT196764:OWT196789 PGP196764:PGP196789 PQL196764:PQL196789 QAH196764:QAH196789 QKD196764:QKD196789 QTZ196764:QTZ196789 RDV196764:RDV196789 RNR196764:RNR196789 RXN196764:RXN196789 SHJ196764:SHJ196789 SRF196764:SRF196789 TBB196764:TBB196789 TKX196764:TKX196789 TUT196764:TUT196789 UEP196764:UEP196789 UOL196764:UOL196789 UYH196764:UYH196789 VID196764:VID196789 VRZ196764:VRZ196789 WBV196764:WBV196789 WLR196764:WLR196789 WVN196764:WVN196789 G262300:G262325 JB262300:JB262325 SX262300:SX262325 ACT262300:ACT262325 AMP262300:AMP262325 AWL262300:AWL262325 BGH262300:BGH262325 BQD262300:BQD262325 BZZ262300:BZZ262325 CJV262300:CJV262325 CTR262300:CTR262325 DDN262300:DDN262325 DNJ262300:DNJ262325 DXF262300:DXF262325 EHB262300:EHB262325 EQX262300:EQX262325 FAT262300:FAT262325 FKP262300:FKP262325 FUL262300:FUL262325 GEH262300:GEH262325 GOD262300:GOD262325 GXZ262300:GXZ262325 HHV262300:HHV262325 HRR262300:HRR262325 IBN262300:IBN262325 ILJ262300:ILJ262325 IVF262300:IVF262325 JFB262300:JFB262325 JOX262300:JOX262325 JYT262300:JYT262325 KIP262300:KIP262325 KSL262300:KSL262325 LCH262300:LCH262325 LMD262300:LMD262325 LVZ262300:LVZ262325 MFV262300:MFV262325 MPR262300:MPR262325 MZN262300:MZN262325 NJJ262300:NJJ262325 NTF262300:NTF262325 ODB262300:ODB262325 OMX262300:OMX262325 OWT262300:OWT262325 PGP262300:PGP262325 PQL262300:PQL262325 QAH262300:QAH262325 QKD262300:QKD262325 QTZ262300:QTZ262325 RDV262300:RDV262325 RNR262300:RNR262325 RXN262300:RXN262325 SHJ262300:SHJ262325 SRF262300:SRF262325 TBB262300:TBB262325 TKX262300:TKX262325 TUT262300:TUT262325 UEP262300:UEP262325 UOL262300:UOL262325 UYH262300:UYH262325 VID262300:VID262325 VRZ262300:VRZ262325 WBV262300:WBV262325 WLR262300:WLR262325 WVN262300:WVN262325 G327836:G327861 JB327836:JB327861 SX327836:SX327861 ACT327836:ACT327861 AMP327836:AMP327861 AWL327836:AWL327861 BGH327836:BGH327861 BQD327836:BQD327861 BZZ327836:BZZ327861 CJV327836:CJV327861 CTR327836:CTR327861 DDN327836:DDN327861 DNJ327836:DNJ327861 DXF327836:DXF327861 EHB327836:EHB327861 EQX327836:EQX327861 FAT327836:FAT327861 FKP327836:FKP327861 FUL327836:FUL327861 GEH327836:GEH327861 GOD327836:GOD327861 GXZ327836:GXZ327861 HHV327836:HHV327861 HRR327836:HRR327861 IBN327836:IBN327861 ILJ327836:ILJ327861 IVF327836:IVF327861 JFB327836:JFB327861 JOX327836:JOX327861 JYT327836:JYT327861 KIP327836:KIP327861 KSL327836:KSL327861 LCH327836:LCH327861 LMD327836:LMD327861 LVZ327836:LVZ327861 MFV327836:MFV327861 MPR327836:MPR327861 MZN327836:MZN327861 NJJ327836:NJJ327861 NTF327836:NTF327861 ODB327836:ODB327861 OMX327836:OMX327861 OWT327836:OWT327861 PGP327836:PGP327861 PQL327836:PQL327861 QAH327836:QAH327861 QKD327836:QKD327861 QTZ327836:QTZ327861 RDV327836:RDV327861 RNR327836:RNR327861 RXN327836:RXN327861 SHJ327836:SHJ327861 SRF327836:SRF327861 TBB327836:TBB327861 TKX327836:TKX327861 TUT327836:TUT327861 UEP327836:UEP327861 UOL327836:UOL327861 UYH327836:UYH327861 VID327836:VID327861 VRZ327836:VRZ327861 WBV327836:WBV327861 WLR327836:WLR327861 WVN327836:WVN327861 G393372:G393397 JB393372:JB393397 SX393372:SX393397 ACT393372:ACT393397 AMP393372:AMP393397 AWL393372:AWL393397 BGH393372:BGH393397 BQD393372:BQD393397 BZZ393372:BZZ393397 CJV393372:CJV393397 CTR393372:CTR393397 DDN393372:DDN393397 DNJ393372:DNJ393397 DXF393372:DXF393397 EHB393372:EHB393397 EQX393372:EQX393397 FAT393372:FAT393397 FKP393372:FKP393397 FUL393372:FUL393397 GEH393372:GEH393397 GOD393372:GOD393397 GXZ393372:GXZ393397 HHV393372:HHV393397 HRR393372:HRR393397 IBN393372:IBN393397 ILJ393372:ILJ393397 IVF393372:IVF393397 JFB393372:JFB393397 JOX393372:JOX393397 JYT393372:JYT393397 KIP393372:KIP393397 KSL393372:KSL393397 LCH393372:LCH393397 LMD393372:LMD393397 LVZ393372:LVZ393397 MFV393372:MFV393397 MPR393372:MPR393397 MZN393372:MZN393397 NJJ393372:NJJ393397 NTF393372:NTF393397 ODB393372:ODB393397 OMX393372:OMX393397 OWT393372:OWT393397 PGP393372:PGP393397 PQL393372:PQL393397 QAH393372:QAH393397 QKD393372:QKD393397 QTZ393372:QTZ393397 RDV393372:RDV393397 RNR393372:RNR393397 RXN393372:RXN393397 SHJ393372:SHJ393397 SRF393372:SRF393397 TBB393372:TBB393397 TKX393372:TKX393397 TUT393372:TUT393397 UEP393372:UEP393397 UOL393372:UOL393397 UYH393372:UYH393397 VID393372:VID393397 VRZ393372:VRZ393397 WBV393372:WBV393397 WLR393372:WLR393397 WVN393372:WVN393397 G458908:G458933 JB458908:JB458933 SX458908:SX458933 ACT458908:ACT458933 AMP458908:AMP458933 AWL458908:AWL458933 BGH458908:BGH458933 BQD458908:BQD458933 BZZ458908:BZZ458933 CJV458908:CJV458933 CTR458908:CTR458933 DDN458908:DDN458933 DNJ458908:DNJ458933 DXF458908:DXF458933 EHB458908:EHB458933 EQX458908:EQX458933 FAT458908:FAT458933 FKP458908:FKP458933 FUL458908:FUL458933 GEH458908:GEH458933 GOD458908:GOD458933 GXZ458908:GXZ458933 HHV458908:HHV458933 HRR458908:HRR458933 IBN458908:IBN458933 ILJ458908:ILJ458933 IVF458908:IVF458933 JFB458908:JFB458933 JOX458908:JOX458933 JYT458908:JYT458933 KIP458908:KIP458933 KSL458908:KSL458933 LCH458908:LCH458933 LMD458908:LMD458933 LVZ458908:LVZ458933 MFV458908:MFV458933 MPR458908:MPR458933 MZN458908:MZN458933 NJJ458908:NJJ458933 NTF458908:NTF458933 ODB458908:ODB458933 OMX458908:OMX458933 OWT458908:OWT458933 PGP458908:PGP458933 PQL458908:PQL458933 QAH458908:QAH458933 QKD458908:QKD458933 QTZ458908:QTZ458933 RDV458908:RDV458933 RNR458908:RNR458933 RXN458908:RXN458933 SHJ458908:SHJ458933 SRF458908:SRF458933 TBB458908:TBB458933 TKX458908:TKX458933 TUT458908:TUT458933 UEP458908:UEP458933 UOL458908:UOL458933 UYH458908:UYH458933 VID458908:VID458933 VRZ458908:VRZ458933 WBV458908:WBV458933 WLR458908:WLR458933 WVN458908:WVN458933 G524444:G524469 JB524444:JB524469 SX524444:SX524469 ACT524444:ACT524469 AMP524444:AMP524469 AWL524444:AWL524469 BGH524444:BGH524469 BQD524444:BQD524469 BZZ524444:BZZ524469 CJV524444:CJV524469 CTR524444:CTR524469 DDN524444:DDN524469 DNJ524444:DNJ524469 DXF524444:DXF524469 EHB524444:EHB524469 EQX524444:EQX524469 FAT524444:FAT524469 FKP524444:FKP524469 FUL524444:FUL524469 GEH524444:GEH524469 GOD524444:GOD524469 GXZ524444:GXZ524469 HHV524444:HHV524469 HRR524444:HRR524469 IBN524444:IBN524469 ILJ524444:ILJ524469 IVF524444:IVF524469 JFB524444:JFB524469 JOX524444:JOX524469 JYT524444:JYT524469 KIP524444:KIP524469 KSL524444:KSL524469 LCH524444:LCH524469 LMD524444:LMD524469 LVZ524444:LVZ524469 MFV524444:MFV524469 MPR524444:MPR524469 MZN524444:MZN524469 NJJ524444:NJJ524469 NTF524444:NTF524469 ODB524444:ODB524469 OMX524444:OMX524469 OWT524444:OWT524469 PGP524444:PGP524469 PQL524444:PQL524469 QAH524444:QAH524469 QKD524444:QKD524469 QTZ524444:QTZ524469 RDV524444:RDV524469 RNR524444:RNR524469 RXN524444:RXN524469 SHJ524444:SHJ524469 SRF524444:SRF524469 TBB524444:TBB524469 TKX524444:TKX524469 TUT524444:TUT524469 UEP524444:UEP524469 UOL524444:UOL524469 UYH524444:UYH524469 VID524444:VID524469 VRZ524444:VRZ524469 WBV524444:WBV524469 WLR524444:WLR524469 WVN524444:WVN524469 G589980:G590005 JB589980:JB590005 SX589980:SX590005 ACT589980:ACT590005 AMP589980:AMP590005 AWL589980:AWL590005 BGH589980:BGH590005 BQD589980:BQD590005 BZZ589980:BZZ590005 CJV589980:CJV590005 CTR589980:CTR590005 DDN589980:DDN590005 DNJ589980:DNJ590005 DXF589980:DXF590005 EHB589980:EHB590005 EQX589980:EQX590005 FAT589980:FAT590005 FKP589980:FKP590005 FUL589980:FUL590005 GEH589980:GEH590005 GOD589980:GOD590005 GXZ589980:GXZ590005 HHV589980:HHV590005 HRR589980:HRR590005 IBN589980:IBN590005 ILJ589980:ILJ590005 IVF589980:IVF590005 JFB589980:JFB590005 JOX589980:JOX590005 JYT589980:JYT590005 KIP589980:KIP590005 KSL589980:KSL590005 LCH589980:LCH590005 LMD589980:LMD590005 LVZ589980:LVZ590005 MFV589980:MFV590005 MPR589980:MPR590005 MZN589980:MZN590005 NJJ589980:NJJ590005 NTF589980:NTF590005 ODB589980:ODB590005 OMX589980:OMX590005 OWT589980:OWT590005 PGP589980:PGP590005 PQL589980:PQL590005 QAH589980:QAH590005 QKD589980:QKD590005 QTZ589980:QTZ590005 RDV589980:RDV590005 RNR589980:RNR590005 RXN589980:RXN590005 SHJ589980:SHJ590005 SRF589980:SRF590005 TBB589980:TBB590005 TKX589980:TKX590005 TUT589980:TUT590005 UEP589980:UEP590005 UOL589980:UOL590005 UYH589980:UYH590005 VID589980:VID590005 VRZ589980:VRZ590005 WBV589980:WBV590005 WLR589980:WLR590005 WVN589980:WVN590005 G655516:G655541 JB655516:JB655541 SX655516:SX655541 ACT655516:ACT655541 AMP655516:AMP655541 AWL655516:AWL655541 BGH655516:BGH655541 BQD655516:BQD655541 BZZ655516:BZZ655541 CJV655516:CJV655541 CTR655516:CTR655541 DDN655516:DDN655541 DNJ655516:DNJ655541 DXF655516:DXF655541 EHB655516:EHB655541 EQX655516:EQX655541 FAT655516:FAT655541 FKP655516:FKP655541 FUL655516:FUL655541 GEH655516:GEH655541 GOD655516:GOD655541 GXZ655516:GXZ655541 HHV655516:HHV655541 HRR655516:HRR655541 IBN655516:IBN655541 ILJ655516:ILJ655541 IVF655516:IVF655541 JFB655516:JFB655541 JOX655516:JOX655541 JYT655516:JYT655541 KIP655516:KIP655541 KSL655516:KSL655541 LCH655516:LCH655541 LMD655516:LMD655541 LVZ655516:LVZ655541 MFV655516:MFV655541 MPR655516:MPR655541 MZN655516:MZN655541 NJJ655516:NJJ655541 NTF655516:NTF655541 ODB655516:ODB655541 OMX655516:OMX655541 OWT655516:OWT655541 PGP655516:PGP655541 PQL655516:PQL655541 QAH655516:QAH655541 QKD655516:QKD655541 QTZ655516:QTZ655541 RDV655516:RDV655541 RNR655516:RNR655541 RXN655516:RXN655541 SHJ655516:SHJ655541 SRF655516:SRF655541 TBB655516:TBB655541 TKX655516:TKX655541 TUT655516:TUT655541 UEP655516:UEP655541 UOL655516:UOL655541 UYH655516:UYH655541 VID655516:VID655541 VRZ655516:VRZ655541 WBV655516:WBV655541 WLR655516:WLR655541 WVN655516:WVN655541 G721052:G721077 JB721052:JB721077 SX721052:SX721077 ACT721052:ACT721077 AMP721052:AMP721077 AWL721052:AWL721077 BGH721052:BGH721077 BQD721052:BQD721077 BZZ721052:BZZ721077 CJV721052:CJV721077 CTR721052:CTR721077 DDN721052:DDN721077 DNJ721052:DNJ721077 DXF721052:DXF721077 EHB721052:EHB721077 EQX721052:EQX721077 FAT721052:FAT721077 FKP721052:FKP721077 FUL721052:FUL721077 GEH721052:GEH721077 GOD721052:GOD721077 GXZ721052:GXZ721077 HHV721052:HHV721077 HRR721052:HRR721077 IBN721052:IBN721077 ILJ721052:ILJ721077 IVF721052:IVF721077 JFB721052:JFB721077 JOX721052:JOX721077 JYT721052:JYT721077 KIP721052:KIP721077 KSL721052:KSL721077 LCH721052:LCH721077 LMD721052:LMD721077 LVZ721052:LVZ721077 MFV721052:MFV721077 MPR721052:MPR721077 MZN721052:MZN721077 NJJ721052:NJJ721077 NTF721052:NTF721077 ODB721052:ODB721077 OMX721052:OMX721077 OWT721052:OWT721077 PGP721052:PGP721077 PQL721052:PQL721077 QAH721052:QAH721077 QKD721052:QKD721077 QTZ721052:QTZ721077 RDV721052:RDV721077 RNR721052:RNR721077 RXN721052:RXN721077 SHJ721052:SHJ721077 SRF721052:SRF721077 TBB721052:TBB721077 TKX721052:TKX721077 TUT721052:TUT721077 UEP721052:UEP721077 UOL721052:UOL721077 UYH721052:UYH721077 VID721052:VID721077 VRZ721052:VRZ721077 WBV721052:WBV721077 WLR721052:WLR721077 WVN721052:WVN721077 G786588:G786613 JB786588:JB786613 SX786588:SX786613 ACT786588:ACT786613 AMP786588:AMP786613 AWL786588:AWL786613 BGH786588:BGH786613 BQD786588:BQD786613 BZZ786588:BZZ786613 CJV786588:CJV786613 CTR786588:CTR786613 DDN786588:DDN786613 DNJ786588:DNJ786613 DXF786588:DXF786613 EHB786588:EHB786613 EQX786588:EQX786613 FAT786588:FAT786613 FKP786588:FKP786613 FUL786588:FUL786613 GEH786588:GEH786613 GOD786588:GOD786613 GXZ786588:GXZ786613 HHV786588:HHV786613 HRR786588:HRR786613 IBN786588:IBN786613 ILJ786588:ILJ786613 IVF786588:IVF786613 JFB786588:JFB786613 JOX786588:JOX786613 JYT786588:JYT786613 KIP786588:KIP786613 KSL786588:KSL786613 LCH786588:LCH786613 LMD786588:LMD786613 LVZ786588:LVZ786613 MFV786588:MFV786613 MPR786588:MPR786613 MZN786588:MZN786613 NJJ786588:NJJ786613 NTF786588:NTF786613 ODB786588:ODB786613 OMX786588:OMX786613 OWT786588:OWT786613 PGP786588:PGP786613 PQL786588:PQL786613 QAH786588:QAH786613 QKD786588:QKD786613 QTZ786588:QTZ786613 RDV786588:RDV786613 RNR786588:RNR786613 RXN786588:RXN786613 SHJ786588:SHJ786613 SRF786588:SRF786613 TBB786588:TBB786613 TKX786588:TKX786613 TUT786588:TUT786613 UEP786588:UEP786613 UOL786588:UOL786613 UYH786588:UYH786613 VID786588:VID786613 VRZ786588:VRZ786613 WBV786588:WBV786613 WLR786588:WLR786613 WVN786588:WVN786613 G852124:G852149 JB852124:JB852149 SX852124:SX852149 ACT852124:ACT852149 AMP852124:AMP852149 AWL852124:AWL852149 BGH852124:BGH852149 BQD852124:BQD852149 BZZ852124:BZZ852149 CJV852124:CJV852149 CTR852124:CTR852149 DDN852124:DDN852149 DNJ852124:DNJ852149 DXF852124:DXF852149 EHB852124:EHB852149 EQX852124:EQX852149 FAT852124:FAT852149 FKP852124:FKP852149 FUL852124:FUL852149 GEH852124:GEH852149 GOD852124:GOD852149 GXZ852124:GXZ852149 HHV852124:HHV852149 HRR852124:HRR852149 IBN852124:IBN852149 ILJ852124:ILJ852149 IVF852124:IVF852149 JFB852124:JFB852149 JOX852124:JOX852149 JYT852124:JYT852149 KIP852124:KIP852149 KSL852124:KSL852149 LCH852124:LCH852149 LMD852124:LMD852149 LVZ852124:LVZ852149 MFV852124:MFV852149 MPR852124:MPR852149 MZN852124:MZN852149 NJJ852124:NJJ852149 NTF852124:NTF852149 ODB852124:ODB852149 OMX852124:OMX852149 OWT852124:OWT852149 PGP852124:PGP852149 PQL852124:PQL852149 QAH852124:QAH852149 QKD852124:QKD852149 QTZ852124:QTZ852149 RDV852124:RDV852149 RNR852124:RNR852149 RXN852124:RXN852149 SHJ852124:SHJ852149 SRF852124:SRF852149 TBB852124:TBB852149 TKX852124:TKX852149 TUT852124:TUT852149 UEP852124:UEP852149 UOL852124:UOL852149 UYH852124:UYH852149 VID852124:VID852149 VRZ852124:VRZ852149 WBV852124:WBV852149 WLR852124:WLR852149 WVN852124:WVN852149 G917660:G917685 JB917660:JB917685 SX917660:SX917685 ACT917660:ACT917685 AMP917660:AMP917685 AWL917660:AWL917685 BGH917660:BGH917685 BQD917660:BQD917685 BZZ917660:BZZ917685 CJV917660:CJV917685 CTR917660:CTR917685 DDN917660:DDN917685 DNJ917660:DNJ917685 DXF917660:DXF917685 EHB917660:EHB917685 EQX917660:EQX917685 FAT917660:FAT917685 FKP917660:FKP917685 FUL917660:FUL917685 GEH917660:GEH917685 GOD917660:GOD917685 GXZ917660:GXZ917685 HHV917660:HHV917685 HRR917660:HRR917685 IBN917660:IBN917685 ILJ917660:ILJ917685 IVF917660:IVF917685 JFB917660:JFB917685 JOX917660:JOX917685 JYT917660:JYT917685 KIP917660:KIP917685 KSL917660:KSL917685 LCH917660:LCH917685 LMD917660:LMD917685 LVZ917660:LVZ917685 MFV917660:MFV917685 MPR917660:MPR917685 MZN917660:MZN917685 NJJ917660:NJJ917685 NTF917660:NTF917685 ODB917660:ODB917685 OMX917660:OMX917685 OWT917660:OWT917685 PGP917660:PGP917685 PQL917660:PQL917685 QAH917660:QAH917685 QKD917660:QKD917685 QTZ917660:QTZ917685 RDV917660:RDV917685 RNR917660:RNR917685 RXN917660:RXN917685 SHJ917660:SHJ917685 SRF917660:SRF917685 TBB917660:TBB917685 TKX917660:TKX917685 TUT917660:TUT917685 UEP917660:UEP917685 UOL917660:UOL917685 UYH917660:UYH917685 VID917660:VID917685 VRZ917660:VRZ917685 WBV917660:WBV917685 WLR917660:WLR917685 WVN917660:WVN917685 G983196:G983221 JB983196:JB983221 SX983196:SX983221 ACT983196:ACT983221 AMP983196:AMP983221 AWL983196:AWL983221 BGH983196:BGH983221 BQD983196:BQD983221 BZZ983196:BZZ983221 CJV983196:CJV983221 CTR983196:CTR983221 DDN983196:DDN983221 DNJ983196:DNJ983221 DXF983196:DXF983221 EHB983196:EHB983221 EQX983196:EQX983221 FAT983196:FAT983221 FKP983196:FKP983221 FUL983196:FUL983221 GEH983196:GEH983221 GOD983196:GOD983221 GXZ983196:GXZ983221 HHV983196:HHV983221 HRR983196:HRR983221 IBN983196:IBN983221 ILJ983196:ILJ983221 IVF983196:IVF983221 JFB983196:JFB983221 JOX983196:JOX983221 JYT983196:JYT983221 KIP983196:KIP983221 KSL983196:KSL983221 LCH983196:LCH983221 LMD983196:LMD983221 LVZ983196:LVZ983221 MFV983196:MFV983221 MPR983196:MPR983221 MZN983196:MZN983221 NJJ983196:NJJ983221 NTF983196:NTF983221 ODB983196:ODB983221 OMX983196:OMX983221 OWT983196:OWT983221 PGP983196:PGP983221 PQL983196:PQL983221 QAH983196:QAH983221 QKD983196:QKD983221 QTZ983196:QTZ983221 RDV983196:RDV983221 RNR983196:RNR983221 RXN983196:RXN983221 SHJ983196:SHJ983221 SRF983196:SRF983221 TBB983196:TBB983221 TKX983196:TKX983221 TUT983196:TUT983221 UEP983196:UEP983221 UOL983196:UOL983221 UYH983196:UYH983221 VID983196:VID983221 VRZ983196:VRZ983221 WBV983196:WBV983221 WLR983196:WLR983221 WVN983196:WVN983221 JC166:JC181 SY166:SY181 ACU166:ACU181 AMQ166:AMQ181 AWM166:AWM181 BGI166:BGI181 BQE166:BQE181 CAA166:CAA181 CJW166:CJW181 CTS166:CTS181 DDO166:DDO181 DNK166:DNK181 DXG166:DXG181 EHC166:EHC181 EQY166:EQY181 FAU166:FAU181 FKQ166:FKQ181 FUM166:FUM181 GEI166:GEI181 GOE166:GOE181 GYA166:GYA181 HHW166:HHW181 HRS166:HRS181 IBO166:IBO181 ILK166:ILK181 IVG166:IVG181 JFC166:JFC181 JOY166:JOY181 JYU166:JYU181 KIQ166:KIQ181 KSM166:KSM181 LCI166:LCI181 LME166:LME181 LWA166:LWA181 MFW166:MFW181 MPS166:MPS181 MZO166:MZO181 NJK166:NJK181 NTG166:NTG181 ODC166:ODC181 OMY166:OMY181 OWU166:OWU181 PGQ166:PGQ181 PQM166:PQM181 QAI166:QAI181 QKE166:QKE181 QUA166:QUA181 RDW166:RDW181 RNS166:RNS181 RXO166:RXO181 SHK166:SHK181 SRG166:SRG181 TBC166:TBC181 TKY166:TKY181 TUU166:TUU181 UEQ166:UEQ181 UOM166:UOM181 UYI166:UYI181 VIE166:VIE181 VSA166:VSA181 WBW166:WBW181 WLS166:WLS181 WVO166:WVO181 JC65702:JC65717 SY65702:SY65717 ACU65702:ACU65717 AMQ65702:AMQ65717 AWM65702:AWM65717 BGI65702:BGI65717 BQE65702:BQE65717 CAA65702:CAA65717 CJW65702:CJW65717 CTS65702:CTS65717 DDO65702:DDO65717 DNK65702:DNK65717 DXG65702:DXG65717 EHC65702:EHC65717 EQY65702:EQY65717 FAU65702:FAU65717 FKQ65702:FKQ65717 FUM65702:FUM65717 GEI65702:GEI65717 GOE65702:GOE65717 GYA65702:GYA65717 HHW65702:HHW65717 HRS65702:HRS65717 IBO65702:IBO65717 ILK65702:ILK65717 IVG65702:IVG65717 JFC65702:JFC65717 JOY65702:JOY65717 JYU65702:JYU65717 KIQ65702:KIQ65717 KSM65702:KSM65717 LCI65702:LCI65717 LME65702:LME65717 LWA65702:LWA65717 MFW65702:MFW65717 MPS65702:MPS65717 MZO65702:MZO65717 NJK65702:NJK65717 NTG65702:NTG65717 ODC65702:ODC65717 OMY65702:OMY65717 OWU65702:OWU65717 PGQ65702:PGQ65717 PQM65702:PQM65717 QAI65702:QAI65717 QKE65702:QKE65717 QUA65702:QUA65717 RDW65702:RDW65717 RNS65702:RNS65717 RXO65702:RXO65717 SHK65702:SHK65717 SRG65702:SRG65717 TBC65702:TBC65717 TKY65702:TKY65717 TUU65702:TUU65717 UEQ65702:UEQ65717 UOM65702:UOM65717 UYI65702:UYI65717 VIE65702:VIE65717 VSA65702:VSA65717 WBW65702:WBW65717 WLS65702:WLS65717 WVO65702:WVO65717 JC131238:JC131253 SY131238:SY131253 ACU131238:ACU131253 AMQ131238:AMQ131253 AWM131238:AWM131253 BGI131238:BGI131253 BQE131238:BQE131253 CAA131238:CAA131253 CJW131238:CJW131253 CTS131238:CTS131253 DDO131238:DDO131253 DNK131238:DNK131253 DXG131238:DXG131253 EHC131238:EHC131253 EQY131238:EQY131253 FAU131238:FAU131253 FKQ131238:FKQ131253 FUM131238:FUM131253 GEI131238:GEI131253 GOE131238:GOE131253 GYA131238:GYA131253 HHW131238:HHW131253 HRS131238:HRS131253 IBO131238:IBO131253 ILK131238:ILK131253 IVG131238:IVG131253 JFC131238:JFC131253 JOY131238:JOY131253 JYU131238:JYU131253 KIQ131238:KIQ131253 KSM131238:KSM131253 LCI131238:LCI131253 LME131238:LME131253 LWA131238:LWA131253 MFW131238:MFW131253 MPS131238:MPS131253 MZO131238:MZO131253 NJK131238:NJK131253 NTG131238:NTG131253 ODC131238:ODC131253 OMY131238:OMY131253 OWU131238:OWU131253 PGQ131238:PGQ131253 PQM131238:PQM131253 QAI131238:QAI131253 QKE131238:QKE131253 QUA131238:QUA131253 RDW131238:RDW131253 RNS131238:RNS131253 RXO131238:RXO131253 SHK131238:SHK131253 SRG131238:SRG131253 TBC131238:TBC131253 TKY131238:TKY131253 TUU131238:TUU131253 UEQ131238:UEQ131253 UOM131238:UOM131253 UYI131238:UYI131253 VIE131238:VIE131253 VSA131238:VSA131253 WBW131238:WBW131253 WLS131238:WLS131253 WVO131238:WVO131253 JC196774:JC196789 SY196774:SY196789 ACU196774:ACU196789 AMQ196774:AMQ196789 AWM196774:AWM196789 BGI196774:BGI196789 BQE196774:BQE196789 CAA196774:CAA196789 CJW196774:CJW196789 CTS196774:CTS196789 DDO196774:DDO196789 DNK196774:DNK196789 DXG196774:DXG196789 EHC196774:EHC196789 EQY196774:EQY196789 FAU196774:FAU196789 FKQ196774:FKQ196789 FUM196774:FUM196789 GEI196774:GEI196789 GOE196774:GOE196789 GYA196774:GYA196789 HHW196774:HHW196789 HRS196774:HRS196789 IBO196774:IBO196789 ILK196774:ILK196789 IVG196774:IVG196789 JFC196774:JFC196789 JOY196774:JOY196789 JYU196774:JYU196789 KIQ196774:KIQ196789 KSM196774:KSM196789 LCI196774:LCI196789 LME196774:LME196789 LWA196774:LWA196789 MFW196774:MFW196789 MPS196774:MPS196789 MZO196774:MZO196789 NJK196774:NJK196789 NTG196774:NTG196789 ODC196774:ODC196789 OMY196774:OMY196789 OWU196774:OWU196789 PGQ196774:PGQ196789 PQM196774:PQM196789 QAI196774:QAI196789 QKE196774:QKE196789 QUA196774:QUA196789 RDW196774:RDW196789 RNS196774:RNS196789 RXO196774:RXO196789 SHK196774:SHK196789 SRG196774:SRG196789 TBC196774:TBC196789 TKY196774:TKY196789 TUU196774:TUU196789 UEQ196774:UEQ196789 UOM196774:UOM196789 UYI196774:UYI196789 VIE196774:VIE196789 VSA196774:VSA196789 WBW196774:WBW196789 WLS196774:WLS196789 WVO196774:WVO196789 JC262310:JC262325 SY262310:SY262325 ACU262310:ACU262325 AMQ262310:AMQ262325 AWM262310:AWM262325 BGI262310:BGI262325 BQE262310:BQE262325 CAA262310:CAA262325 CJW262310:CJW262325 CTS262310:CTS262325 DDO262310:DDO262325 DNK262310:DNK262325 DXG262310:DXG262325 EHC262310:EHC262325 EQY262310:EQY262325 FAU262310:FAU262325 FKQ262310:FKQ262325 FUM262310:FUM262325 GEI262310:GEI262325 GOE262310:GOE262325 GYA262310:GYA262325 HHW262310:HHW262325 HRS262310:HRS262325 IBO262310:IBO262325 ILK262310:ILK262325 IVG262310:IVG262325 JFC262310:JFC262325 JOY262310:JOY262325 JYU262310:JYU262325 KIQ262310:KIQ262325 KSM262310:KSM262325 LCI262310:LCI262325 LME262310:LME262325 LWA262310:LWA262325 MFW262310:MFW262325 MPS262310:MPS262325 MZO262310:MZO262325 NJK262310:NJK262325 NTG262310:NTG262325 ODC262310:ODC262325 OMY262310:OMY262325 OWU262310:OWU262325 PGQ262310:PGQ262325 PQM262310:PQM262325 QAI262310:QAI262325 QKE262310:QKE262325 QUA262310:QUA262325 RDW262310:RDW262325 RNS262310:RNS262325 RXO262310:RXO262325 SHK262310:SHK262325 SRG262310:SRG262325 TBC262310:TBC262325 TKY262310:TKY262325 TUU262310:TUU262325 UEQ262310:UEQ262325 UOM262310:UOM262325 UYI262310:UYI262325 VIE262310:VIE262325 VSA262310:VSA262325 WBW262310:WBW262325 WLS262310:WLS262325 WVO262310:WVO262325 JC327846:JC327861 SY327846:SY327861 ACU327846:ACU327861 AMQ327846:AMQ327861 AWM327846:AWM327861 BGI327846:BGI327861 BQE327846:BQE327861 CAA327846:CAA327861 CJW327846:CJW327861 CTS327846:CTS327861 DDO327846:DDO327861 DNK327846:DNK327861 DXG327846:DXG327861 EHC327846:EHC327861 EQY327846:EQY327861 FAU327846:FAU327861 FKQ327846:FKQ327861 FUM327846:FUM327861 GEI327846:GEI327861 GOE327846:GOE327861 GYA327846:GYA327861 HHW327846:HHW327861 HRS327846:HRS327861 IBO327846:IBO327861 ILK327846:ILK327861 IVG327846:IVG327861 JFC327846:JFC327861 JOY327846:JOY327861 JYU327846:JYU327861 KIQ327846:KIQ327861 KSM327846:KSM327861 LCI327846:LCI327861 LME327846:LME327861 LWA327846:LWA327861 MFW327846:MFW327861 MPS327846:MPS327861 MZO327846:MZO327861 NJK327846:NJK327861 NTG327846:NTG327861 ODC327846:ODC327861 OMY327846:OMY327861 OWU327846:OWU327861 PGQ327846:PGQ327861 PQM327846:PQM327861 QAI327846:QAI327861 QKE327846:QKE327861 QUA327846:QUA327861 RDW327846:RDW327861 RNS327846:RNS327861 RXO327846:RXO327861 SHK327846:SHK327861 SRG327846:SRG327861 TBC327846:TBC327861 TKY327846:TKY327861 TUU327846:TUU327861 UEQ327846:UEQ327861 UOM327846:UOM327861 UYI327846:UYI327861 VIE327846:VIE327861 VSA327846:VSA327861 WBW327846:WBW327861 WLS327846:WLS327861 WVO327846:WVO327861 JC393382:JC393397 SY393382:SY393397 ACU393382:ACU393397 AMQ393382:AMQ393397 AWM393382:AWM393397 BGI393382:BGI393397 BQE393382:BQE393397 CAA393382:CAA393397 CJW393382:CJW393397 CTS393382:CTS393397 DDO393382:DDO393397 DNK393382:DNK393397 DXG393382:DXG393397 EHC393382:EHC393397 EQY393382:EQY393397 FAU393382:FAU393397 FKQ393382:FKQ393397 FUM393382:FUM393397 GEI393382:GEI393397 GOE393382:GOE393397 GYA393382:GYA393397 HHW393382:HHW393397 HRS393382:HRS393397 IBO393382:IBO393397 ILK393382:ILK393397 IVG393382:IVG393397 JFC393382:JFC393397 JOY393382:JOY393397 JYU393382:JYU393397 KIQ393382:KIQ393397 KSM393382:KSM393397 LCI393382:LCI393397 LME393382:LME393397 LWA393382:LWA393397 MFW393382:MFW393397 MPS393382:MPS393397 MZO393382:MZO393397 NJK393382:NJK393397 NTG393382:NTG393397 ODC393382:ODC393397 OMY393382:OMY393397 OWU393382:OWU393397 PGQ393382:PGQ393397 PQM393382:PQM393397 QAI393382:QAI393397 QKE393382:QKE393397 QUA393382:QUA393397 RDW393382:RDW393397 RNS393382:RNS393397 RXO393382:RXO393397 SHK393382:SHK393397 SRG393382:SRG393397 TBC393382:TBC393397 TKY393382:TKY393397 TUU393382:TUU393397 UEQ393382:UEQ393397 UOM393382:UOM393397 UYI393382:UYI393397 VIE393382:VIE393397 VSA393382:VSA393397 WBW393382:WBW393397 WLS393382:WLS393397 WVO393382:WVO393397 JC458918:JC458933 SY458918:SY458933 ACU458918:ACU458933 AMQ458918:AMQ458933 AWM458918:AWM458933 BGI458918:BGI458933 BQE458918:BQE458933 CAA458918:CAA458933 CJW458918:CJW458933 CTS458918:CTS458933 DDO458918:DDO458933 DNK458918:DNK458933 DXG458918:DXG458933 EHC458918:EHC458933 EQY458918:EQY458933 FAU458918:FAU458933 FKQ458918:FKQ458933 FUM458918:FUM458933 GEI458918:GEI458933 GOE458918:GOE458933 GYA458918:GYA458933 HHW458918:HHW458933 HRS458918:HRS458933 IBO458918:IBO458933 ILK458918:ILK458933 IVG458918:IVG458933 JFC458918:JFC458933 JOY458918:JOY458933 JYU458918:JYU458933 KIQ458918:KIQ458933 KSM458918:KSM458933 LCI458918:LCI458933 LME458918:LME458933 LWA458918:LWA458933 MFW458918:MFW458933 MPS458918:MPS458933 MZO458918:MZO458933 NJK458918:NJK458933 NTG458918:NTG458933 ODC458918:ODC458933 OMY458918:OMY458933 OWU458918:OWU458933 PGQ458918:PGQ458933 PQM458918:PQM458933 QAI458918:QAI458933 QKE458918:QKE458933 QUA458918:QUA458933 RDW458918:RDW458933 RNS458918:RNS458933 RXO458918:RXO458933 SHK458918:SHK458933 SRG458918:SRG458933 TBC458918:TBC458933 TKY458918:TKY458933 TUU458918:TUU458933 UEQ458918:UEQ458933 UOM458918:UOM458933 UYI458918:UYI458933 VIE458918:VIE458933 VSA458918:VSA458933 WBW458918:WBW458933 WLS458918:WLS458933 WVO458918:WVO458933 JC524454:JC524469 SY524454:SY524469 ACU524454:ACU524469 AMQ524454:AMQ524469 AWM524454:AWM524469 BGI524454:BGI524469 BQE524454:BQE524469 CAA524454:CAA524469 CJW524454:CJW524469 CTS524454:CTS524469 DDO524454:DDO524469 DNK524454:DNK524469 DXG524454:DXG524469 EHC524454:EHC524469 EQY524454:EQY524469 FAU524454:FAU524469 FKQ524454:FKQ524469 FUM524454:FUM524469 GEI524454:GEI524469 GOE524454:GOE524469 GYA524454:GYA524469 HHW524454:HHW524469 HRS524454:HRS524469 IBO524454:IBO524469 ILK524454:ILK524469 IVG524454:IVG524469 JFC524454:JFC524469 JOY524454:JOY524469 JYU524454:JYU524469 KIQ524454:KIQ524469 KSM524454:KSM524469 LCI524454:LCI524469 LME524454:LME524469 LWA524454:LWA524469 MFW524454:MFW524469 MPS524454:MPS524469 MZO524454:MZO524469 NJK524454:NJK524469 NTG524454:NTG524469 ODC524454:ODC524469 OMY524454:OMY524469 OWU524454:OWU524469 PGQ524454:PGQ524469 PQM524454:PQM524469 QAI524454:QAI524469 QKE524454:QKE524469 QUA524454:QUA524469 RDW524454:RDW524469 RNS524454:RNS524469 RXO524454:RXO524469 SHK524454:SHK524469 SRG524454:SRG524469 TBC524454:TBC524469 TKY524454:TKY524469 TUU524454:TUU524469 UEQ524454:UEQ524469 UOM524454:UOM524469 UYI524454:UYI524469 VIE524454:VIE524469 VSA524454:VSA524469 WBW524454:WBW524469 WLS524454:WLS524469 WVO524454:WVO524469 JC589990:JC590005 SY589990:SY590005 ACU589990:ACU590005 AMQ589990:AMQ590005 AWM589990:AWM590005 BGI589990:BGI590005 BQE589990:BQE590005 CAA589990:CAA590005 CJW589990:CJW590005 CTS589990:CTS590005 DDO589990:DDO590005 DNK589990:DNK590005 DXG589990:DXG590005 EHC589990:EHC590005 EQY589990:EQY590005 FAU589990:FAU590005 FKQ589990:FKQ590005 FUM589990:FUM590005 GEI589990:GEI590005 GOE589990:GOE590005 GYA589990:GYA590005 HHW589990:HHW590005 HRS589990:HRS590005 IBO589990:IBO590005 ILK589990:ILK590005 IVG589990:IVG590005 JFC589990:JFC590005 JOY589990:JOY590005 JYU589990:JYU590005 KIQ589990:KIQ590005 KSM589990:KSM590005 LCI589990:LCI590005 LME589990:LME590005 LWA589990:LWA590005 MFW589990:MFW590005 MPS589990:MPS590005 MZO589990:MZO590005 NJK589990:NJK590005 NTG589990:NTG590005 ODC589990:ODC590005 OMY589990:OMY590005 OWU589990:OWU590005 PGQ589990:PGQ590005 PQM589990:PQM590005 QAI589990:QAI590005 QKE589990:QKE590005 QUA589990:QUA590005 RDW589990:RDW590005 RNS589990:RNS590005 RXO589990:RXO590005 SHK589990:SHK590005 SRG589990:SRG590005 TBC589990:TBC590005 TKY589990:TKY590005 TUU589990:TUU590005 UEQ589990:UEQ590005 UOM589990:UOM590005 UYI589990:UYI590005 VIE589990:VIE590005 VSA589990:VSA590005 WBW589990:WBW590005 WLS589990:WLS590005 WVO589990:WVO590005 JC655526:JC655541 SY655526:SY655541 ACU655526:ACU655541 AMQ655526:AMQ655541 AWM655526:AWM655541 BGI655526:BGI655541 BQE655526:BQE655541 CAA655526:CAA655541 CJW655526:CJW655541 CTS655526:CTS655541 DDO655526:DDO655541 DNK655526:DNK655541 DXG655526:DXG655541 EHC655526:EHC655541 EQY655526:EQY655541 FAU655526:FAU655541 FKQ655526:FKQ655541 FUM655526:FUM655541 GEI655526:GEI655541 GOE655526:GOE655541 GYA655526:GYA655541 HHW655526:HHW655541 HRS655526:HRS655541 IBO655526:IBO655541 ILK655526:ILK655541 IVG655526:IVG655541 JFC655526:JFC655541 JOY655526:JOY655541 JYU655526:JYU655541 KIQ655526:KIQ655541 KSM655526:KSM655541 LCI655526:LCI655541 LME655526:LME655541 LWA655526:LWA655541 MFW655526:MFW655541 MPS655526:MPS655541 MZO655526:MZO655541 NJK655526:NJK655541 NTG655526:NTG655541 ODC655526:ODC655541 OMY655526:OMY655541 OWU655526:OWU655541 PGQ655526:PGQ655541 PQM655526:PQM655541 QAI655526:QAI655541 QKE655526:QKE655541 QUA655526:QUA655541 RDW655526:RDW655541 RNS655526:RNS655541 RXO655526:RXO655541 SHK655526:SHK655541 SRG655526:SRG655541 TBC655526:TBC655541 TKY655526:TKY655541 TUU655526:TUU655541 UEQ655526:UEQ655541 UOM655526:UOM655541 UYI655526:UYI655541 VIE655526:VIE655541 VSA655526:VSA655541 WBW655526:WBW655541 WLS655526:WLS655541 WVO655526:WVO655541 JC721062:JC721077 SY721062:SY721077 ACU721062:ACU721077 AMQ721062:AMQ721077 AWM721062:AWM721077 BGI721062:BGI721077 BQE721062:BQE721077 CAA721062:CAA721077 CJW721062:CJW721077 CTS721062:CTS721077 DDO721062:DDO721077 DNK721062:DNK721077 DXG721062:DXG721077 EHC721062:EHC721077 EQY721062:EQY721077 FAU721062:FAU721077 FKQ721062:FKQ721077 FUM721062:FUM721077 GEI721062:GEI721077 GOE721062:GOE721077 GYA721062:GYA721077 HHW721062:HHW721077 HRS721062:HRS721077 IBO721062:IBO721077 ILK721062:ILK721077 IVG721062:IVG721077 JFC721062:JFC721077 JOY721062:JOY721077 JYU721062:JYU721077 KIQ721062:KIQ721077 KSM721062:KSM721077 LCI721062:LCI721077 LME721062:LME721077 LWA721062:LWA721077 MFW721062:MFW721077 MPS721062:MPS721077 MZO721062:MZO721077 NJK721062:NJK721077 NTG721062:NTG721077 ODC721062:ODC721077 OMY721062:OMY721077 OWU721062:OWU721077 PGQ721062:PGQ721077 PQM721062:PQM721077 QAI721062:QAI721077 QKE721062:QKE721077 QUA721062:QUA721077 RDW721062:RDW721077 RNS721062:RNS721077 RXO721062:RXO721077 SHK721062:SHK721077 SRG721062:SRG721077 TBC721062:TBC721077 TKY721062:TKY721077 TUU721062:TUU721077 UEQ721062:UEQ721077 UOM721062:UOM721077 UYI721062:UYI721077 VIE721062:VIE721077 VSA721062:VSA721077 WBW721062:WBW721077 WLS721062:WLS721077 WVO721062:WVO721077 JC786598:JC786613 SY786598:SY786613 ACU786598:ACU786613 AMQ786598:AMQ786613 AWM786598:AWM786613 BGI786598:BGI786613 BQE786598:BQE786613 CAA786598:CAA786613 CJW786598:CJW786613 CTS786598:CTS786613 DDO786598:DDO786613 DNK786598:DNK786613 DXG786598:DXG786613 EHC786598:EHC786613 EQY786598:EQY786613 FAU786598:FAU786613 FKQ786598:FKQ786613 FUM786598:FUM786613 GEI786598:GEI786613 GOE786598:GOE786613 GYA786598:GYA786613 HHW786598:HHW786613 HRS786598:HRS786613 IBO786598:IBO786613 ILK786598:ILK786613 IVG786598:IVG786613 JFC786598:JFC786613 JOY786598:JOY786613 JYU786598:JYU786613 KIQ786598:KIQ786613 KSM786598:KSM786613 LCI786598:LCI786613 LME786598:LME786613 LWA786598:LWA786613 MFW786598:MFW786613 MPS786598:MPS786613 MZO786598:MZO786613 NJK786598:NJK786613 NTG786598:NTG786613 ODC786598:ODC786613 OMY786598:OMY786613 OWU786598:OWU786613 PGQ786598:PGQ786613 PQM786598:PQM786613 QAI786598:QAI786613 QKE786598:QKE786613 QUA786598:QUA786613 RDW786598:RDW786613 RNS786598:RNS786613 RXO786598:RXO786613 SHK786598:SHK786613 SRG786598:SRG786613 TBC786598:TBC786613 TKY786598:TKY786613 TUU786598:TUU786613 UEQ786598:UEQ786613 UOM786598:UOM786613 UYI786598:UYI786613 VIE786598:VIE786613 VSA786598:VSA786613 WBW786598:WBW786613 WLS786598:WLS786613 WVO786598:WVO786613 JC852134:JC852149 SY852134:SY852149 ACU852134:ACU852149 AMQ852134:AMQ852149 AWM852134:AWM852149 BGI852134:BGI852149 BQE852134:BQE852149 CAA852134:CAA852149 CJW852134:CJW852149 CTS852134:CTS852149 DDO852134:DDO852149 DNK852134:DNK852149 DXG852134:DXG852149 EHC852134:EHC852149 EQY852134:EQY852149 FAU852134:FAU852149 FKQ852134:FKQ852149 FUM852134:FUM852149 GEI852134:GEI852149 GOE852134:GOE852149 GYA852134:GYA852149 HHW852134:HHW852149 HRS852134:HRS852149 IBO852134:IBO852149 ILK852134:ILK852149 IVG852134:IVG852149 JFC852134:JFC852149 JOY852134:JOY852149 JYU852134:JYU852149 KIQ852134:KIQ852149 KSM852134:KSM852149 LCI852134:LCI852149 LME852134:LME852149 LWA852134:LWA852149 MFW852134:MFW852149 MPS852134:MPS852149 MZO852134:MZO852149 NJK852134:NJK852149 NTG852134:NTG852149 ODC852134:ODC852149 OMY852134:OMY852149 OWU852134:OWU852149 PGQ852134:PGQ852149 PQM852134:PQM852149 QAI852134:QAI852149 QKE852134:QKE852149 QUA852134:QUA852149 RDW852134:RDW852149 RNS852134:RNS852149 RXO852134:RXO852149 SHK852134:SHK852149 SRG852134:SRG852149 TBC852134:TBC852149 TKY852134:TKY852149 TUU852134:TUU852149 UEQ852134:UEQ852149 UOM852134:UOM852149 UYI852134:UYI852149 VIE852134:VIE852149 VSA852134:VSA852149 WBW852134:WBW852149 WLS852134:WLS852149 WVO852134:WVO852149 JC917670:JC917685 SY917670:SY917685 ACU917670:ACU917685 AMQ917670:AMQ917685 AWM917670:AWM917685 BGI917670:BGI917685 BQE917670:BQE917685 CAA917670:CAA917685 CJW917670:CJW917685 CTS917670:CTS917685 DDO917670:DDO917685 DNK917670:DNK917685 DXG917670:DXG917685 EHC917670:EHC917685 EQY917670:EQY917685 FAU917670:FAU917685 FKQ917670:FKQ917685 FUM917670:FUM917685 GEI917670:GEI917685 GOE917670:GOE917685 GYA917670:GYA917685 HHW917670:HHW917685 HRS917670:HRS917685 IBO917670:IBO917685 ILK917670:ILK917685 IVG917670:IVG917685 JFC917670:JFC917685 JOY917670:JOY917685 JYU917670:JYU917685 KIQ917670:KIQ917685 KSM917670:KSM917685 LCI917670:LCI917685 LME917670:LME917685 LWA917670:LWA917685 MFW917670:MFW917685 MPS917670:MPS917685 MZO917670:MZO917685 NJK917670:NJK917685 NTG917670:NTG917685 ODC917670:ODC917685 OMY917670:OMY917685 OWU917670:OWU917685 PGQ917670:PGQ917685 PQM917670:PQM917685 QAI917670:QAI917685 QKE917670:QKE917685 QUA917670:QUA917685 RDW917670:RDW917685 RNS917670:RNS917685 RXO917670:RXO917685 SHK917670:SHK917685 SRG917670:SRG917685 TBC917670:TBC917685 TKY917670:TKY917685 TUU917670:TUU917685 UEQ917670:UEQ917685 UOM917670:UOM917685 UYI917670:UYI917685 VIE917670:VIE917685 VSA917670:VSA917685 WBW917670:WBW917685 WLS917670:WLS917685 WVO917670:WVO917685 JC983206:JC983221 SY983206:SY983221 ACU983206:ACU983221 AMQ983206:AMQ983221 AWM983206:AWM983221 BGI983206:BGI983221 BQE983206:BQE983221 CAA983206:CAA983221 CJW983206:CJW983221 CTS983206:CTS983221 DDO983206:DDO983221 DNK983206:DNK983221 DXG983206:DXG983221 EHC983206:EHC983221 EQY983206:EQY983221 FAU983206:FAU983221 FKQ983206:FKQ983221 FUM983206:FUM983221 GEI983206:GEI983221 GOE983206:GOE983221 GYA983206:GYA983221 HHW983206:HHW983221 HRS983206:HRS983221 IBO983206:IBO983221 ILK983206:ILK983221 IVG983206:IVG983221 JFC983206:JFC983221 JOY983206:JOY983221 JYU983206:JYU983221 KIQ983206:KIQ983221 KSM983206:KSM983221 LCI983206:LCI983221 LME983206:LME983221 LWA983206:LWA983221 MFW983206:MFW983221 MPS983206:MPS983221 MZO983206:MZO983221 NJK983206:NJK983221 NTG983206:NTG983221 ODC983206:ODC983221 OMY983206:OMY983221 OWU983206:OWU983221 PGQ983206:PGQ983221 PQM983206:PQM983221 QAI983206:QAI983221 QKE983206:QKE983221 QUA983206:QUA983221 RDW983206:RDW983221 RNS983206:RNS983221 RXO983206:RXO983221 SHK983206:SHK983221 SRG983206:SRG983221 TBC983206:TBC983221 TKY983206:TKY983221 TUU983206:TUU983221 UEQ983206:UEQ983221 UOM983206:UOM983221 UYI983206:UYI983221 VIE983206:VIE983221 VSA983206:VSA983221 WBW983206:WBW983221 WLS983206:WLS983221 WVO983206:WVO983221">
      <formula1>OR(D7=0, D7&gt;50)</formula1>
    </dataValidation>
  </dataValidations>
  <pageMargins left="0.7" right="0.7" top="0.75" bottom="0.75" header="0.3" footer="0.3"/>
  <ignoredErrors>
    <ignoredError sqref="E7:E181" numberStoredAsText="1"/>
    <ignoredError sqref="G78 G151" unlockedFormula="1"/>
  </ignoredErrors>
  <legacyDrawing r:id="rId1"/>
  <extLst>
    <ext xmlns:x14="http://schemas.microsoft.com/office/spreadsheetml/2009/9/main" uri="{CCE6A557-97BC-4b89-ADB6-D9C93CAAB3DF}">
      <x14:dataValidations xmlns:xm="http://schemas.microsoft.com/office/excel/2006/main" count="1">
        <x14:dataValidation operator="greaterThanOrEqual" allowBlank="1" errorTitle="Error de datos" error="Debe ingresar un valor entero positivo">
          <xm:sqref>F6:F107 JA6:JA107 SW6:SW107 ACS6:ACS107 AMO6:AMO107 AWK6:AWK107 BGG6:BGG107 BQC6:BQC107 BZY6:BZY107 CJU6:CJU107 CTQ6:CTQ107 DDM6:DDM107 DNI6:DNI107 DXE6:DXE107 EHA6:EHA107 EQW6:EQW107 FAS6:FAS107 FKO6:FKO107 FUK6:FUK107 GEG6:GEG107 GOC6:GOC107 GXY6:GXY107 HHU6:HHU107 HRQ6:HRQ107 IBM6:IBM107 ILI6:ILI107 IVE6:IVE107 JFA6:JFA107 JOW6:JOW107 JYS6:JYS107 KIO6:KIO107 KSK6:KSK107 LCG6:LCG107 LMC6:LMC107 LVY6:LVY107 MFU6:MFU107 MPQ6:MPQ107 MZM6:MZM107 NJI6:NJI107 NTE6:NTE107 ODA6:ODA107 OMW6:OMW107 OWS6:OWS107 PGO6:PGO107 PQK6:PQK107 QAG6:QAG107 QKC6:QKC107 QTY6:QTY107 RDU6:RDU107 RNQ6:RNQ107 RXM6:RXM107 SHI6:SHI107 SRE6:SRE107 TBA6:TBA107 TKW6:TKW107 TUS6:TUS107 UEO6:UEO107 UOK6:UOK107 UYG6:UYG107 VIC6:VIC107 VRY6:VRY107 WBU6:WBU107 WLQ6:WLQ107 WVM6:WVM107 F65542:F65643 JA65542:JA65643 SW65542:SW65643 ACS65542:ACS65643 AMO65542:AMO65643 AWK65542:AWK65643 BGG65542:BGG65643 BQC65542:BQC65643 BZY65542:BZY65643 CJU65542:CJU65643 CTQ65542:CTQ65643 DDM65542:DDM65643 DNI65542:DNI65643 DXE65542:DXE65643 EHA65542:EHA65643 EQW65542:EQW65643 FAS65542:FAS65643 FKO65542:FKO65643 FUK65542:FUK65643 GEG65542:GEG65643 GOC65542:GOC65643 GXY65542:GXY65643 HHU65542:HHU65643 HRQ65542:HRQ65643 IBM65542:IBM65643 ILI65542:ILI65643 IVE65542:IVE65643 JFA65542:JFA65643 JOW65542:JOW65643 JYS65542:JYS65643 KIO65542:KIO65643 KSK65542:KSK65643 LCG65542:LCG65643 LMC65542:LMC65643 LVY65542:LVY65643 MFU65542:MFU65643 MPQ65542:MPQ65643 MZM65542:MZM65643 NJI65542:NJI65643 NTE65542:NTE65643 ODA65542:ODA65643 OMW65542:OMW65643 OWS65542:OWS65643 PGO65542:PGO65643 PQK65542:PQK65643 QAG65542:QAG65643 QKC65542:QKC65643 QTY65542:QTY65643 RDU65542:RDU65643 RNQ65542:RNQ65643 RXM65542:RXM65643 SHI65542:SHI65643 SRE65542:SRE65643 TBA65542:TBA65643 TKW65542:TKW65643 TUS65542:TUS65643 UEO65542:UEO65643 UOK65542:UOK65643 UYG65542:UYG65643 VIC65542:VIC65643 VRY65542:VRY65643 WBU65542:WBU65643 WLQ65542:WLQ65643 WVM65542:WVM65643 F131078:F131179 JA131078:JA131179 SW131078:SW131179 ACS131078:ACS131179 AMO131078:AMO131179 AWK131078:AWK131179 BGG131078:BGG131179 BQC131078:BQC131179 BZY131078:BZY131179 CJU131078:CJU131179 CTQ131078:CTQ131179 DDM131078:DDM131179 DNI131078:DNI131179 DXE131078:DXE131179 EHA131078:EHA131179 EQW131078:EQW131179 FAS131078:FAS131179 FKO131078:FKO131179 FUK131078:FUK131179 GEG131078:GEG131179 GOC131078:GOC131179 GXY131078:GXY131179 HHU131078:HHU131179 HRQ131078:HRQ131179 IBM131078:IBM131179 ILI131078:ILI131179 IVE131078:IVE131179 JFA131078:JFA131179 JOW131078:JOW131179 JYS131078:JYS131179 KIO131078:KIO131179 KSK131078:KSK131179 LCG131078:LCG131179 LMC131078:LMC131179 LVY131078:LVY131179 MFU131078:MFU131179 MPQ131078:MPQ131179 MZM131078:MZM131179 NJI131078:NJI131179 NTE131078:NTE131179 ODA131078:ODA131179 OMW131078:OMW131179 OWS131078:OWS131179 PGO131078:PGO131179 PQK131078:PQK131179 QAG131078:QAG131179 QKC131078:QKC131179 QTY131078:QTY131179 RDU131078:RDU131179 RNQ131078:RNQ131179 RXM131078:RXM131179 SHI131078:SHI131179 SRE131078:SRE131179 TBA131078:TBA131179 TKW131078:TKW131179 TUS131078:TUS131179 UEO131078:UEO131179 UOK131078:UOK131179 UYG131078:UYG131179 VIC131078:VIC131179 VRY131078:VRY131179 WBU131078:WBU131179 WLQ131078:WLQ131179 WVM131078:WVM131179 F196614:F196715 JA196614:JA196715 SW196614:SW196715 ACS196614:ACS196715 AMO196614:AMO196715 AWK196614:AWK196715 BGG196614:BGG196715 BQC196614:BQC196715 BZY196614:BZY196715 CJU196614:CJU196715 CTQ196614:CTQ196715 DDM196614:DDM196715 DNI196614:DNI196715 DXE196614:DXE196715 EHA196614:EHA196715 EQW196614:EQW196715 FAS196614:FAS196715 FKO196614:FKO196715 FUK196614:FUK196715 GEG196614:GEG196715 GOC196614:GOC196715 GXY196614:GXY196715 HHU196614:HHU196715 HRQ196614:HRQ196715 IBM196614:IBM196715 ILI196614:ILI196715 IVE196614:IVE196715 JFA196614:JFA196715 JOW196614:JOW196715 JYS196614:JYS196715 KIO196614:KIO196715 KSK196614:KSK196715 LCG196614:LCG196715 LMC196614:LMC196715 LVY196614:LVY196715 MFU196614:MFU196715 MPQ196614:MPQ196715 MZM196614:MZM196715 NJI196614:NJI196715 NTE196614:NTE196715 ODA196614:ODA196715 OMW196614:OMW196715 OWS196614:OWS196715 PGO196614:PGO196715 PQK196614:PQK196715 QAG196614:QAG196715 QKC196614:QKC196715 QTY196614:QTY196715 RDU196614:RDU196715 RNQ196614:RNQ196715 RXM196614:RXM196715 SHI196614:SHI196715 SRE196614:SRE196715 TBA196614:TBA196715 TKW196614:TKW196715 TUS196614:TUS196715 UEO196614:UEO196715 UOK196614:UOK196715 UYG196614:UYG196715 VIC196614:VIC196715 VRY196614:VRY196715 WBU196614:WBU196715 WLQ196614:WLQ196715 WVM196614:WVM196715 F262150:F262251 JA262150:JA262251 SW262150:SW262251 ACS262150:ACS262251 AMO262150:AMO262251 AWK262150:AWK262251 BGG262150:BGG262251 BQC262150:BQC262251 BZY262150:BZY262251 CJU262150:CJU262251 CTQ262150:CTQ262251 DDM262150:DDM262251 DNI262150:DNI262251 DXE262150:DXE262251 EHA262150:EHA262251 EQW262150:EQW262251 FAS262150:FAS262251 FKO262150:FKO262251 FUK262150:FUK262251 GEG262150:GEG262251 GOC262150:GOC262251 GXY262150:GXY262251 HHU262150:HHU262251 HRQ262150:HRQ262251 IBM262150:IBM262251 ILI262150:ILI262251 IVE262150:IVE262251 JFA262150:JFA262251 JOW262150:JOW262251 JYS262150:JYS262251 KIO262150:KIO262251 KSK262150:KSK262251 LCG262150:LCG262251 LMC262150:LMC262251 LVY262150:LVY262251 MFU262150:MFU262251 MPQ262150:MPQ262251 MZM262150:MZM262251 NJI262150:NJI262251 NTE262150:NTE262251 ODA262150:ODA262251 OMW262150:OMW262251 OWS262150:OWS262251 PGO262150:PGO262251 PQK262150:PQK262251 QAG262150:QAG262251 QKC262150:QKC262251 QTY262150:QTY262251 RDU262150:RDU262251 RNQ262150:RNQ262251 RXM262150:RXM262251 SHI262150:SHI262251 SRE262150:SRE262251 TBA262150:TBA262251 TKW262150:TKW262251 TUS262150:TUS262251 UEO262150:UEO262251 UOK262150:UOK262251 UYG262150:UYG262251 VIC262150:VIC262251 VRY262150:VRY262251 WBU262150:WBU262251 WLQ262150:WLQ262251 WVM262150:WVM262251 F327686:F327787 JA327686:JA327787 SW327686:SW327787 ACS327686:ACS327787 AMO327686:AMO327787 AWK327686:AWK327787 BGG327686:BGG327787 BQC327686:BQC327787 BZY327686:BZY327787 CJU327686:CJU327787 CTQ327686:CTQ327787 DDM327686:DDM327787 DNI327686:DNI327787 DXE327686:DXE327787 EHA327686:EHA327787 EQW327686:EQW327787 FAS327686:FAS327787 FKO327686:FKO327787 FUK327686:FUK327787 GEG327686:GEG327787 GOC327686:GOC327787 GXY327686:GXY327787 HHU327686:HHU327787 HRQ327686:HRQ327787 IBM327686:IBM327787 ILI327686:ILI327787 IVE327686:IVE327787 JFA327686:JFA327787 JOW327686:JOW327787 JYS327686:JYS327787 KIO327686:KIO327787 KSK327686:KSK327787 LCG327686:LCG327787 LMC327686:LMC327787 LVY327686:LVY327787 MFU327686:MFU327787 MPQ327686:MPQ327787 MZM327686:MZM327787 NJI327686:NJI327787 NTE327686:NTE327787 ODA327686:ODA327787 OMW327686:OMW327787 OWS327686:OWS327787 PGO327686:PGO327787 PQK327686:PQK327787 QAG327686:QAG327787 QKC327686:QKC327787 QTY327686:QTY327787 RDU327686:RDU327787 RNQ327686:RNQ327787 RXM327686:RXM327787 SHI327686:SHI327787 SRE327686:SRE327787 TBA327686:TBA327787 TKW327686:TKW327787 TUS327686:TUS327787 UEO327686:UEO327787 UOK327686:UOK327787 UYG327686:UYG327787 VIC327686:VIC327787 VRY327686:VRY327787 WBU327686:WBU327787 WLQ327686:WLQ327787 WVM327686:WVM327787 F393222:F393323 JA393222:JA393323 SW393222:SW393323 ACS393222:ACS393323 AMO393222:AMO393323 AWK393222:AWK393323 BGG393222:BGG393323 BQC393222:BQC393323 BZY393222:BZY393323 CJU393222:CJU393323 CTQ393222:CTQ393323 DDM393222:DDM393323 DNI393222:DNI393323 DXE393222:DXE393323 EHA393222:EHA393323 EQW393222:EQW393323 FAS393222:FAS393323 FKO393222:FKO393323 FUK393222:FUK393323 GEG393222:GEG393323 GOC393222:GOC393323 GXY393222:GXY393323 HHU393222:HHU393323 HRQ393222:HRQ393323 IBM393222:IBM393323 ILI393222:ILI393323 IVE393222:IVE393323 JFA393222:JFA393323 JOW393222:JOW393323 JYS393222:JYS393323 KIO393222:KIO393323 KSK393222:KSK393323 LCG393222:LCG393323 LMC393222:LMC393323 LVY393222:LVY393323 MFU393222:MFU393323 MPQ393222:MPQ393323 MZM393222:MZM393323 NJI393222:NJI393323 NTE393222:NTE393323 ODA393222:ODA393323 OMW393222:OMW393323 OWS393222:OWS393323 PGO393222:PGO393323 PQK393222:PQK393323 QAG393222:QAG393323 QKC393222:QKC393323 QTY393222:QTY393323 RDU393222:RDU393323 RNQ393222:RNQ393323 RXM393222:RXM393323 SHI393222:SHI393323 SRE393222:SRE393323 TBA393222:TBA393323 TKW393222:TKW393323 TUS393222:TUS393323 UEO393222:UEO393323 UOK393222:UOK393323 UYG393222:UYG393323 VIC393222:VIC393323 VRY393222:VRY393323 WBU393222:WBU393323 WLQ393222:WLQ393323 WVM393222:WVM393323 F458758:F458859 JA458758:JA458859 SW458758:SW458859 ACS458758:ACS458859 AMO458758:AMO458859 AWK458758:AWK458859 BGG458758:BGG458859 BQC458758:BQC458859 BZY458758:BZY458859 CJU458758:CJU458859 CTQ458758:CTQ458859 DDM458758:DDM458859 DNI458758:DNI458859 DXE458758:DXE458859 EHA458758:EHA458859 EQW458758:EQW458859 FAS458758:FAS458859 FKO458758:FKO458859 FUK458758:FUK458859 GEG458758:GEG458859 GOC458758:GOC458859 GXY458758:GXY458859 HHU458758:HHU458859 HRQ458758:HRQ458859 IBM458758:IBM458859 ILI458758:ILI458859 IVE458758:IVE458859 JFA458758:JFA458859 JOW458758:JOW458859 JYS458758:JYS458859 KIO458758:KIO458859 KSK458758:KSK458859 LCG458758:LCG458859 LMC458758:LMC458859 LVY458758:LVY458859 MFU458758:MFU458859 MPQ458758:MPQ458859 MZM458758:MZM458859 NJI458758:NJI458859 NTE458758:NTE458859 ODA458758:ODA458859 OMW458758:OMW458859 OWS458758:OWS458859 PGO458758:PGO458859 PQK458758:PQK458859 QAG458758:QAG458859 QKC458758:QKC458859 QTY458758:QTY458859 RDU458758:RDU458859 RNQ458758:RNQ458859 RXM458758:RXM458859 SHI458758:SHI458859 SRE458758:SRE458859 TBA458758:TBA458859 TKW458758:TKW458859 TUS458758:TUS458859 UEO458758:UEO458859 UOK458758:UOK458859 UYG458758:UYG458859 VIC458758:VIC458859 VRY458758:VRY458859 WBU458758:WBU458859 WLQ458758:WLQ458859 WVM458758:WVM458859 F524294:F524395 JA524294:JA524395 SW524294:SW524395 ACS524294:ACS524395 AMO524294:AMO524395 AWK524294:AWK524395 BGG524294:BGG524395 BQC524294:BQC524395 BZY524294:BZY524395 CJU524294:CJU524395 CTQ524294:CTQ524395 DDM524294:DDM524395 DNI524294:DNI524395 DXE524294:DXE524395 EHA524294:EHA524395 EQW524294:EQW524395 FAS524294:FAS524395 FKO524294:FKO524395 FUK524294:FUK524395 GEG524294:GEG524395 GOC524294:GOC524395 GXY524294:GXY524395 HHU524294:HHU524395 HRQ524294:HRQ524395 IBM524294:IBM524395 ILI524294:ILI524395 IVE524294:IVE524395 JFA524294:JFA524395 JOW524294:JOW524395 JYS524294:JYS524395 KIO524294:KIO524395 KSK524294:KSK524395 LCG524294:LCG524395 LMC524294:LMC524395 LVY524294:LVY524395 MFU524294:MFU524395 MPQ524294:MPQ524395 MZM524294:MZM524395 NJI524294:NJI524395 NTE524294:NTE524395 ODA524294:ODA524395 OMW524294:OMW524395 OWS524294:OWS524395 PGO524294:PGO524395 PQK524294:PQK524395 QAG524294:QAG524395 QKC524294:QKC524395 QTY524294:QTY524395 RDU524294:RDU524395 RNQ524294:RNQ524395 RXM524294:RXM524395 SHI524294:SHI524395 SRE524294:SRE524395 TBA524294:TBA524395 TKW524294:TKW524395 TUS524294:TUS524395 UEO524294:UEO524395 UOK524294:UOK524395 UYG524294:UYG524395 VIC524294:VIC524395 VRY524294:VRY524395 WBU524294:WBU524395 WLQ524294:WLQ524395 WVM524294:WVM524395 F589830:F589931 JA589830:JA589931 SW589830:SW589931 ACS589830:ACS589931 AMO589830:AMO589931 AWK589830:AWK589931 BGG589830:BGG589931 BQC589830:BQC589931 BZY589830:BZY589931 CJU589830:CJU589931 CTQ589830:CTQ589931 DDM589830:DDM589931 DNI589830:DNI589931 DXE589830:DXE589931 EHA589830:EHA589931 EQW589830:EQW589931 FAS589830:FAS589931 FKO589830:FKO589931 FUK589830:FUK589931 GEG589830:GEG589931 GOC589830:GOC589931 GXY589830:GXY589931 HHU589830:HHU589931 HRQ589830:HRQ589931 IBM589830:IBM589931 ILI589830:ILI589931 IVE589830:IVE589931 JFA589830:JFA589931 JOW589830:JOW589931 JYS589830:JYS589931 KIO589830:KIO589931 KSK589830:KSK589931 LCG589830:LCG589931 LMC589830:LMC589931 LVY589830:LVY589931 MFU589830:MFU589931 MPQ589830:MPQ589931 MZM589830:MZM589931 NJI589830:NJI589931 NTE589830:NTE589931 ODA589830:ODA589931 OMW589830:OMW589931 OWS589830:OWS589931 PGO589830:PGO589931 PQK589830:PQK589931 QAG589830:QAG589931 QKC589830:QKC589931 QTY589830:QTY589931 RDU589830:RDU589931 RNQ589830:RNQ589931 RXM589830:RXM589931 SHI589830:SHI589931 SRE589830:SRE589931 TBA589830:TBA589931 TKW589830:TKW589931 TUS589830:TUS589931 UEO589830:UEO589931 UOK589830:UOK589931 UYG589830:UYG589931 VIC589830:VIC589931 VRY589830:VRY589931 WBU589830:WBU589931 WLQ589830:WLQ589931 WVM589830:WVM589931 F655366:F655467 JA655366:JA655467 SW655366:SW655467 ACS655366:ACS655467 AMO655366:AMO655467 AWK655366:AWK655467 BGG655366:BGG655467 BQC655366:BQC655467 BZY655366:BZY655467 CJU655366:CJU655467 CTQ655366:CTQ655467 DDM655366:DDM655467 DNI655366:DNI655467 DXE655366:DXE655467 EHA655366:EHA655467 EQW655366:EQW655467 FAS655366:FAS655467 FKO655366:FKO655467 FUK655366:FUK655467 GEG655366:GEG655467 GOC655366:GOC655467 GXY655366:GXY655467 HHU655366:HHU655467 HRQ655366:HRQ655467 IBM655366:IBM655467 ILI655366:ILI655467 IVE655366:IVE655467 JFA655366:JFA655467 JOW655366:JOW655467 JYS655366:JYS655467 KIO655366:KIO655467 KSK655366:KSK655467 LCG655366:LCG655467 LMC655366:LMC655467 LVY655366:LVY655467 MFU655366:MFU655467 MPQ655366:MPQ655467 MZM655366:MZM655467 NJI655366:NJI655467 NTE655366:NTE655467 ODA655366:ODA655467 OMW655366:OMW655467 OWS655366:OWS655467 PGO655366:PGO655467 PQK655366:PQK655467 QAG655366:QAG655467 QKC655366:QKC655467 QTY655366:QTY655467 RDU655366:RDU655467 RNQ655366:RNQ655467 RXM655366:RXM655467 SHI655366:SHI655467 SRE655366:SRE655467 TBA655366:TBA655467 TKW655366:TKW655467 TUS655366:TUS655467 UEO655366:UEO655467 UOK655366:UOK655467 UYG655366:UYG655467 VIC655366:VIC655467 VRY655366:VRY655467 WBU655366:WBU655467 WLQ655366:WLQ655467 WVM655366:WVM655467 F720902:F721003 JA720902:JA721003 SW720902:SW721003 ACS720902:ACS721003 AMO720902:AMO721003 AWK720902:AWK721003 BGG720902:BGG721003 BQC720902:BQC721003 BZY720902:BZY721003 CJU720902:CJU721003 CTQ720902:CTQ721003 DDM720902:DDM721003 DNI720902:DNI721003 DXE720902:DXE721003 EHA720902:EHA721003 EQW720902:EQW721003 FAS720902:FAS721003 FKO720902:FKO721003 FUK720902:FUK721003 GEG720902:GEG721003 GOC720902:GOC721003 GXY720902:GXY721003 HHU720902:HHU721003 HRQ720902:HRQ721003 IBM720902:IBM721003 ILI720902:ILI721003 IVE720902:IVE721003 JFA720902:JFA721003 JOW720902:JOW721003 JYS720902:JYS721003 KIO720902:KIO721003 KSK720902:KSK721003 LCG720902:LCG721003 LMC720902:LMC721003 LVY720902:LVY721003 MFU720902:MFU721003 MPQ720902:MPQ721003 MZM720902:MZM721003 NJI720902:NJI721003 NTE720902:NTE721003 ODA720902:ODA721003 OMW720902:OMW721003 OWS720902:OWS721003 PGO720902:PGO721003 PQK720902:PQK721003 QAG720902:QAG721003 QKC720902:QKC721003 QTY720902:QTY721003 RDU720902:RDU721003 RNQ720902:RNQ721003 RXM720902:RXM721003 SHI720902:SHI721003 SRE720902:SRE721003 TBA720902:TBA721003 TKW720902:TKW721003 TUS720902:TUS721003 UEO720902:UEO721003 UOK720902:UOK721003 UYG720902:UYG721003 VIC720902:VIC721003 VRY720902:VRY721003 WBU720902:WBU721003 WLQ720902:WLQ721003 WVM720902:WVM721003 F786438:F786539 JA786438:JA786539 SW786438:SW786539 ACS786438:ACS786539 AMO786438:AMO786539 AWK786438:AWK786539 BGG786438:BGG786539 BQC786438:BQC786539 BZY786438:BZY786539 CJU786438:CJU786539 CTQ786438:CTQ786539 DDM786438:DDM786539 DNI786438:DNI786539 DXE786438:DXE786539 EHA786438:EHA786539 EQW786438:EQW786539 FAS786438:FAS786539 FKO786438:FKO786539 FUK786438:FUK786539 GEG786438:GEG786539 GOC786438:GOC786539 GXY786438:GXY786539 HHU786438:HHU786539 HRQ786438:HRQ786539 IBM786438:IBM786539 ILI786438:ILI786539 IVE786438:IVE786539 JFA786438:JFA786539 JOW786438:JOW786539 JYS786438:JYS786539 KIO786438:KIO786539 KSK786438:KSK786539 LCG786438:LCG786539 LMC786438:LMC786539 LVY786438:LVY786539 MFU786438:MFU786539 MPQ786438:MPQ786539 MZM786438:MZM786539 NJI786438:NJI786539 NTE786438:NTE786539 ODA786438:ODA786539 OMW786438:OMW786539 OWS786438:OWS786539 PGO786438:PGO786539 PQK786438:PQK786539 QAG786438:QAG786539 QKC786438:QKC786539 QTY786438:QTY786539 RDU786438:RDU786539 RNQ786438:RNQ786539 RXM786438:RXM786539 SHI786438:SHI786539 SRE786438:SRE786539 TBA786438:TBA786539 TKW786438:TKW786539 TUS786438:TUS786539 UEO786438:UEO786539 UOK786438:UOK786539 UYG786438:UYG786539 VIC786438:VIC786539 VRY786438:VRY786539 WBU786438:WBU786539 WLQ786438:WLQ786539 WVM786438:WVM786539 F851974:F852075 JA851974:JA852075 SW851974:SW852075 ACS851974:ACS852075 AMO851974:AMO852075 AWK851974:AWK852075 BGG851974:BGG852075 BQC851974:BQC852075 BZY851974:BZY852075 CJU851974:CJU852075 CTQ851974:CTQ852075 DDM851974:DDM852075 DNI851974:DNI852075 DXE851974:DXE852075 EHA851974:EHA852075 EQW851974:EQW852075 FAS851974:FAS852075 FKO851974:FKO852075 FUK851974:FUK852075 GEG851974:GEG852075 GOC851974:GOC852075 GXY851974:GXY852075 HHU851974:HHU852075 HRQ851974:HRQ852075 IBM851974:IBM852075 ILI851974:ILI852075 IVE851974:IVE852075 JFA851974:JFA852075 JOW851974:JOW852075 JYS851974:JYS852075 KIO851974:KIO852075 KSK851974:KSK852075 LCG851974:LCG852075 LMC851974:LMC852075 LVY851974:LVY852075 MFU851974:MFU852075 MPQ851974:MPQ852075 MZM851974:MZM852075 NJI851974:NJI852075 NTE851974:NTE852075 ODA851974:ODA852075 OMW851974:OMW852075 OWS851974:OWS852075 PGO851974:PGO852075 PQK851974:PQK852075 QAG851974:QAG852075 QKC851974:QKC852075 QTY851974:QTY852075 RDU851974:RDU852075 RNQ851974:RNQ852075 RXM851974:RXM852075 SHI851974:SHI852075 SRE851974:SRE852075 TBA851974:TBA852075 TKW851974:TKW852075 TUS851974:TUS852075 UEO851974:UEO852075 UOK851974:UOK852075 UYG851974:UYG852075 VIC851974:VIC852075 VRY851974:VRY852075 WBU851974:WBU852075 WLQ851974:WLQ852075 WVM851974:WVM852075 F917510:F917611 JA917510:JA917611 SW917510:SW917611 ACS917510:ACS917611 AMO917510:AMO917611 AWK917510:AWK917611 BGG917510:BGG917611 BQC917510:BQC917611 BZY917510:BZY917611 CJU917510:CJU917611 CTQ917510:CTQ917611 DDM917510:DDM917611 DNI917510:DNI917611 DXE917510:DXE917611 EHA917510:EHA917611 EQW917510:EQW917611 FAS917510:FAS917611 FKO917510:FKO917611 FUK917510:FUK917611 GEG917510:GEG917611 GOC917510:GOC917611 GXY917510:GXY917611 HHU917510:HHU917611 HRQ917510:HRQ917611 IBM917510:IBM917611 ILI917510:ILI917611 IVE917510:IVE917611 JFA917510:JFA917611 JOW917510:JOW917611 JYS917510:JYS917611 KIO917510:KIO917611 KSK917510:KSK917611 LCG917510:LCG917611 LMC917510:LMC917611 LVY917510:LVY917611 MFU917510:MFU917611 MPQ917510:MPQ917611 MZM917510:MZM917611 NJI917510:NJI917611 NTE917510:NTE917611 ODA917510:ODA917611 OMW917510:OMW917611 OWS917510:OWS917611 PGO917510:PGO917611 PQK917510:PQK917611 QAG917510:QAG917611 QKC917510:QKC917611 QTY917510:QTY917611 RDU917510:RDU917611 RNQ917510:RNQ917611 RXM917510:RXM917611 SHI917510:SHI917611 SRE917510:SRE917611 TBA917510:TBA917611 TKW917510:TKW917611 TUS917510:TUS917611 UEO917510:UEO917611 UOK917510:UOK917611 UYG917510:UYG917611 VIC917510:VIC917611 VRY917510:VRY917611 WBU917510:WBU917611 WLQ917510:WLQ917611 WVM917510:WVM917611 F983046:F983147 JA983046:JA983147 SW983046:SW983147 ACS983046:ACS983147 AMO983046:AMO983147 AWK983046:AWK983147 BGG983046:BGG983147 BQC983046:BQC983147 BZY983046:BZY983147 CJU983046:CJU983147 CTQ983046:CTQ983147 DDM983046:DDM983147 DNI983046:DNI983147 DXE983046:DXE983147 EHA983046:EHA983147 EQW983046:EQW983147 FAS983046:FAS983147 FKO983046:FKO983147 FUK983046:FUK983147 GEG983046:GEG983147 GOC983046:GOC983147 GXY983046:GXY983147 HHU983046:HHU983147 HRQ983046:HRQ983147 IBM983046:IBM983147 ILI983046:ILI983147 IVE983046:IVE983147 JFA983046:JFA983147 JOW983046:JOW983147 JYS983046:JYS983147 KIO983046:KIO983147 KSK983046:KSK983147 LCG983046:LCG983147 LMC983046:LMC983147 LVY983046:LVY983147 MFU983046:MFU983147 MPQ983046:MPQ983147 MZM983046:MZM983147 NJI983046:NJI983147 NTE983046:NTE983147 ODA983046:ODA983147 OMW983046:OMW983147 OWS983046:OWS983147 PGO983046:PGO983147 PQK983046:PQK983147 QAG983046:QAG983147 QKC983046:QKC983147 QTY983046:QTY983147 RDU983046:RDU983147 RNQ983046:RNQ983147 RXM983046:RXM983147 SHI983046:SHI983147 SRE983046:SRE983147 TBA983046:TBA983147 TKW983046:TKW983147 TUS983046:TUS983147 UEO983046:UEO983147 UOK983046:UOK983147 UYG983046:UYG983147 VIC983046:VIC983147 VRY983046:VRY983147 WBU983046:WBU983147 WLQ983046:WLQ983147 WVM983046:WVM983147 F203 JA203 SW203 ACS203 AMO203 AWK203 BGG203 BQC203 BZY203 CJU203 CTQ203 DDM203 DNI203 DXE203 EHA203 EQW203 FAS203 FKO203 FUK203 GEG203 GOC203 GXY203 HHU203 HRQ203 IBM203 ILI203 IVE203 JFA203 JOW203 JYS203 KIO203 KSK203 LCG203 LMC203 LVY203 MFU203 MPQ203 MZM203 NJI203 NTE203 ODA203 OMW203 OWS203 PGO203 PQK203 QAG203 QKC203 QTY203 RDU203 RNQ203 RXM203 SHI203 SRE203 TBA203 TKW203 TUS203 UEO203 UOK203 UYG203 VIC203 VRY203 WBU203 WLQ203 WVM203 F65739 JA65739 SW65739 ACS65739 AMO65739 AWK65739 BGG65739 BQC65739 BZY65739 CJU65739 CTQ65739 DDM65739 DNI65739 DXE65739 EHA65739 EQW65739 FAS65739 FKO65739 FUK65739 GEG65739 GOC65739 GXY65739 HHU65739 HRQ65739 IBM65739 ILI65739 IVE65739 JFA65739 JOW65739 JYS65739 KIO65739 KSK65739 LCG65739 LMC65739 LVY65739 MFU65739 MPQ65739 MZM65739 NJI65739 NTE65739 ODA65739 OMW65739 OWS65739 PGO65739 PQK65739 QAG65739 QKC65739 QTY65739 RDU65739 RNQ65739 RXM65739 SHI65739 SRE65739 TBA65739 TKW65739 TUS65739 UEO65739 UOK65739 UYG65739 VIC65739 VRY65739 WBU65739 WLQ65739 WVM65739 F131275 JA131275 SW131275 ACS131275 AMO131275 AWK131275 BGG131275 BQC131275 BZY131275 CJU131275 CTQ131275 DDM131275 DNI131275 DXE131275 EHA131275 EQW131275 FAS131275 FKO131275 FUK131275 GEG131275 GOC131275 GXY131275 HHU131275 HRQ131275 IBM131275 ILI131275 IVE131275 JFA131275 JOW131275 JYS131275 KIO131275 KSK131275 LCG131275 LMC131275 LVY131275 MFU131275 MPQ131275 MZM131275 NJI131275 NTE131275 ODA131275 OMW131275 OWS131275 PGO131275 PQK131275 QAG131275 QKC131275 QTY131275 RDU131275 RNQ131275 RXM131275 SHI131275 SRE131275 TBA131275 TKW131275 TUS131275 UEO131275 UOK131275 UYG131275 VIC131275 VRY131275 WBU131275 WLQ131275 WVM131275 F196811 JA196811 SW196811 ACS196811 AMO196811 AWK196811 BGG196811 BQC196811 BZY196811 CJU196811 CTQ196811 DDM196811 DNI196811 DXE196811 EHA196811 EQW196811 FAS196811 FKO196811 FUK196811 GEG196811 GOC196811 GXY196811 HHU196811 HRQ196811 IBM196811 ILI196811 IVE196811 JFA196811 JOW196811 JYS196811 KIO196811 KSK196811 LCG196811 LMC196811 LVY196811 MFU196811 MPQ196811 MZM196811 NJI196811 NTE196811 ODA196811 OMW196811 OWS196811 PGO196811 PQK196811 QAG196811 QKC196811 QTY196811 RDU196811 RNQ196811 RXM196811 SHI196811 SRE196811 TBA196811 TKW196811 TUS196811 UEO196811 UOK196811 UYG196811 VIC196811 VRY196811 WBU196811 WLQ196811 WVM196811 F262347 JA262347 SW262347 ACS262347 AMO262347 AWK262347 BGG262347 BQC262347 BZY262347 CJU262347 CTQ262347 DDM262347 DNI262347 DXE262347 EHA262347 EQW262347 FAS262347 FKO262347 FUK262347 GEG262347 GOC262347 GXY262347 HHU262347 HRQ262347 IBM262347 ILI262347 IVE262347 JFA262347 JOW262347 JYS262347 KIO262347 KSK262347 LCG262347 LMC262347 LVY262347 MFU262347 MPQ262347 MZM262347 NJI262347 NTE262347 ODA262347 OMW262347 OWS262347 PGO262347 PQK262347 QAG262347 QKC262347 QTY262347 RDU262347 RNQ262347 RXM262347 SHI262347 SRE262347 TBA262347 TKW262347 TUS262347 UEO262347 UOK262347 UYG262347 VIC262347 VRY262347 WBU262347 WLQ262347 WVM262347 F327883 JA327883 SW327883 ACS327883 AMO327883 AWK327883 BGG327883 BQC327883 BZY327883 CJU327883 CTQ327883 DDM327883 DNI327883 DXE327883 EHA327883 EQW327883 FAS327883 FKO327883 FUK327883 GEG327883 GOC327883 GXY327883 HHU327883 HRQ327883 IBM327883 ILI327883 IVE327883 JFA327883 JOW327883 JYS327883 KIO327883 KSK327883 LCG327883 LMC327883 LVY327883 MFU327883 MPQ327883 MZM327883 NJI327883 NTE327883 ODA327883 OMW327883 OWS327883 PGO327883 PQK327883 QAG327883 QKC327883 QTY327883 RDU327883 RNQ327883 RXM327883 SHI327883 SRE327883 TBA327883 TKW327883 TUS327883 UEO327883 UOK327883 UYG327883 VIC327883 VRY327883 WBU327883 WLQ327883 WVM327883 F393419 JA393419 SW393419 ACS393419 AMO393419 AWK393419 BGG393419 BQC393419 BZY393419 CJU393419 CTQ393419 DDM393419 DNI393419 DXE393419 EHA393419 EQW393419 FAS393419 FKO393419 FUK393419 GEG393419 GOC393419 GXY393419 HHU393419 HRQ393419 IBM393419 ILI393419 IVE393419 JFA393419 JOW393419 JYS393419 KIO393419 KSK393419 LCG393419 LMC393419 LVY393419 MFU393419 MPQ393419 MZM393419 NJI393419 NTE393419 ODA393419 OMW393419 OWS393419 PGO393419 PQK393419 QAG393419 QKC393419 QTY393419 RDU393419 RNQ393419 RXM393419 SHI393419 SRE393419 TBA393419 TKW393419 TUS393419 UEO393419 UOK393419 UYG393419 VIC393419 VRY393419 WBU393419 WLQ393419 WVM393419 F458955 JA458955 SW458955 ACS458955 AMO458955 AWK458955 BGG458955 BQC458955 BZY458955 CJU458955 CTQ458955 DDM458955 DNI458955 DXE458955 EHA458955 EQW458955 FAS458955 FKO458955 FUK458955 GEG458955 GOC458955 GXY458955 HHU458955 HRQ458955 IBM458955 ILI458955 IVE458955 JFA458955 JOW458955 JYS458955 KIO458955 KSK458955 LCG458955 LMC458955 LVY458955 MFU458955 MPQ458955 MZM458955 NJI458955 NTE458955 ODA458955 OMW458955 OWS458955 PGO458955 PQK458955 QAG458955 QKC458955 QTY458955 RDU458955 RNQ458955 RXM458955 SHI458955 SRE458955 TBA458955 TKW458955 TUS458955 UEO458955 UOK458955 UYG458955 VIC458955 VRY458955 WBU458955 WLQ458955 WVM458955 F524491 JA524491 SW524491 ACS524491 AMO524491 AWK524491 BGG524491 BQC524491 BZY524491 CJU524491 CTQ524491 DDM524491 DNI524491 DXE524491 EHA524491 EQW524491 FAS524491 FKO524491 FUK524491 GEG524491 GOC524491 GXY524491 HHU524491 HRQ524491 IBM524491 ILI524491 IVE524491 JFA524491 JOW524491 JYS524491 KIO524491 KSK524491 LCG524491 LMC524491 LVY524491 MFU524491 MPQ524491 MZM524491 NJI524491 NTE524491 ODA524491 OMW524491 OWS524491 PGO524491 PQK524491 QAG524491 QKC524491 QTY524491 RDU524491 RNQ524491 RXM524491 SHI524491 SRE524491 TBA524491 TKW524491 TUS524491 UEO524491 UOK524491 UYG524491 VIC524491 VRY524491 WBU524491 WLQ524491 WVM524491 F590027 JA590027 SW590027 ACS590027 AMO590027 AWK590027 BGG590027 BQC590027 BZY590027 CJU590027 CTQ590027 DDM590027 DNI590027 DXE590027 EHA590027 EQW590027 FAS590027 FKO590027 FUK590027 GEG590027 GOC590027 GXY590027 HHU590027 HRQ590027 IBM590027 ILI590027 IVE590027 JFA590027 JOW590027 JYS590027 KIO590027 KSK590027 LCG590027 LMC590027 LVY590027 MFU590027 MPQ590027 MZM590027 NJI590027 NTE590027 ODA590027 OMW590027 OWS590027 PGO590027 PQK590027 QAG590027 QKC590027 QTY590027 RDU590027 RNQ590027 RXM590027 SHI590027 SRE590027 TBA590027 TKW590027 TUS590027 UEO590027 UOK590027 UYG590027 VIC590027 VRY590027 WBU590027 WLQ590027 WVM590027 F655563 JA655563 SW655563 ACS655563 AMO655563 AWK655563 BGG655563 BQC655563 BZY655563 CJU655563 CTQ655563 DDM655563 DNI655563 DXE655563 EHA655563 EQW655563 FAS655563 FKO655563 FUK655563 GEG655563 GOC655563 GXY655563 HHU655563 HRQ655563 IBM655563 ILI655563 IVE655563 JFA655563 JOW655563 JYS655563 KIO655563 KSK655563 LCG655563 LMC655563 LVY655563 MFU655563 MPQ655563 MZM655563 NJI655563 NTE655563 ODA655563 OMW655563 OWS655563 PGO655563 PQK655563 QAG655563 QKC655563 QTY655563 RDU655563 RNQ655563 RXM655563 SHI655563 SRE655563 TBA655563 TKW655563 TUS655563 UEO655563 UOK655563 UYG655563 VIC655563 VRY655563 WBU655563 WLQ655563 WVM655563 F721099 JA721099 SW721099 ACS721099 AMO721099 AWK721099 BGG721099 BQC721099 BZY721099 CJU721099 CTQ721099 DDM721099 DNI721099 DXE721099 EHA721099 EQW721099 FAS721099 FKO721099 FUK721099 GEG721099 GOC721099 GXY721099 HHU721099 HRQ721099 IBM721099 ILI721099 IVE721099 JFA721099 JOW721099 JYS721099 KIO721099 KSK721099 LCG721099 LMC721099 LVY721099 MFU721099 MPQ721099 MZM721099 NJI721099 NTE721099 ODA721099 OMW721099 OWS721099 PGO721099 PQK721099 QAG721099 QKC721099 QTY721099 RDU721099 RNQ721099 RXM721099 SHI721099 SRE721099 TBA721099 TKW721099 TUS721099 UEO721099 UOK721099 UYG721099 VIC721099 VRY721099 WBU721099 WLQ721099 WVM721099 F786635 JA786635 SW786635 ACS786635 AMO786635 AWK786635 BGG786635 BQC786635 BZY786635 CJU786635 CTQ786635 DDM786635 DNI786635 DXE786635 EHA786635 EQW786635 FAS786635 FKO786635 FUK786635 GEG786635 GOC786635 GXY786635 HHU786635 HRQ786635 IBM786635 ILI786635 IVE786635 JFA786635 JOW786635 JYS786635 KIO786635 KSK786635 LCG786635 LMC786635 LVY786635 MFU786635 MPQ786635 MZM786635 NJI786635 NTE786635 ODA786635 OMW786635 OWS786635 PGO786635 PQK786635 QAG786635 QKC786635 QTY786635 RDU786635 RNQ786635 RXM786635 SHI786635 SRE786635 TBA786635 TKW786635 TUS786635 UEO786635 UOK786635 UYG786635 VIC786635 VRY786635 WBU786635 WLQ786635 WVM786635 F852171 JA852171 SW852171 ACS852171 AMO852171 AWK852171 BGG852171 BQC852171 BZY852171 CJU852171 CTQ852171 DDM852171 DNI852171 DXE852171 EHA852171 EQW852171 FAS852171 FKO852171 FUK852171 GEG852171 GOC852171 GXY852171 HHU852171 HRQ852171 IBM852171 ILI852171 IVE852171 JFA852171 JOW852171 JYS852171 KIO852171 KSK852171 LCG852171 LMC852171 LVY852171 MFU852171 MPQ852171 MZM852171 NJI852171 NTE852171 ODA852171 OMW852171 OWS852171 PGO852171 PQK852171 QAG852171 QKC852171 QTY852171 RDU852171 RNQ852171 RXM852171 SHI852171 SRE852171 TBA852171 TKW852171 TUS852171 UEO852171 UOK852171 UYG852171 VIC852171 VRY852171 WBU852171 WLQ852171 WVM852171 F917707 JA917707 SW917707 ACS917707 AMO917707 AWK917707 BGG917707 BQC917707 BZY917707 CJU917707 CTQ917707 DDM917707 DNI917707 DXE917707 EHA917707 EQW917707 FAS917707 FKO917707 FUK917707 GEG917707 GOC917707 GXY917707 HHU917707 HRQ917707 IBM917707 ILI917707 IVE917707 JFA917707 JOW917707 JYS917707 KIO917707 KSK917707 LCG917707 LMC917707 LVY917707 MFU917707 MPQ917707 MZM917707 NJI917707 NTE917707 ODA917707 OMW917707 OWS917707 PGO917707 PQK917707 QAG917707 QKC917707 QTY917707 RDU917707 RNQ917707 RXM917707 SHI917707 SRE917707 TBA917707 TKW917707 TUS917707 UEO917707 UOK917707 UYG917707 VIC917707 VRY917707 WBU917707 WLQ917707 WVM917707 F983243 JA983243 SW983243 ACS983243 AMO983243 AWK983243 BGG983243 BQC983243 BZY983243 CJU983243 CTQ983243 DDM983243 DNI983243 DXE983243 EHA983243 EQW983243 FAS983243 FKO983243 FUK983243 GEG983243 GOC983243 GXY983243 HHU983243 HRQ983243 IBM983243 ILI983243 IVE983243 JFA983243 JOW983243 JYS983243 KIO983243 KSK983243 LCG983243 LMC983243 LVY983243 MFU983243 MPQ983243 MZM983243 NJI983243 NTE983243 ODA983243 OMW983243 OWS983243 PGO983243 PQK983243 QAG983243 QKC983243 QTY983243 RDU983243 RNQ983243 RXM983243 SHI983243 SRE983243 TBA983243 TKW983243 TUS983243 UEO983243 UOK983243 UYG983243 VIC983243 VRY983243 WBU983243 WLQ983243 WVM983243 C13:C47 IW13:IW47 SS13:SS47 ACO13:ACO47 AMK13:AMK47 AWG13:AWG47 BGC13:BGC47 BPY13:BPY47 BZU13:BZU47 CJQ13:CJQ47 CTM13:CTM47 DDI13:DDI47 DNE13:DNE47 DXA13:DXA47 EGW13:EGW47 EQS13:EQS47 FAO13:FAO47 FKK13:FKK47 FUG13:FUG47 GEC13:GEC47 GNY13:GNY47 GXU13:GXU47 HHQ13:HHQ47 HRM13:HRM47 IBI13:IBI47 ILE13:ILE47 IVA13:IVA47 JEW13:JEW47 JOS13:JOS47 JYO13:JYO47 KIK13:KIK47 KSG13:KSG47 LCC13:LCC47 LLY13:LLY47 LVU13:LVU47 MFQ13:MFQ47 MPM13:MPM47 MZI13:MZI47 NJE13:NJE47 NTA13:NTA47 OCW13:OCW47 OMS13:OMS47 OWO13:OWO47 PGK13:PGK47 PQG13:PQG47 QAC13:QAC47 QJY13:QJY47 QTU13:QTU47 RDQ13:RDQ47 RNM13:RNM47 RXI13:RXI47 SHE13:SHE47 SRA13:SRA47 TAW13:TAW47 TKS13:TKS47 TUO13:TUO47 UEK13:UEK47 UOG13:UOG47 UYC13:UYC47 VHY13:VHY47 VRU13:VRU47 WBQ13:WBQ47 WLM13:WLM47 WVI13:WVI47 C65549:C65583 IW65549:IW65583 SS65549:SS65583 ACO65549:ACO65583 AMK65549:AMK65583 AWG65549:AWG65583 BGC65549:BGC65583 BPY65549:BPY65583 BZU65549:BZU65583 CJQ65549:CJQ65583 CTM65549:CTM65583 DDI65549:DDI65583 DNE65549:DNE65583 DXA65549:DXA65583 EGW65549:EGW65583 EQS65549:EQS65583 FAO65549:FAO65583 FKK65549:FKK65583 FUG65549:FUG65583 GEC65549:GEC65583 GNY65549:GNY65583 GXU65549:GXU65583 HHQ65549:HHQ65583 HRM65549:HRM65583 IBI65549:IBI65583 ILE65549:ILE65583 IVA65549:IVA65583 JEW65549:JEW65583 JOS65549:JOS65583 JYO65549:JYO65583 KIK65549:KIK65583 KSG65549:KSG65583 LCC65549:LCC65583 LLY65549:LLY65583 LVU65549:LVU65583 MFQ65549:MFQ65583 MPM65549:MPM65583 MZI65549:MZI65583 NJE65549:NJE65583 NTA65549:NTA65583 OCW65549:OCW65583 OMS65549:OMS65583 OWO65549:OWO65583 PGK65549:PGK65583 PQG65549:PQG65583 QAC65549:QAC65583 QJY65549:QJY65583 QTU65549:QTU65583 RDQ65549:RDQ65583 RNM65549:RNM65583 RXI65549:RXI65583 SHE65549:SHE65583 SRA65549:SRA65583 TAW65549:TAW65583 TKS65549:TKS65583 TUO65549:TUO65583 UEK65549:UEK65583 UOG65549:UOG65583 UYC65549:UYC65583 VHY65549:VHY65583 VRU65549:VRU65583 WBQ65549:WBQ65583 WLM65549:WLM65583 WVI65549:WVI65583 C131085:C131119 IW131085:IW131119 SS131085:SS131119 ACO131085:ACO131119 AMK131085:AMK131119 AWG131085:AWG131119 BGC131085:BGC131119 BPY131085:BPY131119 BZU131085:BZU131119 CJQ131085:CJQ131119 CTM131085:CTM131119 DDI131085:DDI131119 DNE131085:DNE131119 DXA131085:DXA131119 EGW131085:EGW131119 EQS131085:EQS131119 FAO131085:FAO131119 FKK131085:FKK131119 FUG131085:FUG131119 GEC131085:GEC131119 GNY131085:GNY131119 GXU131085:GXU131119 HHQ131085:HHQ131119 HRM131085:HRM131119 IBI131085:IBI131119 ILE131085:ILE131119 IVA131085:IVA131119 JEW131085:JEW131119 JOS131085:JOS131119 JYO131085:JYO131119 KIK131085:KIK131119 KSG131085:KSG131119 LCC131085:LCC131119 LLY131085:LLY131119 LVU131085:LVU131119 MFQ131085:MFQ131119 MPM131085:MPM131119 MZI131085:MZI131119 NJE131085:NJE131119 NTA131085:NTA131119 OCW131085:OCW131119 OMS131085:OMS131119 OWO131085:OWO131119 PGK131085:PGK131119 PQG131085:PQG131119 QAC131085:QAC131119 QJY131085:QJY131119 QTU131085:QTU131119 RDQ131085:RDQ131119 RNM131085:RNM131119 RXI131085:RXI131119 SHE131085:SHE131119 SRA131085:SRA131119 TAW131085:TAW131119 TKS131085:TKS131119 TUO131085:TUO131119 UEK131085:UEK131119 UOG131085:UOG131119 UYC131085:UYC131119 VHY131085:VHY131119 VRU131085:VRU131119 WBQ131085:WBQ131119 WLM131085:WLM131119 WVI131085:WVI131119 C196621:C196655 IW196621:IW196655 SS196621:SS196655 ACO196621:ACO196655 AMK196621:AMK196655 AWG196621:AWG196655 BGC196621:BGC196655 BPY196621:BPY196655 BZU196621:BZU196655 CJQ196621:CJQ196655 CTM196621:CTM196655 DDI196621:DDI196655 DNE196621:DNE196655 DXA196621:DXA196655 EGW196621:EGW196655 EQS196621:EQS196655 FAO196621:FAO196655 FKK196621:FKK196655 FUG196621:FUG196655 GEC196621:GEC196655 GNY196621:GNY196655 GXU196621:GXU196655 HHQ196621:HHQ196655 HRM196621:HRM196655 IBI196621:IBI196655 ILE196621:ILE196655 IVA196621:IVA196655 JEW196621:JEW196655 JOS196621:JOS196655 JYO196621:JYO196655 KIK196621:KIK196655 KSG196621:KSG196655 LCC196621:LCC196655 LLY196621:LLY196655 LVU196621:LVU196655 MFQ196621:MFQ196655 MPM196621:MPM196655 MZI196621:MZI196655 NJE196621:NJE196655 NTA196621:NTA196655 OCW196621:OCW196655 OMS196621:OMS196655 OWO196621:OWO196655 PGK196621:PGK196655 PQG196621:PQG196655 QAC196621:QAC196655 QJY196621:QJY196655 QTU196621:QTU196655 RDQ196621:RDQ196655 RNM196621:RNM196655 RXI196621:RXI196655 SHE196621:SHE196655 SRA196621:SRA196655 TAW196621:TAW196655 TKS196621:TKS196655 TUO196621:TUO196655 UEK196621:UEK196655 UOG196621:UOG196655 UYC196621:UYC196655 VHY196621:VHY196655 VRU196621:VRU196655 WBQ196621:WBQ196655 WLM196621:WLM196655 WVI196621:WVI196655 C262157:C262191 IW262157:IW262191 SS262157:SS262191 ACO262157:ACO262191 AMK262157:AMK262191 AWG262157:AWG262191 BGC262157:BGC262191 BPY262157:BPY262191 BZU262157:BZU262191 CJQ262157:CJQ262191 CTM262157:CTM262191 DDI262157:DDI262191 DNE262157:DNE262191 DXA262157:DXA262191 EGW262157:EGW262191 EQS262157:EQS262191 FAO262157:FAO262191 FKK262157:FKK262191 FUG262157:FUG262191 GEC262157:GEC262191 GNY262157:GNY262191 GXU262157:GXU262191 HHQ262157:HHQ262191 HRM262157:HRM262191 IBI262157:IBI262191 ILE262157:ILE262191 IVA262157:IVA262191 JEW262157:JEW262191 JOS262157:JOS262191 JYO262157:JYO262191 KIK262157:KIK262191 KSG262157:KSG262191 LCC262157:LCC262191 LLY262157:LLY262191 LVU262157:LVU262191 MFQ262157:MFQ262191 MPM262157:MPM262191 MZI262157:MZI262191 NJE262157:NJE262191 NTA262157:NTA262191 OCW262157:OCW262191 OMS262157:OMS262191 OWO262157:OWO262191 PGK262157:PGK262191 PQG262157:PQG262191 QAC262157:QAC262191 QJY262157:QJY262191 QTU262157:QTU262191 RDQ262157:RDQ262191 RNM262157:RNM262191 RXI262157:RXI262191 SHE262157:SHE262191 SRA262157:SRA262191 TAW262157:TAW262191 TKS262157:TKS262191 TUO262157:TUO262191 UEK262157:UEK262191 UOG262157:UOG262191 UYC262157:UYC262191 VHY262157:VHY262191 VRU262157:VRU262191 WBQ262157:WBQ262191 WLM262157:WLM262191 WVI262157:WVI262191 C327693:C327727 IW327693:IW327727 SS327693:SS327727 ACO327693:ACO327727 AMK327693:AMK327727 AWG327693:AWG327727 BGC327693:BGC327727 BPY327693:BPY327727 BZU327693:BZU327727 CJQ327693:CJQ327727 CTM327693:CTM327727 DDI327693:DDI327727 DNE327693:DNE327727 DXA327693:DXA327727 EGW327693:EGW327727 EQS327693:EQS327727 FAO327693:FAO327727 FKK327693:FKK327727 FUG327693:FUG327727 GEC327693:GEC327727 GNY327693:GNY327727 GXU327693:GXU327727 HHQ327693:HHQ327727 HRM327693:HRM327727 IBI327693:IBI327727 ILE327693:ILE327727 IVA327693:IVA327727 JEW327693:JEW327727 JOS327693:JOS327727 JYO327693:JYO327727 KIK327693:KIK327727 KSG327693:KSG327727 LCC327693:LCC327727 LLY327693:LLY327727 LVU327693:LVU327727 MFQ327693:MFQ327727 MPM327693:MPM327727 MZI327693:MZI327727 NJE327693:NJE327727 NTA327693:NTA327727 OCW327693:OCW327727 OMS327693:OMS327727 OWO327693:OWO327727 PGK327693:PGK327727 PQG327693:PQG327727 QAC327693:QAC327727 QJY327693:QJY327727 QTU327693:QTU327727 RDQ327693:RDQ327727 RNM327693:RNM327727 RXI327693:RXI327727 SHE327693:SHE327727 SRA327693:SRA327727 TAW327693:TAW327727 TKS327693:TKS327727 TUO327693:TUO327727 UEK327693:UEK327727 UOG327693:UOG327727 UYC327693:UYC327727 VHY327693:VHY327727 VRU327693:VRU327727 WBQ327693:WBQ327727 WLM327693:WLM327727 WVI327693:WVI327727 C393229:C393263 IW393229:IW393263 SS393229:SS393263 ACO393229:ACO393263 AMK393229:AMK393263 AWG393229:AWG393263 BGC393229:BGC393263 BPY393229:BPY393263 BZU393229:BZU393263 CJQ393229:CJQ393263 CTM393229:CTM393263 DDI393229:DDI393263 DNE393229:DNE393263 DXA393229:DXA393263 EGW393229:EGW393263 EQS393229:EQS393263 FAO393229:FAO393263 FKK393229:FKK393263 FUG393229:FUG393263 GEC393229:GEC393263 GNY393229:GNY393263 GXU393229:GXU393263 HHQ393229:HHQ393263 HRM393229:HRM393263 IBI393229:IBI393263 ILE393229:ILE393263 IVA393229:IVA393263 JEW393229:JEW393263 JOS393229:JOS393263 JYO393229:JYO393263 KIK393229:KIK393263 KSG393229:KSG393263 LCC393229:LCC393263 LLY393229:LLY393263 LVU393229:LVU393263 MFQ393229:MFQ393263 MPM393229:MPM393263 MZI393229:MZI393263 NJE393229:NJE393263 NTA393229:NTA393263 OCW393229:OCW393263 OMS393229:OMS393263 OWO393229:OWO393263 PGK393229:PGK393263 PQG393229:PQG393263 QAC393229:QAC393263 QJY393229:QJY393263 QTU393229:QTU393263 RDQ393229:RDQ393263 RNM393229:RNM393263 RXI393229:RXI393263 SHE393229:SHE393263 SRA393229:SRA393263 TAW393229:TAW393263 TKS393229:TKS393263 TUO393229:TUO393263 UEK393229:UEK393263 UOG393229:UOG393263 UYC393229:UYC393263 VHY393229:VHY393263 VRU393229:VRU393263 WBQ393229:WBQ393263 WLM393229:WLM393263 WVI393229:WVI393263 C458765:C458799 IW458765:IW458799 SS458765:SS458799 ACO458765:ACO458799 AMK458765:AMK458799 AWG458765:AWG458799 BGC458765:BGC458799 BPY458765:BPY458799 BZU458765:BZU458799 CJQ458765:CJQ458799 CTM458765:CTM458799 DDI458765:DDI458799 DNE458765:DNE458799 DXA458765:DXA458799 EGW458765:EGW458799 EQS458765:EQS458799 FAO458765:FAO458799 FKK458765:FKK458799 FUG458765:FUG458799 GEC458765:GEC458799 GNY458765:GNY458799 GXU458765:GXU458799 HHQ458765:HHQ458799 HRM458765:HRM458799 IBI458765:IBI458799 ILE458765:ILE458799 IVA458765:IVA458799 JEW458765:JEW458799 JOS458765:JOS458799 JYO458765:JYO458799 KIK458765:KIK458799 KSG458765:KSG458799 LCC458765:LCC458799 LLY458765:LLY458799 LVU458765:LVU458799 MFQ458765:MFQ458799 MPM458765:MPM458799 MZI458765:MZI458799 NJE458765:NJE458799 NTA458765:NTA458799 OCW458765:OCW458799 OMS458765:OMS458799 OWO458765:OWO458799 PGK458765:PGK458799 PQG458765:PQG458799 QAC458765:QAC458799 QJY458765:QJY458799 QTU458765:QTU458799 RDQ458765:RDQ458799 RNM458765:RNM458799 RXI458765:RXI458799 SHE458765:SHE458799 SRA458765:SRA458799 TAW458765:TAW458799 TKS458765:TKS458799 TUO458765:TUO458799 UEK458765:UEK458799 UOG458765:UOG458799 UYC458765:UYC458799 VHY458765:VHY458799 VRU458765:VRU458799 WBQ458765:WBQ458799 WLM458765:WLM458799 WVI458765:WVI458799 C524301:C524335 IW524301:IW524335 SS524301:SS524335 ACO524301:ACO524335 AMK524301:AMK524335 AWG524301:AWG524335 BGC524301:BGC524335 BPY524301:BPY524335 BZU524301:BZU524335 CJQ524301:CJQ524335 CTM524301:CTM524335 DDI524301:DDI524335 DNE524301:DNE524335 DXA524301:DXA524335 EGW524301:EGW524335 EQS524301:EQS524335 FAO524301:FAO524335 FKK524301:FKK524335 FUG524301:FUG524335 GEC524301:GEC524335 GNY524301:GNY524335 GXU524301:GXU524335 HHQ524301:HHQ524335 HRM524301:HRM524335 IBI524301:IBI524335 ILE524301:ILE524335 IVA524301:IVA524335 JEW524301:JEW524335 JOS524301:JOS524335 JYO524301:JYO524335 KIK524301:KIK524335 KSG524301:KSG524335 LCC524301:LCC524335 LLY524301:LLY524335 LVU524301:LVU524335 MFQ524301:MFQ524335 MPM524301:MPM524335 MZI524301:MZI524335 NJE524301:NJE524335 NTA524301:NTA524335 OCW524301:OCW524335 OMS524301:OMS524335 OWO524301:OWO524335 PGK524301:PGK524335 PQG524301:PQG524335 QAC524301:QAC524335 QJY524301:QJY524335 QTU524301:QTU524335 RDQ524301:RDQ524335 RNM524301:RNM524335 RXI524301:RXI524335 SHE524301:SHE524335 SRA524301:SRA524335 TAW524301:TAW524335 TKS524301:TKS524335 TUO524301:TUO524335 UEK524301:UEK524335 UOG524301:UOG524335 UYC524301:UYC524335 VHY524301:VHY524335 VRU524301:VRU524335 WBQ524301:WBQ524335 WLM524301:WLM524335 WVI524301:WVI524335 C589837:C589871 IW589837:IW589871 SS589837:SS589871 ACO589837:ACO589871 AMK589837:AMK589871 AWG589837:AWG589871 BGC589837:BGC589871 BPY589837:BPY589871 BZU589837:BZU589871 CJQ589837:CJQ589871 CTM589837:CTM589871 DDI589837:DDI589871 DNE589837:DNE589871 DXA589837:DXA589871 EGW589837:EGW589871 EQS589837:EQS589871 FAO589837:FAO589871 FKK589837:FKK589871 FUG589837:FUG589871 GEC589837:GEC589871 GNY589837:GNY589871 GXU589837:GXU589871 HHQ589837:HHQ589871 HRM589837:HRM589871 IBI589837:IBI589871 ILE589837:ILE589871 IVA589837:IVA589871 JEW589837:JEW589871 JOS589837:JOS589871 JYO589837:JYO589871 KIK589837:KIK589871 KSG589837:KSG589871 LCC589837:LCC589871 LLY589837:LLY589871 LVU589837:LVU589871 MFQ589837:MFQ589871 MPM589837:MPM589871 MZI589837:MZI589871 NJE589837:NJE589871 NTA589837:NTA589871 OCW589837:OCW589871 OMS589837:OMS589871 OWO589837:OWO589871 PGK589837:PGK589871 PQG589837:PQG589871 QAC589837:QAC589871 QJY589837:QJY589871 QTU589837:QTU589871 RDQ589837:RDQ589871 RNM589837:RNM589871 RXI589837:RXI589871 SHE589837:SHE589871 SRA589837:SRA589871 TAW589837:TAW589871 TKS589837:TKS589871 TUO589837:TUO589871 UEK589837:UEK589871 UOG589837:UOG589871 UYC589837:UYC589871 VHY589837:VHY589871 VRU589837:VRU589871 WBQ589837:WBQ589871 WLM589837:WLM589871 WVI589837:WVI589871 C655373:C655407 IW655373:IW655407 SS655373:SS655407 ACO655373:ACO655407 AMK655373:AMK655407 AWG655373:AWG655407 BGC655373:BGC655407 BPY655373:BPY655407 BZU655373:BZU655407 CJQ655373:CJQ655407 CTM655373:CTM655407 DDI655373:DDI655407 DNE655373:DNE655407 DXA655373:DXA655407 EGW655373:EGW655407 EQS655373:EQS655407 FAO655373:FAO655407 FKK655373:FKK655407 FUG655373:FUG655407 GEC655373:GEC655407 GNY655373:GNY655407 GXU655373:GXU655407 HHQ655373:HHQ655407 HRM655373:HRM655407 IBI655373:IBI655407 ILE655373:ILE655407 IVA655373:IVA655407 JEW655373:JEW655407 JOS655373:JOS655407 JYO655373:JYO655407 KIK655373:KIK655407 KSG655373:KSG655407 LCC655373:LCC655407 LLY655373:LLY655407 LVU655373:LVU655407 MFQ655373:MFQ655407 MPM655373:MPM655407 MZI655373:MZI655407 NJE655373:NJE655407 NTA655373:NTA655407 OCW655373:OCW655407 OMS655373:OMS655407 OWO655373:OWO655407 PGK655373:PGK655407 PQG655373:PQG655407 QAC655373:QAC655407 QJY655373:QJY655407 QTU655373:QTU655407 RDQ655373:RDQ655407 RNM655373:RNM655407 RXI655373:RXI655407 SHE655373:SHE655407 SRA655373:SRA655407 TAW655373:TAW655407 TKS655373:TKS655407 TUO655373:TUO655407 UEK655373:UEK655407 UOG655373:UOG655407 UYC655373:UYC655407 VHY655373:VHY655407 VRU655373:VRU655407 WBQ655373:WBQ655407 WLM655373:WLM655407 WVI655373:WVI655407 C720909:C720943 IW720909:IW720943 SS720909:SS720943 ACO720909:ACO720943 AMK720909:AMK720943 AWG720909:AWG720943 BGC720909:BGC720943 BPY720909:BPY720943 BZU720909:BZU720943 CJQ720909:CJQ720943 CTM720909:CTM720943 DDI720909:DDI720943 DNE720909:DNE720943 DXA720909:DXA720943 EGW720909:EGW720943 EQS720909:EQS720943 FAO720909:FAO720943 FKK720909:FKK720943 FUG720909:FUG720943 GEC720909:GEC720943 GNY720909:GNY720943 GXU720909:GXU720943 HHQ720909:HHQ720943 HRM720909:HRM720943 IBI720909:IBI720943 ILE720909:ILE720943 IVA720909:IVA720943 JEW720909:JEW720943 JOS720909:JOS720943 JYO720909:JYO720943 KIK720909:KIK720943 KSG720909:KSG720943 LCC720909:LCC720943 LLY720909:LLY720943 LVU720909:LVU720943 MFQ720909:MFQ720943 MPM720909:MPM720943 MZI720909:MZI720943 NJE720909:NJE720943 NTA720909:NTA720943 OCW720909:OCW720943 OMS720909:OMS720943 OWO720909:OWO720943 PGK720909:PGK720943 PQG720909:PQG720943 QAC720909:QAC720943 QJY720909:QJY720943 QTU720909:QTU720943 RDQ720909:RDQ720943 RNM720909:RNM720943 RXI720909:RXI720943 SHE720909:SHE720943 SRA720909:SRA720943 TAW720909:TAW720943 TKS720909:TKS720943 TUO720909:TUO720943 UEK720909:UEK720943 UOG720909:UOG720943 UYC720909:UYC720943 VHY720909:VHY720943 VRU720909:VRU720943 WBQ720909:WBQ720943 WLM720909:WLM720943 WVI720909:WVI720943 C786445:C786479 IW786445:IW786479 SS786445:SS786479 ACO786445:ACO786479 AMK786445:AMK786479 AWG786445:AWG786479 BGC786445:BGC786479 BPY786445:BPY786479 BZU786445:BZU786479 CJQ786445:CJQ786479 CTM786445:CTM786479 DDI786445:DDI786479 DNE786445:DNE786479 DXA786445:DXA786479 EGW786445:EGW786479 EQS786445:EQS786479 FAO786445:FAO786479 FKK786445:FKK786479 FUG786445:FUG786479 GEC786445:GEC786479 GNY786445:GNY786479 GXU786445:GXU786479 HHQ786445:HHQ786479 HRM786445:HRM786479 IBI786445:IBI786479 ILE786445:ILE786479 IVA786445:IVA786479 JEW786445:JEW786479 JOS786445:JOS786479 JYO786445:JYO786479 KIK786445:KIK786479 KSG786445:KSG786479 LCC786445:LCC786479 LLY786445:LLY786479 LVU786445:LVU786479 MFQ786445:MFQ786479 MPM786445:MPM786479 MZI786445:MZI786479 NJE786445:NJE786479 NTA786445:NTA786479 OCW786445:OCW786479 OMS786445:OMS786479 OWO786445:OWO786479 PGK786445:PGK786479 PQG786445:PQG786479 QAC786445:QAC786479 QJY786445:QJY786479 QTU786445:QTU786479 RDQ786445:RDQ786479 RNM786445:RNM786479 RXI786445:RXI786479 SHE786445:SHE786479 SRA786445:SRA786479 TAW786445:TAW786479 TKS786445:TKS786479 TUO786445:TUO786479 UEK786445:UEK786479 UOG786445:UOG786479 UYC786445:UYC786479 VHY786445:VHY786479 VRU786445:VRU786479 WBQ786445:WBQ786479 WLM786445:WLM786479 WVI786445:WVI786479 C851981:C852015 IW851981:IW852015 SS851981:SS852015 ACO851981:ACO852015 AMK851981:AMK852015 AWG851981:AWG852015 BGC851981:BGC852015 BPY851981:BPY852015 BZU851981:BZU852015 CJQ851981:CJQ852015 CTM851981:CTM852015 DDI851981:DDI852015 DNE851981:DNE852015 DXA851981:DXA852015 EGW851981:EGW852015 EQS851981:EQS852015 FAO851981:FAO852015 FKK851981:FKK852015 FUG851981:FUG852015 GEC851981:GEC852015 GNY851981:GNY852015 GXU851981:GXU852015 HHQ851981:HHQ852015 HRM851981:HRM852015 IBI851981:IBI852015 ILE851981:ILE852015 IVA851981:IVA852015 JEW851981:JEW852015 JOS851981:JOS852015 JYO851981:JYO852015 KIK851981:KIK852015 KSG851981:KSG852015 LCC851981:LCC852015 LLY851981:LLY852015 LVU851981:LVU852015 MFQ851981:MFQ852015 MPM851981:MPM852015 MZI851981:MZI852015 NJE851981:NJE852015 NTA851981:NTA852015 OCW851981:OCW852015 OMS851981:OMS852015 OWO851981:OWO852015 PGK851981:PGK852015 PQG851981:PQG852015 QAC851981:QAC852015 QJY851981:QJY852015 QTU851981:QTU852015 RDQ851981:RDQ852015 RNM851981:RNM852015 RXI851981:RXI852015 SHE851981:SHE852015 SRA851981:SRA852015 TAW851981:TAW852015 TKS851981:TKS852015 TUO851981:TUO852015 UEK851981:UEK852015 UOG851981:UOG852015 UYC851981:UYC852015 VHY851981:VHY852015 VRU851981:VRU852015 WBQ851981:WBQ852015 WLM851981:WLM852015 WVI851981:WVI852015 C917517:C917551 IW917517:IW917551 SS917517:SS917551 ACO917517:ACO917551 AMK917517:AMK917551 AWG917517:AWG917551 BGC917517:BGC917551 BPY917517:BPY917551 BZU917517:BZU917551 CJQ917517:CJQ917551 CTM917517:CTM917551 DDI917517:DDI917551 DNE917517:DNE917551 DXA917517:DXA917551 EGW917517:EGW917551 EQS917517:EQS917551 FAO917517:FAO917551 FKK917517:FKK917551 FUG917517:FUG917551 GEC917517:GEC917551 GNY917517:GNY917551 GXU917517:GXU917551 HHQ917517:HHQ917551 HRM917517:HRM917551 IBI917517:IBI917551 ILE917517:ILE917551 IVA917517:IVA917551 JEW917517:JEW917551 JOS917517:JOS917551 JYO917517:JYO917551 KIK917517:KIK917551 KSG917517:KSG917551 LCC917517:LCC917551 LLY917517:LLY917551 LVU917517:LVU917551 MFQ917517:MFQ917551 MPM917517:MPM917551 MZI917517:MZI917551 NJE917517:NJE917551 NTA917517:NTA917551 OCW917517:OCW917551 OMS917517:OMS917551 OWO917517:OWO917551 PGK917517:PGK917551 PQG917517:PQG917551 QAC917517:QAC917551 QJY917517:QJY917551 QTU917517:QTU917551 RDQ917517:RDQ917551 RNM917517:RNM917551 RXI917517:RXI917551 SHE917517:SHE917551 SRA917517:SRA917551 TAW917517:TAW917551 TKS917517:TKS917551 TUO917517:TUO917551 UEK917517:UEK917551 UOG917517:UOG917551 UYC917517:UYC917551 VHY917517:VHY917551 VRU917517:VRU917551 WBQ917517:WBQ917551 WLM917517:WLM917551 WVI917517:WVI917551 C983053:C983087 IW983053:IW983087 SS983053:SS983087 ACO983053:ACO983087 AMK983053:AMK983087 AWG983053:AWG983087 BGC983053:BGC983087 BPY983053:BPY983087 BZU983053:BZU983087 CJQ983053:CJQ983087 CTM983053:CTM983087 DDI983053:DDI983087 DNE983053:DNE983087 DXA983053:DXA983087 EGW983053:EGW983087 EQS983053:EQS983087 FAO983053:FAO983087 FKK983053:FKK983087 FUG983053:FUG983087 GEC983053:GEC983087 GNY983053:GNY983087 GXU983053:GXU983087 HHQ983053:HHQ983087 HRM983053:HRM983087 IBI983053:IBI983087 ILE983053:ILE983087 IVA983053:IVA983087 JEW983053:JEW983087 JOS983053:JOS983087 JYO983053:JYO983087 KIK983053:KIK983087 KSG983053:KSG983087 LCC983053:LCC983087 LLY983053:LLY983087 LVU983053:LVU983087 MFQ983053:MFQ983087 MPM983053:MPM983087 MZI983053:MZI983087 NJE983053:NJE983087 NTA983053:NTA983087 OCW983053:OCW983087 OMS983053:OMS983087 OWO983053:OWO983087 PGK983053:PGK983087 PQG983053:PQG983087 QAC983053:QAC983087 QJY983053:QJY983087 QTU983053:QTU983087 RDQ983053:RDQ983087 RNM983053:RNM983087 RXI983053:RXI983087 SHE983053:SHE983087 SRA983053:SRA983087 TAW983053:TAW983087 TKS983053:TKS983087 TUO983053:TUO983087 UEK983053:UEK983087 UOG983053:UOG983087 UYC983053:UYC983087 VHY983053:VHY983087 VRU983053:VRU983087 WBQ983053:WBQ983087 WLM983053:WLM983087 WVI983053:WVI983087 C106:C153 IW106:IW153 SS106:SS153 ACO106:ACO153 AMK106:AMK153 AWG106:AWG153 BGC106:BGC153 BPY106:BPY153 BZU106:BZU153 CJQ106:CJQ153 CTM106:CTM153 DDI106:DDI153 DNE106:DNE153 DXA106:DXA153 EGW106:EGW153 EQS106:EQS153 FAO106:FAO153 FKK106:FKK153 FUG106:FUG153 GEC106:GEC153 GNY106:GNY153 GXU106:GXU153 HHQ106:HHQ153 HRM106:HRM153 IBI106:IBI153 ILE106:ILE153 IVA106:IVA153 JEW106:JEW153 JOS106:JOS153 JYO106:JYO153 KIK106:KIK153 KSG106:KSG153 LCC106:LCC153 LLY106:LLY153 LVU106:LVU153 MFQ106:MFQ153 MPM106:MPM153 MZI106:MZI153 NJE106:NJE153 NTA106:NTA153 OCW106:OCW153 OMS106:OMS153 OWO106:OWO153 PGK106:PGK153 PQG106:PQG153 QAC106:QAC153 QJY106:QJY153 QTU106:QTU153 RDQ106:RDQ153 RNM106:RNM153 RXI106:RXI153 SHE106:SHE153 SRA106:SRA153 TAW106:TAW153 TKS106:TKS153 TUO106:TUO153 UEK106:UEK153 UOG106:UOG153 UYC106:UYC153 VHY106:VHY153 VRU106:VRU153 WBQ106:WBQ153 WLM106:WLM153 WVI106:WVI153 C65642:C65689 IW65642:IW65689 SS65642:SS65689 ACO65642:ACO65689 AMK65642:AMK65689 AWG65642:AWG65689 BGC65642:BGC65689 BPY65642:BPY65689 BZU65642:BZU65689 CJQ65642:CJQ65689 CTM65642:CTM65689 DDI65642:DDI65689 DNE65642:DNE65689 DXA65642:DXA65689 EGW65642:EGW65689 EQS65642:EQS65689 FAO65642:FAO65689 FKK65642:FKK65689 FUG65642:FUG65689 GEC65642:GEC65689 GNY65642:GNY65689 GXU65642:GXU65689 HHQ65642:HHQ65689 HRM65642:HRM65689 IBI65642:IBI65689 ILE65642:ILE65689 IVA65642:IVA65689 JEW65642:JEW65689 JOS65642:JOS65689 JYO65642:JYO65689 KIK65642:KIK65689 KSG65642:KSG65689 LCC65642:LCC65689 LLY65642:LLY65689 LVU65642:LVU65689 MFQ65642:MFQ65689 MPM65642:MPM65689 MZI65642:MZI65689 NJE65642:NJE65689 NTA65642:NTA65689 OCW65642:OCW65689 OMS65642:OMS65689 OWO65642:OWO65689 PGK65642:PGK65689 PQG65642:PQG65689 QAC65642:QAC65689 QJY65642:QJY65689 QTU65642:QTU65689 RDQ65642:RDQ65689 RNM65642:RNM65689 RXI65642:RXI65689 SHE65642:SHE65689 SRA65642:SRA65689 TAW65642:TAW65689 TKS65642:TKS65689 TUO65642:TUO65689 UEK65642:UEK65689 UOG65642:UOG65689 UYC65642:UYC65689 VHY65642:VHY65689 VRU65642:VRU65689 WBQ65642:WBQ65689 WLM65642:WLM65689 WVI65642:WVI65689 C131178:C131225 IW131178:IW131225 SS131178:SS131225 ACO131178:ACO131225 AMK131178:AMK131225 AWG131178:AWG131225 BGC131178:BGC131225 BPY131178:BPY131225 BZU131178:BZU131225 CJQ131178:CJQ131225 CTM131178:CTM131225 DDI131178:DDI131225 DNE131178:DNE131225 DXA131178:DXA131225 EGW131178:EGW131225 EQS131178:EQS131225 FAO131178:FAO131225 FKK131178:FKK131225 FUG131178:FUG131225 GEC131178:GEC131225 GNY131178:GNY131225 GXU131178:GXU131225 HHQ131178:HHQ131225 HRM131178:HRM131225 IBI131178:IBI131225 ILE131178:ILE131225 IVA131178:IVA131225 JEW131178:JEW131225 JOS131178:JOS131225 JYO131178:JYO131225 KIK131178:KIK131225 KSG131178:KSG131225 LCC131178:LCC131225 LLY131178:LLY131225 LVU131178:LVU131225 MFQ131178:MFQ131225 MPM131178:MPM131225 MZI131178:MZI131225 NJE131178:NJE131225 NTA131178:NTA131225 OCW131178:OCW131225 OMS131178:OMS131225 OWO131178:OWO131225 PGK131178:PGK131225 PQG131178:PQG131225 QAC131178:QAC131225 QJY131178:QJY131225 QTU131178:QTU131225 RDQ131178:RDQ131225 RNM131178:RNM131225 RXI131178:RXI131225 SHE131178:SHE131225 SRA131178:SRA131225 TAW131178:TAW131225 TKS131178:TKS131225 TUO131178:TUO131225 UEK131178:UEK131225 UOG131178:UOG131225 UYC131178:UYC131225 VHY131178:VHY131225 VRU131178:VRU131225 WBQ131178:WBQ131225 WLM131178:WLM131225 WVI131178:WVI131225 C196714:C196761 IW196714:IW196761 SS196714:SS196761 ACO196714:ACO196761 AMK196714:AMK196761 AWG196714:AWG196761 BGC196714:BGC196761 BPY196714:BPY196761 BZU196714:BZU196761 CJQ196714:CJQ196761 CTM196714:CTM196761 DDI196714:DDI196761 DNE196714:DNE196761 DXA196714:DXA196761 EGW196714:EGW196761 EQS196714:EQS196761 FAO196714:FAO196761 FKK196714:FKK196761 FUG196714:FUG196761 GEC196714:GEC196761 GNY196714:GNY196761 GXU196714:GXU196761 HHQ196714:HHQ196761 HRM196714:HRM196761 IBI196714:IBI196761 ILE196714:ILE196761 IVA196714:IVA196761 JEW196714:JEW196761 JOS196714:JOS196761 JYO196714:JYO196761 KIK196714:KIK196761 KSG196714:KSG196761 LCC196714:LCC196761 LLY196714:LLY196761 LVU196714:LVU196761 MFQ196714:MFQ196761 MPM196714:MPM196761 MZI196714:MZI196761 NJE196714:NJE196761 NTA196714:NTA196761 OCW196714:OCW196761 OMS196714:OMS196761 OWO196714:OWO196761 PGK196714:PGK196761 PQG196714:PQG196761 QAC196714:QAC196761 QJY196714:QJY196761 QTU196714:QTU196761 RDQ196714:RDQ196761 RNM196714:RNM196761 RXI196714:RXI196761 SHE196714:SHE196761 SRA196714:SRA196761 TAW196714:TAW196761 TKS196714:TKS196761 TUO196714:TUO196761 UEK196714:UEK196761 UOG196714:UOG196761 UYC196714:UYC196761 VHY196714:VHY196761 VRU196714:VRU196761 WBQ196714:WBQ196761 WLM196714:WLM196761 WVI196714:WVI196761 C262250:C262297 IW262250:IW262297 SS262250:SS262297 ACO262250:ACO262297 AMK262250:AMK262297 AWG262250:AWG262297 BGC262250:BGC262297 BPY262250:BPY262297 BZU262250:BZU262297 CJQ262250:CJQ262297 CTM262250:CTM262297 DDI262250:DDI262297 DNE262250:DNE262297 DXA262250:DXA262297 EGW262250:EGW262297 EQS262250:EQS262297 FAO262250:FAO262297 FKK262250:FKK262297 FUG262250:FUG262297 GEC262250:GEC262297 GNY262250:GNY262297 GXU262250:GXU262297 HHQ262250:HHQ262297 HRM262250:HRM262297 IBI262250:IBI262297 ILE262250:ILE262297 IVA262250:IVA262297 JEW262250:JEW262297 JOS262250:JOS262297 JYO262250:JYO262297 KIK262250:KIK262297 KSG262250:KSG262297 LCC262250:LCC262297 LLY262250:LLY262297 LVU262250:LVU262297 MFQ262250:MFQ262297 MPM262250:MPM262297 MZI262250:MZI262297 NJE262250:NJE262297 NTA262250:NTA262297 OCW262250:OCW262297 OMS262250:OMS262297 OWO262250:OWO262297 PGK262250:PGK262297 PQG262250:PQG262297 QAC262250:QAC262297 QJY262250:QJY262297 QTU262250:QTU262297 RDQ262250:RDQ262297 RNM262250:RNM262297 RXI262250:RXI262297 SHE262250:SHE262297 SRA262250:SRA262297 TAW262250:TAW262297 TKS262250:TKS262297 TUO262250:TUO262297 UEK262250:UEK262297 UOG262250:UOG262297 UYC262250:UYC262297 VHY262250:VHY262297 VRU262250:VRU262297 WBQ262250:WBQ262297 WLM262250:WLM262297 WVI262250:WVI262297 C327786:C327833 IW327786:IW327833 SS327786:SS327833 ACO327786:ACO327833 AMK327786:AMK327833 AWG327786:AWG327833 BGC327786:BGC327833 BPY327786:BPY327833 BZU327786:BZU327833 CJQ327786:CJQ327833 CTM327786:CTM327833 DDI327786:DDI327833 DNE327786:DNE327833 DXA327786:DXA327833 EGW327786:EGW327833 EQS327786:EQS327833 FAO327786:FAO327833 FKK327786:FKK327833 FUG327786:FUG327833 GEC327786:GEC327833 GNY327786:GNY327833 GXU327786:GXU327833 HHQ327786:HHQ327833 HRM327786:HRM327833 IBI327786:IBI327833 ILE327786:ILE327833 IVA327786:IVA327833 JEW327786:JEW327833 JOS327786:JOS327833 JYO327786:JYO327833 KIK327786:KIK327833 KSG327786:KSG327833 LCC327786:LCC327833 LLY327786:LLY327833 LVU327786:LVU327833 MFQ327786:MFQ327833 MPM327786:MPM327833 MZI327786:MZI327833 NJE327786:NJE327833 NTA327786:NTA327833 OCW327786:OCW327833 OMS327786:OMS327833 OWO327786:OWO327833 PGK327786:PGK327833 PQG327786:PQG327833 QAC327786:QAC327833 QJY327786:QJY327833 QTU327786:QTU327833 RDQ327786:RDQ327833 RNM327786:RNM327833 RXI327786:RXI327833 SHE327786:SHE327833 SRA327786:SRA327833 TAW327786:TAW327833 TKS327786:TKS327833 TUO327786:TUO327833 UEK327786:UEK327833 UOG327786:UOG327833 UYC327786:UYC327833 VHY327786:VHY327833 VRU327786:VRU327833 WBQ327786:WBQ327833 WLM327786:WLM327833 WVI327786:WVI327833 C393322:C393369 IW393322:IW393369 SS393322:SS393369 ACO393322:ACO393369 AMK393322:AMK393369 AWG393322:AWG393369 BGC393322:BGC393369 BPY393322:BPY393369 BZU393322:BZU393369 CJQ393322:CJQ393369 CTM393322:CTM393369 DDI393322:DDI393369 DNE393322:DNE393369 DXA393322:DXA393369 EGW393322:EGW393369 EQS393322:EQS393369 FAO393322:FAO393369 FKK393322:FKK393369 FUG393322:FUG393369 GEC393322:GEC393369 GNY393322:GNY393369 GXU393322:GXU393369 HHQ393322:HHQ393369 HRM393322:HRM393369 IBI393322:IBI393369 ILE393322:ILE393369 IVA393322:IVA393369 JEW393322:JEW393369 JOS393322:JOS393369 JYO393322:JYO393369 KIK393322:KIK393369 KSG393322:KSG393369 LCC393322:LCC393369 LLY393322:LLY393369 LVU393322:LVU393369 MFQ393322:MFQ393369 MPM393322:MPM393369 MZI393322:MZI393369 NJE393322:NJE393369 NTA393322:NTA393369 OCW393322:OCW393369 OMS393322:OMS393369 OWO393322:OWO393369 PGK393322:PGK393369 PQG393322:PQG393369 QAC393322:QAC393369 QJY393322:QJY393369 QTU393322:QTU393369 RDQ393322:RDQ393369 RNM393322:RNM393369 RXI393322:RXI393369 SHE393322:SHE393369 SRA393322:SRA393369 TAW393322:TAW393369 TKS393322:TKS393369 TUO393322:TUO393369 UEK393322:UEK393369 UOG393322:UOG393369 UYC393322:UYC393369 VHY393322:VHY393369 VRU393322:VRU393369 WBQ393322:WBQ393369 WLM393322:WLM393369 WVI393322:WVI393369 C458858:C458905 IW458858:IW458905 SS458858:SS458905 ACO458858:ACO458905 AMK458858:AMK458905 AWG458858:AWG458905 BGC458858:BGC458905 BPY458858:BPY458905 BZU458858:BZU458905 CJQ458858:CJQ458905 CTM458858:CTM458905 DDI458858:DDI458905 DNE458858:DNE458905 DXA458858:DXA458905 EGW458858:EGW458905 EQS458858:EQS458905 FAO458858:FAO458905 FKK458858:FKK458905 FUG458858:FUG458905 GEC458858:GEC458905 GNY458858:GNY458905 GXU458858:GXU458905 HHQ458858:HHQ458905 HRM458858:HRM458905 IBI458858:IBI458905 ILE458858:ILE458905 IVA458858:IVA458905 JEW458858:JEW458905 JOS458858:JOS458905 JYO458858:JYO458905 KIK458858:KIK458905 KSG458858:KSG458905 LCC458858:LCC458905 LLY458858:LLY458905 LVU458858:LVU458905 MFQ458858:MFQ458905 MPM458858:MPM458905 MZI458858:MZI458905 NJE458858:NJE458905 NTA458858:NTA458905 OCW458858:OCW458905 OMS458858:OMS458905 OWO458858:OWO458905 PGK458858:PGK458905 PQG458858:PQG458905 QAC458858:QAC458905 QJY458858:QJY458905 QTU458858:QTU458905 RDQ458858:RDQ458905 RNM458858:RNM458905 RXI458858:RXI458905 SHE458858:SHE458905 SRA458858:SRA458905 TAW458858:TAW458905 TKS458858:TKS458905 TUO458858:TUO458905 UEK458858:UEK458905 UOG458858:UOG458905 UYC458858:UYC458905 VHY458858:VHY458905 VRU458858:VRU458905 WBQ458858:WBQ458905 WLM458858:WLM458905 WVI458858:WVI458905 C524394:C524441 IW524394:IW524441 SS524394:SS524441 ACO524394:ACO524441 AMK524394:AMK524441 AWG524394:AWG524441 BGC524394:BGC524441 BPY524394:BPY524441 BZU524394:BZU524441 CJQ524394:CJQ524441 CTM524394:CTM524441 DDI524394:DDI524441 DNE524394:DNE524441 DXA524394:DXA524441 EGW524394:EGW524441 EQS524394:EQS524441 FAO524394:FAO524441 FKK524394:FKK524441 FUG524394:FUG524441 GEC524394:GEC524441 GNY524394:GNY524441 GXU524394:GXU524441 HHQ524394:HHQ524441 HRM524394:HRM524441 IBI524394:IBI524441 ILE524394:ILE524441 IVA524394:IVA524441 JEW524394:JEW524441 JOS524394:JOS524441 JYO524394:JYO524441 KIK524394:KIK524441 KSG524394:KSG524441 LCC524394:LCC524441 LLY524394:LLY524441 LVU524394:LVU524441 MFQ524394:MFQ524441 MPM524394:MPM524441 MZI524394:MZI524441 NJE524394:NJE524441 NTA524394:NTA524441 OCW524394:OCW524441 OMS524394:OMS524441 OWO524394:OWO524441 PGK524394:PGK524441 PQG524394:PQG524441 QAC524394:QAC524441 QJY524394:QJY524441 QTU524394:QTU524441 RDQ524394:RDQ524441 RNM524394:RNM524441 RXI524394:RXI524441 SHE524394:SHE524441 SRA524394:SRA524441 TAW524394:TAW524441 TKS524394:TKS524441 TUO524394:TUO524441 UEK524394:UEK524441 UOG524394:UOG524441 UYC524394:UYC524441 VHY524394:VHY524441 VRU524394:VRU524441 WBQ524394:WBQ524441 WLM524394:WLM524441 WVI524394:WVI524441 C589930:C589977 IW589930:IW589977 SS589930:SS589977 ACO589930:ACO589977 AMK589930:AMK589977 AWG589930:AWG589977 BGC589930:BGC589977 BPY589930:BPY589977 BZU589930:BZU589977 CJQ589930:CJQ589977 CTM589930:CTM589977 DDI589930:DDI589977 DNE589930:DNE589977 DXA589930:DXA589977 EGW589930:EGW589977 EQS589930:EQS589977 FAO589930:FAO589977 FKK589930:FKK589977 FUG589930:FUG589977 GEC589930:GEC589977 GNY589930:GNY589977 GXU589930:GXU589977 HHQ589930:HHQ589977 HRM589930:HRM589977 IBI589930:IBI589977 ILE589930:ILE589977 IVA589930:IVA589977 JEW589930:JEW589977 JOS589930:JOS589977 JYO589930:JYO589977 KIK589930:KIK589977 KSG589930:KSG589977 LCC589930:LCC589977 LLY589930:LLY589977 LVU589930:LVU589977 MFQ589930:MFQ589977 MPM589930:MPM589977 MZI589930:MZI589977 NJE589930:NJE589977 NTA589930:NTA589977 OCW589930:OCW589977 OMS589930:OMS589977 OWO589930:OWO589977 PGK589930:PGK589977 PQG589930:PQG589977 QAC589930:QAC589977 QJY589930:QJY589977 QTU589930:QTU589977 RDQ589930:RDQ589977 RNM589930:RNM589977 RXI589930:RXI589977 SHE589930:SHE589977 SRA589930:SRA589977 TAW589930:TAW589977 TKS589930:TKS589977 TUO589930:TUO589977 UEK589930:UEK589977 UOG589930:UOG589977 UYC589930:UYC589977 VHY589930:VHY589977 VRU589930:VRU589977 WBQ589930:WBQ589977 WLM589930:WLM589977 WVI589930:WVI589977 C655466:C655513 IW655466:IW655513 SS655466:SS655513 ACO655466:ACO655513 AMK655466:AMK655513 AWG655466:AWG655513 BGC655466:BGC655513 BPY655466:BPY655513 BZU655466:BZU655513 CJQ655466:CJQ655513 CTM655466:CTM655513 DDI655466:DDI655513 DNE655466:DNE655513 DXA655466:DXA655513 EGW655466:EGW655513 EQS655466:EQS655513 FAO655466:FAO655513 FKK655466:FKK655513 FUG655466:FUG655513 GEC655466:GEC655513 GNY655466:GNY655513 GXU655466:GXU655513 HHQ655466:HHQ655513 HRM655466:HRM655513 IBI655466:IBI655513 ILE655466:ILE655513 IVA655466:IVA655513 JEW655466:JEW655513 JOS655466:JOS655513 JYO655466:JYO655513 KIK655466:KIK655513 KSG655466:KSG655513 LCC655466:LCC655513 LLY655466:LLY655513 LVU655466:LVU655513 MFQ655466:MFQ655513 MPM655466:MPM655513 MZI655466:MZI655513 NJE655466:NJE655513 NTA655466:NTA655513 OCW655466:OCW655513 OMS655466:OMS655513 OWO655466:OWO655513 PGK655466:PGK655513 PQG655466:PQG655513 QAC655466:QAC655513 QJY655466:QJY655513 QTU655466:QTU655513 RDQ655466:RDQ655513 RNM655466:RNM655513 RXI655466:RXI655513 SHE655466:SHE655513 SRA655466:SRA655513 TAW655466:TAW655513 TKS655466:TKS655513 TUO655466:TUO655513 UEK655466:UEK655513 UOG655466:UOG655513 UYC655466:UYC655513 VHY655466:VHY655513 VRU655466:VRU655513 WBQ655466:WBQ655513 WLM655466:WLM655513 WVI655466:WVI655513 C721002:C721049 IW721002:IW721049 SS721002:SS721049 ACO721002:ACO721049 AMK721002:AMK721049 AWG721002:AWG721049 BGC721002:BGC721049 BPY721002:BPY721049 BZU721002:BZU721049 CJQ721002:CJQ721049 CTM721002:CTM721049 DDI721002:DDI721049 DNE721002:DNE721049 DXA721002:DXA721049 EGW721002:EGW721049 EQS721002:EQS721049 FAO721002:FAO721049 FKK721002:FKK721049 FUG721002:FUG721049 GEC721002:GEC721049 GNY721002:GNY721049 GXU721002:GXU721049 HHQ721002:HHQ721049 HRM721002:HRM721049 IBI721002:IBI721049 ILE721002:ILE721049 IVA721002:IVA721049 JEW721002:JEW721049 JOS721002:JOS721049 JYO721002:JYO721049 KIK721002:KIK721049 KSG721002:KSG721049 LCC721002:LCC721049 LLY721002:LLY721049 LVU721002:LVU721049 MFQ721002:MFQ721049 MPM721002:MPM721049 MZI721002:MZI721049 NJE721002:NJE721049 NTA721002:NTA721049 OCW721002:OCW721049 OMS721002:OMS721049 OWO721002:OWO721049 PGK721002:PGK721049 PQG721002:PQG721049 QAC721002:QAC721049 QJY721002:QJY721049 QTU721002:QTU721049 RDQ721002:RDQ721049 RNM721002:RNM721049 RXI721002:RXI721049 SHE721002:SHE721049 SRA721002:SRA721049 TAW721002:TAW721049 TKS721002:TKS721049 TUO721002:TUO721049 UEK721002:UEK721049 UOG721002:UOG721049 UYC721002:UYC721049 VHY721002:VHY721049 VRU721002:VRU721049 WBQ721002:WBQ721049 WLM721002:WLM721049 WVI721002:WVI721049 C786538:C786585 IW786538:IW786585 SS786538:SS786585 ACO786538:ACO786585 AMK786538:AMK786585 AWG786538:AWG786585 BGC786538:BGC786585 BPY786538:BPY786585 BZU786538:BZU786585 CJQ786538:CJQ786585 CTM786538:CTM786585 DDI786538:DDI786585 DNE786538:DNE786585 DXA786538:DXA786585 EGW786538:EGW786585 EQS786538:EQS786585 FAO786538:FAO786585 FKK786538:FKK786585 FUG786538:FUG786585 GEC786538:GEC786585 GNY786538:GNY786585 GXU786538:GXU786585 HHQ786538:HHQ786585 HRM786538:HRM786585 IBI786538:IBI786585 ILE786538:ILE786585 IVA786538:IVA786585 JEW786538:JEW786585 JOS786538:JOS786585 JYO786538:JYO786585 KIK786538:KIK786585 KSG786538:KSG786585 LCC786538:LCC786585 LLY786538:LLY786585 LVU786538:LVU786585 MFQ786538:MFQ786585 MPM786538:MPM786585 MZI786538:MZI786585 NJE786538:NJE786585 NTA786538:NTA786585 OCW786538:OCW786585 OMS786538:OMS786585 OWO786538:OWO786585 PGK786538:PGK786585 PQG786538:PQG786585 QAC786538:QAC786585 QJY786538:QJY786585 QTU786538:QTU786585 RDQ786538:RDQ786585 RNM786538:RNM786585 RXI786538:RXI786585 SHE786538:SHE786585 SRA786538:SRA786585 TAW786538:TAW786585 TKS786538:TKS786585 TUO786538:TUO786585 UEK786538:UEK786585 UOG786538:UOG786585 UYC786538:UYC786585 VHY786538:VHY786585 VRU786538:VRU786585 WBQ786538:WBQ786585 WLM786538:WLM786585 WVI786538:WVI786585 C852074:C852121 IW852074:IW852121 SS852074:SS852121 ACO852074:ACO852121 AMK852074:AMK852121 AWG852074:AWG852121 BGC852074:BGC852121 BPY852074:BPY852121 BZU852074:BZU852121 CJQ852074:CJQ852121 CTM852074:CTM852121 DDI852074:DDI852121 DNE852074:DNE852121 DXA852074:DXA852121 EGW852074:EGW852121 EQS852074:EQS852121 FAO852074:FAO852121 FKK852074:FKK852121 FUG852074:FUG852121 GEC852074:GEC852121 GNY852074:GNY852121 GXU852074:GXU852121 HHQ852074:HHQ852121 HRM852074:HRM852121 IBI852074:IBI852121 ILE852074:ILE852121 IVA852074:IVA852121 JEW852074:JEW852121 JOS852074:JOS852121 JYO852074:JYO852121 KIK852074:KIK852121 KSG852074:KSG852121 LCC852074:LCC852121 LLY852074:LLY852121 LVU852074:LVU852121 MFQ852074:MFQ852121 MPM852074:MPM852121 MZI852074:MZI852121 NJE852074:NJE852121 NTA852074:NTA852121 OCW852074:OCW852121 OMS852074:OMS852121 OWO852074:OWO852121 PGK852074:PGK852121 PQG852074:PQG852121 QAC852074:QAC852121 QJY852074:QJY852121 QTU852074:QTU852121 RDQ852074:RDQ852121 RNM852074:RNM852121 RXI852074:RXI852121 SHE852074:SHE852121 SRA852074:SRA852121 TAW852074:TAW852121 TKS852074:TKS852121 TUO852074:TUO852121 UEK852074:UEK852121 UOG852074:UOG852121 UYC852074:UYC852121 VHY852074:VHY852121 VRU852074:VRU852121 WBQ852074:WBQ852121 WLM852074:WLM852121 WVI852074:WVI852121 C917610:C917657 IW917610:IW917657 SS917610:SS917657 ACO917610:ACO917657 AMK917610:AMK917657 AWG917610:AWG917657 BGC917610:BGC917657 BPY917610:BPY917657 BZU917610:BZU917657 CJQ917610:CJQ917657 CTM917610:CTM917657 DDI917610:DDI917657 DNE917610:DNE917657 DXA917610:DXA917657 EGW917610:EGW917657 EQS917610:EQS917657 FAO917610:FAO917657 FKK917610:FKK917657 FUG917610:FUG917657 GEC917610:GEC917657 GNY917610:GNY917657 GXU917610:GXU917657 HHQ917610:HHQ917657 HRM917610:HRM917657 IBI917610:IBI917657 ILE917610:ILE917657 IVA917610:IVA917657 JEW917610:JEW917657 JOS917610:JOS917657 JYO917610:JYO917657 KIK917610:KIK917657 KSG917610:KSG917657 LCC917610:LCC917657 LLY917610:LLY917657 LVU917610:LVU917657 MFQ917610:MFQ917657 MPM917610:MPM917657 MZI917610:MZI917657 NJE917610:NJE917657 NTA917610:NTA917657 OCW917610:OCW917657 OMS917610:OMS917657 OWO917610:OWO917657 PGK917610:PGK917657 PQG917610:PQG917657 QAC917610:QAC917657 QJY917610:QJY917657 QTU917610:QTU917657 RDQ917610:RDQ917657 RNM917610:RNM917657 RXI917610:RXI917657 SHE917610:SHE917657 SRA917610:SRA917657 TAW917610:TAW917657 TKS917610:TKS917657 TUO917610:TUO917657 UEK917610:UEK917657 UOG917610:UOG917657 UYC917610:UYC917657 VHY917610:VHY917657 VRU917610:VRU917657 WBQ917610:WBQ917657 WLM917610:WLM917657 WVI917610:WVI917657 C983146:C983193 IW983146:IW983193 SS983146:SS983193 ACO983146:ACO983193 AMK983146:AMK983193 AWG983146:AWG983193 BGC983146:BGC983193 BPY983146:BPY983193 BZU983146:BZU983193 CJQ983146:CJQ983193 CTM983146:CTM983193 DDI983146:DDI983193 DNE983146:DNE983193 DXA983146:DXA983193 EGW983146:EGW983193 EQS983146:EQS983193 FAO983146:FAO983193 FKK983146:FKK983193 FUG983146:FUG983193 GEC983146:GEC983193 GNY983146:GNY983193 GXU983146:GXU983193 HHQ983146:HHQ983193 HRM983146:HRM983193 IBI983146:IBI983193 ILE983146:ILE983193 IVA983146:IVA983193 JEW983146:JEW983193 JOS983146:JOS983193 JYO983146:JYO983193 KIK983146:KIK983193 KSG983146:KSG983193 LCC983146:LCC983193 LLY983146:LLY983193 LVU983146:LVU983193 MFQ983146:MFQ983193 MPM983146:MPM983193 MZI983146:MZI983193 NJE983146:NJE983193 NTA983146:NTA983193 OCW983146:OCW983193 OMS983146:OMS983193 OWO983146:OWO983193 PGK983146:PGK983193 PQG983146:PQG983193 QAC983146:QAC983193 QJY983146:QJY983193 QTU983146:QTU983193 RDQ983146:RDQ983193 RNM983146:RNM983193 RXI983146:RXI983193 SHE983146:SHE983193 SRA983146:SRA983193 TAW983146:TAW983193 TKS983146:TKS983193 TUO983146:TUO983193 UEK983146:UEK983193 UOG983146:UOG983193 UYC983146:UYC983193 VHY983146:VHY983193 VRU983146:VRU983193 WBQ983146:WBQ983193 WLM983146:WLM983193 WVI983146:WVI983193 F171 JA171 SW171 ACS171 AMO171 AWK171 BGG171 BQC171 BZY171 CJU171 CTQ171 DDM171 DNI171 DXE171 EHA171 EQW171 FAS171 FKO171 FUK171 GEG171 GOC171 GXY171 HHU171 HRQ171 IBM171 ILI171 IVE171 JFA171 JOW171 JYS171 KIO171 KSK171 LCG171 LMC171 LVY171 MFU171 MPQ171 MZM171 NJI171 NTE171 ODA171 OMW171 OWS171 PGO171 PQK171 QAG171 QKC171 QTY171 RDU171 RNQ171 RXM171 SHI171 SRE171 TBA171 TKW171 TUS171 UEO171 UOK171 UYG171 VIC171 VRY171 WBU171 WLQ171 WVM171 F65707 JA65707 SW65707 ACS65707 AMO65707 AWK65707 BGG65707 BQC65707 BZY65707 CJU65707 CTQ65707 DDM65707 DNI65707 DXE65707 EHA65707 EQW65707 FAS65707 FKO65707 FUK65707 GEG65707 GOC65707 GXY65707 HHU65707 HRQ65707 IBM65707 ILI65707 IVE65707 JFA65707 JOW65707 JYS65707 KIO65707 KSK65707 LCG65707 LMC65707 LVY65707 MFU65707 MPQ65707 MZM65707 NJI65707 NTE65707 ODA65707 OMW65707 OWS65707 PGO65707 PQK65707 QAG65707 QKC65707 QTY65707 RDU65707 RNQ65707 RXM65707 SHI65707 SRE65707 TBA65707 TKW65707 TUS65707 UEO65707 UOK65707 UYG65707 VIC65707 VRY65707 WBU65707 WLQ65707 WVM65707 F131243 JA131243 SW131243 ACS131243 AMO131243 AWK131243 BGG131243 BQC131243 BZY131243 CJU131243 CTQ131243 DDM131243 DNI131243 DXE131243 EHA131243 EQW131243 FAS131243 FKO131243 FUK131243 GEG131243 GOC131243 GXY131243 HHU131243 HRQ131243 IBM131243 ILI131243 IVE131243 JFA131243 JOW131243 JYS131243 KIO131243 KSK131243 LCG131243 LMC131243 LVY131243 MFU131243 MPQ131243 MZM131243 NJI131243 NTE131243 ODA131243 OMW131243 OWS131243 PGO131243 PQK131243 QAG131243 QKC131243 QTY131243 RDU131243 RNQ131243 RXM131243 SHI131243 SRE131243 TBA131243 TKW131243 TUS131243 UEO131243 UOK131243 UYG131243 VIC131243 VRY131243 WBU131243 WLQ131243 WVM131243 F196779 JA196779 SW196779 ACS196779 AMO196779 AWK196779 BGG196779 BQC196779 BZY196779 CJU196779 CTQ196779 DDM196779 DNI196779 DXE196779 EHA196779 EQW196779 FAS196779 FKO196779 FUK196779 GEG196779 GOC196779 GXY196779 HHU196779 HRQ196779 IBM196779 ILI196779 IVE196779 JFA196779 JOW196779 JYS196779 KIO196779 KSK196779 LCG196779 LMC196779 LVY196779 MFU196779 MPQ196779 MZM196779 NJI196779 NTE196779 ODA196779 OMW196779 OWS196779 PGO196779 PQK196779 QAG196779 QKC196779 QTY196779 RDU196779 RNQ196779 RXM196779 SHI196779 SRE196779 TBA196779 TKW196779 TUS196779 UEO196779 UOK196779 UYG196779 VIC196779 VRY196779 WBU196779 WLQ196779 WVM196779 F262315 JA262315 SW262315 ACS262315 AMO262315 AWK262315 BGG262315 BQC262315 BZY262315 CJU262315 CTQ262315 DDM262315 DNI262315 DXE262315 EHA262315 EQW262315 FAS262315 FKO262315 FUK262315 GEG262315 GOC262315 GXY262315 HHU262315 HRQ262315 IBM262315 ILI262315 IVE262315 JFA262315 JOW262315 JYS262315 KIO262315 KSK262315 LCG262315 LMC262315 LVY262315 MFU262315 MPQ262315 MZM262315 NJI262315 NTE262315 ODA262315 OMW262315 OWS262315 PGO262315 PQK262315 QAG262315 QKC262315 QTY262315 RDU262315 RNQ262315 RXM262315 SHI262315 SRE262315 TBA262315 TKW262315 TUS262315 UEO262315 UOK262315 UYG262315 VIC262315 VRY262315 WBU262315 WLQ262315 WVM262315 F327851 JA327851 SW327851 ACS327851 AMO327851 AWK327851 BGG327851 BQC327851 BZY327851 CJU327851 CTQ327851 DDM327851 DNI327851 DXE327851 EHA327851 EQW327851 FAS327851 FKO327851 FUK327851 GEG327851 GOC327851 GXY327851 HHU327851 HRQ327851 IBM327851 ILI327851 IVE327851 JFA327851 JOW327851 JYS327851 KIO327851 KSK327851 LCG327851 LMC327851 LVY327851 MFU327851 MPQ327851 MZM327851 NJI327851 NTE327851 ODA327851 OMW327851 OWS327851 PGO327851 PQK327851 QAG327851 QKC327851 QTY327851 RDU327851 RNQ327851 RXM327851 SHI327851 SRE327851 TBA327851 TKW327851 TUS327851 UEO327851 UOK327851 UYG327851 VIC327851 VRY327851 WBU327851 WLQ327851 WVM327851 F393387 JA393387 SW393387 ACS393387 AMO393387 AWK393387 BGG393387 BQC393387 BZY393387 CJU393387 CTQ393387 DDM393387 DNI393387 DXE393387 EHA393387 EQW393387 FAS393387 FKO393387 FUK393387 GEG393387 GOC393387 GXY393387 HHU393387 HRQ393387 IBM393387 ILI393387 IVE393387 JFA393387 JOW393387 JYS393387 KIO393387 KSK393387 LCG393387 LMC393387 LVY393387 MFU393387 MPQ393387 MZM393387 NJI393387 NTE393387 ODA393387 OMW393387 OWS393387 PGO393387 PQK393387 QAG393387 QKC393387 QTY393387 RDU393387 RNQ393387 RXM393387 SHI393387 SRE393387 TBA393387 TKW393387 TUS393387 UEO393387 UOK393387 UYG393387 VIC393387 VRY393387 WBU393387 WLQ393387 WVM393387 F458923 JA458923 SW458923 ACS458923 AMO458923 AWK458923 BGG458923 BQC458923 BZY458923 CJU458923 CTQ458923 DDM458923 DNI458923 DXE458923 EHA458923 EQW458923 FAS458923 FKO458923 FUK458923 GEG458923 GOC458923 GXY458923 HHU458923 HRQ458923 IBM458923 ILI458923 IVE458923 JFA458923 JOW458923 JYS458923 KIO458923 KSK458923 LCG458923 LMC458923 LVY458923 MFU458923 MPQ458923 MZM458923 NJI458923 NTE458923 ODA458923 OMW458923 OWS458923 PGO458923 PQK458923 QAG458923 QKC458923 QTY458923 RDU458923 RNQ458923 RXM458923 SHI458923 SRE458923 TBA458923 TKW458923 TUS458923 UEO458923 UOK458923 UYG458923 VIC458923 VRY458923 WBU458923 WLQ458923 WVM458923 F524459 JA524459 SW524459 ACS524459 AMO524459 AWK524459 BGG524459 BQC524459 BZY524459 CJU524459 CTQ524459 DDM524459 DNI524459 DXE524459 EHA524459 EQW524459 FAS524459 FKO524459 FUK524459 GEG524459 GOC524459 GXY524459 HHU524459 HRQ524459 IBM524459 ILI524459 IVE524459 JFA524459 JOW524459 JYS524459 KIO524459 KSK524459 LCG524459 LMC524459 LVY524459 MFU524459 MPQ524459 MZM524459 NJI524459 NTE524459 ODA524459 OMW524459 OWS524459 PGO524459 PQK524459 QAG524459 QKC524459 QTY524459 RDU524459 RNQ524459 RXM524459 SHI524459 SRE524459 TBA524459 TKW524459 TUS524459 UEO524459 UOK524459 UYG524459 VIC524459 VRY524459 WBU524459 WLQ524459 WVM524459 F589995 JA589995 SW589995 ACS589995 AMO589995 AWK589995 BGG589995 BQC589995 BZY589995 CJU589995 CTQ589995 DDM589995 DNI589995 DXE589995 EHA589995 EQW589995 FAS589995 FKO589995 FUK589995 GEG589995 GOC589995 GXY589995 HHU589995 HRQ589995 IBM589995 ILI589995 IVE589995 JFA589995 JOW589995 JYS589995 KIO589995 KSK589995 LCG589995 LMC589995 LVY589995 MFU589995 MPQ589995 MZM589995 NJI589995 NTE589995 ODA589995 OMW589995 OWS589995 PGO589995 PQK589995 QAG589995 QKC589995 QTY589995 RDU589995 RNQ589995 RXM589995 SHI589995 SRE589995 TBA589995 TKW589995 TUS589995 UEO589995 UOK589995 UYG589995 VIC589995 VRY589995 WBU589995 WLQ589995 WVM589995 F655531 JA655531 SW655531 ACS655531 AMO655531 AWK655531 BGG655531 BQC655531 BZY655531 CJU655531 CTQ655531 DDM655531 DNI655531 DXE655531 EHA655531 EQW655531 FAS655531 FKO655531 FUK655531 GEG655531 GOC655531 GXY655531 HHU655531 HRQ655531 IBM655531 ILI655531 IVE655531 JFA655531 JOW655531 JYS655531 KIO655531 KSK655531 LCG655531 LMC655531 LVY655531 MFU655531 MPQ655531 MZM655531 NJI655531 NTE655531 ODA655531 OMW655531 OWS655531 PGO655531 PQK655531 QAG655531 QKC655531 QTY655531 RDU655531 RNQ655531 RXM655531 SHI655531 SRE655531 TBA655531 TKW655531 TUS655531 UEO655531 UOK655531 UYG655531 VIC655531 VRY655531 WBU655531 WLQ655531 WVM655531 F721067 JA721067 SW721067 ACS721067 AMO721067 AWK721067 BGG721067 BQC721067 BZY721067 CJU721067 CTQ721067 DDM721067 DNI721067 DXE721067 EHA721067 EQW721067 FAS721067 FKO721067 FUK721067 GEG721067 GOC721067 GXY721067 HHU721067 HRQ721067 IBM721067 ILI721067 IVE721067 JFA721067 JOW721067 JYS721067 KIO721067 KSK721067 LCG721067 LMC721067 LVY721067 MFU721067 MPQ721067 MZM721067 NJI721067 NTE721067 ODA721067 OMW721067 OWS721067 PGO721067 PQK721067 QAG721067 QKC721067 QTY721067 RDU721067 RNQ721067 RXM721067 SHI721067 SRE721067 TBA721067 TKW721067 TUS721067 UEO721067 UOK721067 UYG721067 VIC721067 VRY721067 WBU721067 WLQ721067 WVM721067 F786603 JA786603 SW786603 ACS786603 AMO786603 AWK786603 BGG786603 BQC786603 BZY786603 CJU786603 CTQ786603 DDM786603 DNI786603 DXE786603 EHA786603 EQW786603 FAS786603 FKO786603 FUK786603 GEG786603 GOC786603 GXY786603 HHU786603 HRQ786603 IBM786603 ILI786603 IVE786603 JFA786603 JOW786603 JYS786603 KIO786603 KSK786603 LCG786603 LMC786603 LVY786603 MFU786603 MPQ786603 MZM786603 NJI786603 NTE786603 ODA786603 OMW786603 OWS786603 PGO786603 PQK786603 QAG786603 QKC786603 QTY786603 RDU786603 RNQ786603 RXM786603 SHI786603 SRE786603 TBA786603 TKW786603 TUS786603 UEO786603 UOK786603 UYG786603 VIC786603 VRY786603 WBU786603 WLQ786603 WVM786603 F852139 JA852139 SW852139 ACS852139 AMO852139 AWK852139 BGG852139 BQC852139 BZY852139 CJU852139 CTQ852139 DDM852139 DNI852139 DXE852139 EHA852139 EQW852139 FAS852139 FKO852139 FUK852139 GEG852139 GOC852139 GXY852139 HHU852139 HRQ852139 IBM852139 ILI852139 IVE852139 JFA852139 JOW852139 JYS852139 KIO852139 KSK852139 LCG852139 LMC852139 LVY852139 MFU852139 MPQ852139 MZM852139 NJI852139 NTE852139 ODA852139 OMW852139 OWS852139 PGO852139 PQK852139 QAG852139 QKC852139 QTY852139 RDU852139 RNQ852139 RXM852139 SHI852139 SRE852139 TBA852139 TKW852139 TUS852139 UEO852139 UOK852139 UYG852139 VIC852139 VRY852139 WBU852139 WLQ852139 WVM852139 F917675 JA917675 SW917675 ACS917675 AMO917675 AWK917675 BGG917675 BQC917675 BZY917675 CJU917675 CTQ917675 DDM917675 DNI917675 DXE917675 EHA917675 EQW917675 FAS917675 FKO917675 FUK917675 GEG917675 GOC917675 GXY917675 HHU917675 HRQ917675 IBM917675 ILI917675 IVE917675 JFA917675 JOW917675 JYS917675 KIO917675 KSK917675 LCG917675 LMC917675 LVY917675 MFU917675 MPQ917675 MZM917675 NJI917675 NTE917675 ODA917675 OMW917675 OWS917675 PGO917675 PQK917675 QAG917675 QKC917675 QTY917675 RDU917675 RNQ917675 RXM917675 SHI917675 SRE917675 TBA917675 TKW917675 TUS917675 UEO917675 UOK917675 UYG917675 VIC917675 VRY917675 WBU917675 WLQ917675 WVM917675 F983211 JA983211 SW983211 ACS983211 AMO983211 AWK983211 BGG983211 BQC983211 BZY983211 CJU983211 CTQ983211 DDM983211 DNI983211 DXE983211 EHA983211 EQW983211 FAS983211 FKO983211 FUK983211 GEG983211 GOC983211 GXY983211 HHU983211 HRQ983211 IBM983211 ILI983211 IVE983211 JFA983211 JOW983211 JYS983211 KIO983211 KSK983211 LCG983211 LMC983211 LVY983211 MFU983211 MPQ983211 MZM983211 NJI983211 NTE983211 ODA983211 OMW983211 OWS983211 PGO983211 PQK983211 QAG983211 QKC983211 QTY983211 RDU983211 RNQ983211 RXM983211 SHI983211 SRE983211 TBA983211 TKW983211 TUS983211 UEO983211 UOK983211 UYG983211 VIC983211 VRY983211 WBU983211 WLQ983211 WVM983211 F174:F178 JA174:JA178 SW174:SW178 ACS174:ACS178 AMO174:AMO178 AWK174:AWK178 BGG174:BGG178 BQC174:BQC178 BZY174:BZY178 CJU174:CJU178 CTQ174:CTQ178 DDM174:DDM178 DNI174:DNI178 DXE174:DXE178 EHA174:EHA178 EQW174:EQW178 FAS174:FAS178 FKO174:FKO178 FUK174:FUK178 GEG174:GEG178 GOC174:GOC178 GXY174:GXY178 HHU174:HHU178 HRQ174:HRQ178 IBM174:IBM178 ILI174:ILI178 IVE174:IVE178 JFA174:JFA178 JOW174:JOW178 JYS174:JYS178 KIO174:KIO178 KSK174:KSK178 LCG174:LCG178 LMC174:LMC178 LVY174:LVY178 MFU174:MFU178 MPQ174:MPQ178 MZM174:MZM178 NJI174:NJI178 NTE174:NTE178 ODA174:ODA178 OMW174:OMW178 OWS174:OWS178 PGO174:PGO178 PQK174:PQK178 QAG174:QAG178 QKC174:QKC178 QTY174:QTY178 RDU174:RDU178 RNQ174:RNQ178 RXM174:RXM178 SHI174:SHI178 SRE174:SRE178 TBA174:TBA178 TKW174:TKW178 TUS174:TUS178 UEO174:UEO178 UOK174:UOK178 UYG174:UYG178 VIC174:VIC178 VRY174:VRY178 WBU174:WBU178 WLQ174:WLQ178 WVM174:WVM178 F65710:F65714 JA65710:JA65714 SW65710:SW65714 ACS65710:ACS65714 AMO65710:AMO65714 AWK65710:AWK65714 BGG65710:BGG65714 BQC65710:BQC65714 BZY65710:BZY65714 CJU65710:CJU65714 CTQ65710:CTQ65714 DDM65710:DDM65714 DNI65710:DNI65714 DXE65710:DXE65714 EHA65710:EHA65714 EQW65710:EQW65714 FAS65710:FAS65714 FKO65710:FKO65714 FUK65710:FUK65714 GEG65710:GEG65714 GOC65710:GOC65714 GXY65710:GXY65714 HHU65710:HHU65714 HRQ65710:HRQ65714 IBM65710:IBM65714 ILI65710:ILI65714 IVE65710:IVE65714 JFA65710:JFA65714 JOW65710:JOW65714 JYS65710:JYS65714 KIO65710:KIO65714 KSK65710:KSK65714 LCG65710:LCG65714 LMC65710:LMC65714 LVY65710:LVY65714 MFU65710:MFU65714 MPQ65710:MPQ65714 MZM65710:MZM65714 NJI65710:NJI65714 NTE65710:NTE65714 ODA65710:ODA65714 OMW65710:OMW65714 OWS65710:OWS65714 PGO65710:PGO65714 PQK65710:PQK65714 QAG65710:QAG65714 QKC65710:QKC65714 QTY65710:QTY65714 RDU65710:RDU65714 RNQ65710:RNQ65714 RXM65710:RXM65714 SHI65710:SHI65714 SRE65710:SRE65714 TBA65710:TBA65714 TKW65710:TKW65714 TUS65710:TUS65714 UEO65710:UEO65714 UOK65710:UOK65714 UYG65710:UYG65714 VIC65710:VIC65714 VRY65710:VRY65714 WBU65710:WBU65714 WLQ65710:WLQ65714 WVM65710:WVM65714 F131246:F131250 JA131246:JA131250 SW131246:SW131250 ACS131246:ACS131250 AMO131246:AMO131250 AWK131246:AWK131250 BGG131246:BGG131250 BQC131246:BQC131250 BZY131246:BZY131250 CJU131246:CJU131250 CTQ131246:CTQ131250 DDM131246:DDM131250 DNI131246:DNI131250 DXE131246:DXE131250 EHA131246:EHA131250 EQW131246:EQW131250 FAS131246:FAS131250 FKO131246:FKO131250 FUK131246:FUK131250 GEG131246:GEG131250 GOC131246:GOC131250 GXY131246:GXY131250 HHU131246:HHU131250 HRQ131246:HRQ131250 IBM131246:IBM131250 ILI131246:ILI131250 IVE131246:IVE131250 JFA131246:JFA131250 JOW131246:JOW131250 JYS131246:JYS131250 KIO131246:KIO131250 KSK131246:KSK131250 LCG131246:LCG131250 LMC131246:LMC131250 LVY131246:LVY131250 MFU131246:MFU131250 MPQ131246:MPQ131250 MZM131246:MZM131250 NJI131246:NJI131250 NTE131246:NTE131250 ODA131246:ODA131250 OMW131246:OMW131250 OWS131246:OWS131250 PGO131246:PGO131250 PQK131246:PQK131250 QAG131246:QAG131250 QKC131246:QKC131250 QTY131246:QTY131250 RDU131246:RDU131250 RNQ131246:RNQ131250 RXM131246:RXM131250 SHI131246:SHI131250 SRE131246:SRE131250 TBA131246:TBA131250 TKW131246:TKW131250 TUS131246:TUS131250 UEO131246:UEO131250 UOK131246:UOK131250 UYG131246:UYG131250 VIC131246:VIC131250 VRY131246:VRY131250 WBU131246:WBU131250 WLQ131246:WLQ131250 WVM131246:WVM131250 F196782:F196786 JA196782:JA196786 SW196782:SW196786 ACS196782:ACS196786 AMO196782:AMO196786 AWK196782:AWK196786 BGG196782:BGG196786 BQC196782:BQC196786 BZY196782:BZY196786 CJU196782:CJU196786 CTQ196782:CTQ196786 DDM196782:DDM196786 DNI196782:DNI196786 DXE196782:DXE196786 EHA196782:EHA196786 EQW196782:EQW196786 FAS196782:FAS196786 FKO196782:FKO196786 FUK196782:FUK196786 GEG196782:GEG196786 GOC196782:GOC196786 GXY196782:GXY196786 HHU196782:HHU196786 HRQ196782:HRQ196786 IBM196782:IBM196786 ILI196782:ILI196786 IVE196782:IVE196786 JFA196782:JFA196786 JOW196782:JOW196786 JYS196782:JYS196786 KIO196782:KIO196786 KSK196782:KSK196786 LCG196782:LCG196786 LMC196782:LMC196786 LVY196782:LVY196786 MFU196782:MFU196786 MPQ196782:MPQ196786 MZM196782:MZM196786 NJI196782:NJI196786 NTE196782:NTE196786 ODA196782:ODA196786 OMW196782:OMW196786 OWS196782:OWS196786 PGO196782:PGO196786 PQK196782:PQK196786 QAG196782:QAG196786 QKC196782:QKC196786 QTY196782:QTY196786 RDU196782:RDU196786 RNQ196782:RNQ196786 RXM196782:RXM196786 SHI196782:SHI196786 SRE196782:SRE196786 TBA196782:TBA196786 TKW196782:TKW196786 TUS196782:TUS196786 UEO196782:UEO196786 UOK196782:UOK196786 UYG196782:UYG196786 VIC196782:VIC196786 VRY196782:VRY196786 WBU196782:WBU196786 WLQ196782:WLQ196786 WVM196782:WVM196786 F262318:F262322 JA262318:JA262322 SW262318:SW262322 ACS262318:ACS262322 AMO262318:AMO262322 AWK262318:AWK262322 BGG262318:BGG262322 BQC262318:BQC262322 BZY262318:BZY262322 CJU262318:CJU262322 CTQ262318:CTQ262322 DDM262318:DDM262322 DNI262318:DNI262322 DXE262318:DXE262322 EHA262318:EHA262322 EQW262318:EQW262322 FAS262318:FAS262322 FKO262318:FKO262322 FUK262318:FUK262322 GEG262318:GEG262322 GOC262318:GOC262322 GXY262318:GXY262322 HHU262318:HHU262322 HRQ262318:HRQ262322 IBM262318:IBM262322 ILI262318:ILI262322 IVE262318:IVE262322 JFA262318:JFA262322 JOW262318:JOW262322 JYS262318:JYS262322 KIO262318:KIO262322 KSK262318:KSK262322 LCG262318:LCG262322 LMC262318:LMC262322 LVY262318:LVY262322 MFU262318:MFU262322 MPQ262318:MPQ262322 MZM262318:MZM262322 NJI262318:NJI262322 NTE262318:NTE262322 ODA262318:ODA262322 OMW262318:OMW262322 OWS262318:OWS262322 PGO262318:PGO262322 PQK262318:PQK262322 QAG262318:QAG262322 QKC262318:QKC262322 QTY262318:QTY262322 RDU262318:RDU262322 RNQ262318:RNQ262322 RXM262318:RXM262322 SHI262318:SHI262322 SRE262318:SRE262322 TBA262318:TBA262322 TKW262318:TKW262322 TUS262318:TUS262322 UEO262318:UEO262322 UOK262318:UOK262322 UYG262318:UYG262322 VIC262318:VIC262322 VRY262318:VRY262322 WBU262318:WBU262322 WLQ262318:WLQ262322 WVM262318:WVM262322 F327854:F327858 JA327854:JA327858 SW327854:SW327858 ACS327854:ACS327858 AMO327854:AMO327858 AWK327854:AWK327858 BGG327854:BGG327858 BQC327854:BQC327858 BZY327854:BZY327858 CJU327854:CJU327858 CTQ327854:CTQ327858 DDM327854:DDM327858 DNI327854:DNI327858 DXE327854:DXE327858 EHA327854:EHA327858 EQW327854:EQW327858 FAS327854:FAS327858 FKO327854:FKO327858 FUK327854:FUK327858 GEG327854:GEG327858 GOC327854:GOC327858 GXY327854:GXY327858 HHU327854:HHU327858 HRQ327854:HRQ327858 IBM327854:IBM327858 ILI327854:ILI327858 IVE327854:IVE327858 JFA327854:JFA327858 JOW327854:JOW327858 JYS327854:JYS327858 KIO327854:KIO327858 KSK327854:KSK327858 LCG327854:LCG327858 LMC327854:LMC327858 LVY327854:LVY327858 MFU327854:MFU327858 MPQ327854:MPQ327858 MZM327854:MZM327858 NJI327854:NJI327858 NTE327854:NTE327858 ODA327854:ODA327858 OMW327854:OMW327858 OWS327854:OWS327858 PGO327854:PGO327858 PQK327854:PQK327858 QAG327854:QAG327858 QKC327854:QKC327858 QTY327854:QTY327858 RDU327854:RDU327858 RNQ327854:RNQ327858 RXM327854:RXM327858 SHI327854:SHI327858 SRE327854:SRE327858 TBA327854:TBA327858 TKW327854:TKW327858 TUS327854:TUS327858 UEO327854:UEO327858 UOK327854:UOK327858 UYG327854:UYG327858 VIC327854:VIC327858 VRY327854:VRY327858 WBU327854:WBU327858 WLQ327854:WLQ327858 WVM327854:WVM327858 F393390:F393394 JA393390:JA393394 SW393390:SW393394 ACS393390:ACS393394 AMO393390:AMO393394 AWK393390:AWK393394 BGG393390:BGG393394 BQC393390:BQC393394 BZY393390:BZY393394 CJU393390:CJU393394 CTQ393390:CTQ393394 DDM393390:DDM393394 DNI393390:DNI393394 DXE393390:DXE393394 EHA393390:EHA393394 EQW393390:EQW393394 FAS393390:FAS393394 FKO393390:FKO393394 FUK393390:FUK393394 GEG393390:GEG393394 GOC393390:GOC393394 GXY393390:GXY393394 HHU393390:HHU393394 HRQ393390:HRQ393394 IBM393390:IBM393394 ILI393390:ILI393394 IVE393390:IVE393394 JFA393390:JFA393394 JOW393390:JOW393394 JYS393390:JYS393394 KIO393390:KIO393394 KSK393390:KSK393394 LCG393390:LCG393394 LMC393390:LMC393394 LVY393390:LVY393394 MFU393390:MFU393394 MPQ393390:MPQ393394 MZM393390:MZM393394 NJI393390:NJI393394 NTE393390:NTE393394 ODA393390:ODA393394 OMW393390:OMW393394 OWS393390:OWS393394 PGO393390:PGO393394 PQK393390:PQK393394 QAG393390:QAG393394 QKC393390:QKC393394 QTY393390:QTY393394 RDU393390:RDU393394 RNQ393390:RNQ393394 RXM393390:RXM393394 SHI393390:SHI393394 SRE393390:SRE393394 TBA393390:TBA393394 TKW393390:TKW393394 TUS393390:TUS393394 UEO393390:UEO393394 UOK393390:UOK393394 UYG393390:UYG393394 VIC393390:VIC393394 VRY393390:VRY393394 WBU393390:WBU393394 WLQ393390:WLQ393394 WVM393390:WVM393394 F458926:F458930 JA458926:JA458930 SW458926:SW458930 ACS458926:ACS458930 AMO458926:AMO458930 AWK458926:AWK458930 BGG458926:BGG458930 BQC458926:BQC458930 BZY458926:BZY458930 CJU458926:CJU458930 CTQ458926:CTQ458930 DDM458926:DDM458930 DNI458926:DNI458930 DXE458926:DXE458930 EHA458926:EHA458930 EQW458926:EQW458930 FAS458926:FAS458930 FKO458926:FKO458930 FUK458926:FUK458930 GEG458926:GEG458930 GOC458926:GOC458930 GXY458926:GXY458930 HHU458926:HHU458930 HRQ458926:HRQ458930 IBM458926:IBM458930 ILI458926:ILI458930 IVE458926:IVE458930 JFA458926:JFA458930 JOW458926:JOW458930 JYS458926:JYS458930 KIO458926:KIO458930 KSK458926:KSK458930 LCG458926:LCG458930 LMC458926:LMC458930 LVY458926:LVY458930 MFU458926:MFU458930 MPQ458926:MPQ458930 MZM458926:MZM458930 NJI458926:NJI458930 NTE458926:NTE458930 ODA458926:ODA458930 OMW458926:OMW458930 OWS458926:OWS458930 PGO458926:PGO458930 PQK458926:PQK458930 QAG458926:QAG458930 QKC458926:QKC458930 QTY458926:QTY458930 RDU458926:RDU458930 RNQ458926:RNQ458930 RXM458926:RXM458930 SHI458926:SHI458930 SRE458926:SRE458930 TBA458926:TBA458930 TKW458926:TKW458930 TUS458926:TUS458930 UEO458926:UEO458930 UOK458926:UOK458930 UYG458926:UYG458930 VIC458926:VIC458930 VRY458926:VRY458930 WBU458926:WBU458930 WLQ458926:WLQ458930 WVM458926:WVM458930 F524462:F524466 JA524462:JA524466 SW524462:SW524466 ACS524462:ACS524466 AMO524462:AMO524466 AWK524462:AWK524466 BGG524462:BGG524466 BQC524462:BQC524466 BZY524462:BZY524466 CJU524462:CJU524466 CTQ524462:CTQ524466 DDM524462:DDM524466 DNI524462:DNI524466 DXE524462:DXE524466 EHA524462:EHA524466 EQW524462:EQW524466 FAS524462:FAS524466 FKO524462:FKO524466 FUK524462:FUK524466 GEG524462:GEG524466 GOC524462:GOC524466 GXY524462:GXY524466 HHU524462:HHU524466 HRQ524462:HRQ524466 IBM524462:IBM524466 ILI524462:ILI524466 IVE524462:IVE524466 JFA524462:JFA524466 JOW524462:JOW524466 JYS524462:JYS524466 KIO524462:KIO524466 KSK524462:KSK524466 LCG524462:LCG524466 LMC524462:LMC524466 LVY524462:LVY524466 MFU524462:MFU524466 MPQ524462:MPQ524466 MZM524462:MZM524466 NJI524462:NJI524466 NTE524462:NTE524466 ODA524462:ODA524466 OMW524462:OMW524466 OWS524462:OWS524466 PGO524462:PGO524466 PQK524462:PQK524466 QAG524462:QAG524466 QKC524462:QKC524466 QTY524462:QTY524466 RDU524462:RDU524466 RNQ524462:RNQ524466 RXM524462:RXM524466 SHI524462:SHI524466 SRE524462:SRE524466 TBA524462:TBA524466 TKW524462:TKW524466 TUS524462:TUS524466 UEO524462:UEO524466 UOK524462:UOK524466 UYG524462:UYG524466 VIC524462:VIC524466 VRY524462:VRY524466 WBU524462:WBU524466 WLQ524462:WLQ524466 WVM524462:WVM524466 F589998:F590002 JA589998:JA590002 SW589998:SW590002 ACS589998:ACS590002 AMO589998:AMO590002 AWK589998:AWK590002 BGG589998:BGG590002 BQC589998:BQC590002 BZY589998:BZY590002 CJU589998:CJU590002 CTQ589998:CTQ590002 DDM589998:DDM590002 DNI589998:DNI590002 DXE589998:DXE590002 EHA589998:EHA590002 EQW589998:EQW590002 FAS589998:FAS590002 FKO589998:FKO590002 FUK589998:FUK590002 GEG589998:GEG590002 GOC589998:GOC590002 GXY589998:GXY590002 HHU589998:HHU590002 HRQ589998:HRQ590002 IBM589998:IBM590002 ILI589998:ILI590002 IVE589998:IVE590002 JFA589998:JFA590002 JOW589998:JOW590002 JYS589998:JYS590002 KIO589998:KIO590002 KSK589998:KSK590002 LCG589998:LCG590002 LMC589998:LMC590002 LVY589998:LVY590002 MFU589998:MFU590002 MPQ589998:MPQ590002 MZM589998:MZM590002 NJI589998:NJI590002 NTE589998:NTE590002 ODA589998:ODA590002 OMW589998:OMW590002 OWS589998:OWS590002 PGO589998:PGO590002 PQK589998:PQK590002 QAG589998:QAG590002 QKC589998:QKC590002 QTY589998:QTY590002 RDU589998:RDU590002 RNQ589998:RNQ590002 RXM589998:RXM590002 SHI589998:SHI590002 SRE589998:SRE590002 TBA589998:TBA590002 TKW589998:TKW590002 TUS589998:TUS590002 UEO589998:UEO590002 UOK589998:UOK590002 UYG589998:UYG590002 VIC589998:VIC590002 VRY589998:VRY590002 WBU589998:WBU590002 WLQ589998:WLQ590002 WVM589998:WVM590002 F655534:F655538 JA655534:JA655538 SW655534:SW655538 ACS655534:ACS655538 AMO655534:AMO655538 AWK655534:AWK655538 BGG655534:BGG655538 BQC655534:BQC655538 BZY655534:BZY655538 CJU655534:CJU655538 CTQ655534:CTQ655538 DDM655534:DDM655538 DNI655534:DNI655538 DXE655534:DXE655538 EHA655534:EHA655538 EQW655534:EQW655538 FAS655534:FAS655538 FKO655534:FKO655538 FUK655534:FUK655538 GEG655534:GEG655538 GOC655534:GOC655538 GXY655534:GXY655538 HHU655534:HHU655538 HRQ655534:HRQ655538 IBM655534:IBM655538 ILI655534:ILI655538 IVE655534:IVE655538 JFA655534:JFA655538 JOW655534:JOW655538 JYS655534:JYS655538 KIO655534:KIO655538 KSK655534:KSK655538 LCG655534:LCG655538 LMC655534:LMC655538 LVY655534:LVY655538 MFU655534:MFU655538 MPQ655534:MPQ655538 MZM655534:MZM655538 NJI655534:NJI655538 NTE655534:NTE655538 ODA655534:ODA655538 OMW655534:OMW655538 OWS655534:OWS655538 PGO655534:PGO655538 PQK655534:PQK655538 QAG655534:QAG655538 QKC655534:QKC655538 QTY655534:QTY655538 RDU655534:RDU655538 RNQ655534:RNQ655538 RXM655534:RXM655538 SHI655534:SHI655538 SRE655534:SRE655538 TBA655534:TBA655538 TKW655534:TKW655538 TUS655534:TUS655538 UEO655534:UEO655538 UOK655534:UOK655538 UYG655534:UYG655538 VIC655534:VIC655538 VRY655534:VRY655538 WBU655534:WBU655538 WLQ655534:WLQ655538 WVM655534:WVM655538 F721070:F721074 JA721070:JA721074 SW721070:SW721074 ACS721070:ACS721074 AMO721070:AMO721074 AWK721070:AWK721074 BGG721070:BGG721074 BQC721070:BQC721074 BZY721070:BZY721074 CJU721070:CJU721074 CTQ721070:CTQ721074 DDM721070:DDM721074 DNI721070:DNI721074 DXE721070:DXE721074 EHA721070:EHA721074 EQW721070:EQW721074 FAS721070:FAS721074 FKO721070:FKO721074 FUK721070:FUK721074 GEG721070:GEG721074 GOC721070:GOC721074 GXY721070:GXY721074 HHU721070:HHU721074 HRQ721070:HRQ721074 IBM721070:IBM721074 ILI721070:ILI721074 IVE721070:IVE721074 JFA721070:JFA721074 JOW721070:JOW721074 JYS721070:JYS721074 KIO721070:KIO721074 KSK721070:KSK721074 LCG721070:LCG721074 LMC721070:LMC721074 LVY721070:LVY721074 MFU721070:MFU721074 MPQ721070:MPQ721074 MZM721070:MZM721074 NJI721070:NJI721074 NTE721070:NTE721074 ODA721070:ODA721074 OMW721070:OMW721074 OWS721070:OWS721074 PGO721070:PGO721074 PQK721070:PQK721074 QAG721070:QAG721074 QKC721070:QKC721074 QTY721070:QTY721074 RDU721070:RDU721074 RNQ721070:RNQ721074 RXM721070:RXM721074 SHI721070:SHI721074 SRE721070:SRE721074 TBA721070:TBA721074 TKW721070:TKW721074 TUS721070:TUS721074 UEO721070:UEO721074 UOK721070:UOK721074 UYG721070:UYG721074 VIC721070:VIC721074 VRY721070:VRY721074 WBU721070:WBU721074 WLQ721070:WLQ721074 WVM721070:WVM721074 F786606:F786610 JA786606:JA786610 SW786606:SW786610 ACS786606:ACS786610 AMO786606:AMO786610 AWK786606:AWK786610 BGG786606:BGG786610 BQC786606:BQC786610 BZY786606:BZY786610 CJU786606:CJU786610 CTQ786606:CTQ786610 DDM786606:DDM786610 DNI786606:DNI786610 DXE786606:DXE786610 EHA786606:EHA786610 EQW786606:EQW786610 FAS786606:FAS786610 FKO786606:FKO786610 FUK786606:FUK786610 GEG786606:GEG786610 GOC786606:GOC786610 GXY786606:GXY786610 HHU786606:HHU786610 HRQ786606:HRQ786610 IBM786606:IBM786610 ILI786606:ILI786610 IVE786606:IVE786610 JFA786606:JFA786610 JOW786606:JOW786610 JYS786606:JYS786610 KIO786606:KIO786610 KSK786606:KSK786610 LCG786606:LCG786610 LMC786606:LMC786610 LVY786606:LVY786610 MFU786606:MFU786610 MPQ786606:MPQ786610 MZM786606:MZM786610 NJI786606:NJI786610 NTE786606:NTE786610 ODA786606:ODA786610 OMW786606:OMW786610 OWS786606:OWS786610 PGO786606:PGO786610 PQK786606:PQK786610 QAG786606:QAG786610 QKC786606:QKC786610 QTY786606:QTY786610 RDU786606:RDU786610 RNQ786606:RNQ786610 RXM786606:RXM786610 SHI786606:SHI786610 SRE786606:SRE786610 TBA786606:TBA786610 TKW786606:TKW786610 TUS786606:TUS786610 UEO786606:UEO786610 UOK786606:UOK786610 UYG786606:UYG786610 VIC786606:VIC786610 VRY786606:VRY786610 WBU786606:WBU786610 WLQ786606:WLQ786610 WVM786606:WVM786610 F852142:F852146 JA852142:JA852146 SW852142:SW852146 ACS852142:ACS852146 AMO852142:AMO852146 AWK852142:AWK852146 BGG852142:BGG852146 BQC852142:BQC852146 BZY852142:BZY852146 CJU852142:CJU852146 CTQ852142:CTQ852146 DDM852142:DDM852146 DNI852142:DNI852146 DXE852142:DXE852146 EHA852142:EHA852146 EQW852142:EQW852146 FAS852142:FAS852146 FKO852142:FKO852146 FUK852142:FUK852146 GEG852142:GEG852146 GOC852142:GOC852146 GXY852142:GXY852146 HHU852142:HHU852146 HRQ852142:HRQ852146 IBM852142:IBM852146 ILI852142:ILI852146 IVE852142:IVE852146 JFA852142:JFA852146 JOW852142:JOW852146 JYS852142:JYS852146 KIO852142:KIO852146 KSK852142:KSK852146 LCG852142:LCG852146 LMC852142:LMC852146 LVY852142:LVY852146 MFU852142:MFU852146 MPQ852142:MPQ852146 MZM852142:MZM852146 NJI852142:NJI852146 NTE852142:NTE852146 ODA852142:ODA852146 OMW852142:OMW852146 OWS852142:OWS852146 PGO852142:PGO852146 PQK852142:PQK852146 QAG852142:QAG852146 QKC852142:QKC852146 QTY852142:QTY852146 RDU852142:RDU852146 RNQ852142:RNQ852146 RXM852142:RXM852146 SHI852142:SHI852146 SRE852142:SRE852146 TBA852142:TBA852146 TKW852142:TKW852146 TUS852142:TUS852146 UEO852142:UEO852146 UOK852142:UOK852146 UYG852142:UYG852146 VIC852142:VIC852146 VRY852142:VRY852146 WBU852142:WBU852146 WLQ852142:WLQ852146 WVM852142:WVM852146 F917678:F917682 JA917678:JA917682 SW917678:SW917682 ACS917678:ACS917682 AMO917678:AMO917682 AWK917678:AWK917682 BGG917678:BGG917682 BQC917678:BQC917682 BZY917678:BZY917682 CJU917678:CJU917682 CTQ917678:CTQ917682 DDM917678:DDM917682 DNI917678:DNI917682 DXE917678:DXE917682 EHA917678:EHA917682 EQW917678:EQW917682 FAS917678:FAS917682 FKO917678:FKO917682 FUK917678:FUK917682 GEG917678:GEG917682 GOC917678:GOC917682 GXY917678:GXY917682 HHU917678:HHU917682 HRQ917678:HRQ917682 IBM917678:IBM917682 ILI917678:ILI917682 IVE917678:IVE917682 JFA917678:JFA917682 JOW917678:JOW917682 JYS917678:JYS917682 KIO917678:KIO917682 KSK917678:KSK917682 LCG917678:LCG917682 LMC917678:LMC917682 LVY917678:LVY917682 MFU917678:MFU917682 MPQ917678:MPQ917682 MZM917678:MZM917682 NJI917678:NJI917682 NTE917678:NTE917682 ODA917678:ODA917682 OMW917678:OMW917682 OWS917678:OWS917682 PGO917678:PGO917682 PQK917678:PQK917682 QAG917678:QAG917682 QKC917678:QKC917682 QTY917678:QTY917682 RDU917678:RDU917682 RNQ917678:RNQ917682 RXM917678:RXM917682 SHI917678:SHI917682 SRE917678:SRE917682 TBA917678:TBA917682 TKW917678:TKW917682 TUS917678:TUS917682 UEO917678:UEO917682 UOK917678:UOK917682 UYG917678:UYG917682 VIC917678:VIC917682 VRY917678:VRY917682 WBU917678:WBU917682 WLQ917678:WLQ917682 WVM917678:WVM917682 F983214:F983218 JA983214:JA983218 SW983214:SW983218 ACS983214:ACS983218 AMO983214:AMO983218 AWK983214:AWK983218 BGG983214:BGG983218 BQC983214:BQC983218 BZY983214:BZY983218 CJU983214:CJU983218 CTQ983214:CTQ983218 DDM983214:DDM983218 DNI983214:DNI983218 DXE983214:DXE983218 EHA983214:EHA983218 EQW983214:EQW983218 FAS983214:FAS983218 FKO983214:FKO983218 FUK983214:FUK983218 GEG983214:GEG983218 GOC983214:GOC983218 GXY983214:GXY983218 HHU983214:HHU983218 HRQ983214:HRQ983218 IBM983214:IBM983218 ILI983214:ILI983218 IVE983214:IVE983218 JFA983214:JFA983218 JOW983214:JOW983218 JYS983214:JYS983218 KIO983214:KIO983218 KSK983214:KSK983218 LCG983214:LCG983218 LMC983214:LMC983218 LVY983214:LVY983218 MFU983214:MFU983218 MPQ983214:MPQ983218 MZM983214:MZM983218 NJI983214:NJI983218 NTE983214:NTE983218 ODA983214:ODA983218 OMW983214:OMW983218 OWS983214:OWS983218 PGO983214:PGO983218 PQK983214:PQK983218 QAG983214:QAG983218 QKC983214:QKC983218 QTY983214:QTY983218 RDU983214:RDU983218 RNQ983214:RNQ983218 RXM983214:RXM983218 SHI983214:SHI983218 SRE983214:SRE983218 TBA983214:TBA983218 TKW983214:TKW983218 TUS983214:TUS983218 UEO983214:UEO983218 UOK983214:UOK983218 UYG983214:UYG983218 VIC983214:VIC983218 VRY983214:VRY983218 WBU983214:WBU983218 WLQ983214:WLQ983218 WVM983214:WVM983218 F180 JA180 SW180 ACS180 AMO180 AWK180 BGG180 BQC180 BZY180 CJU180 CTQ180 DDM180 DNI180 DXE180 EHA180 EQW180 FAS180 FKO180 FUK180 GEG180 GOC180 GXY180 HHU180 HRQ180 IBM180 ILI180 IVE180 JFA180 JOW180 JYS180 KIO180 KSK180 LCG180 LMC180 LVY180 MFU180 MPQ180 MZM180 NJI180 NTE180 ODA180 OMW180 OWS180 PGO180 PQK180 QAG180 QKC180 QTY180 RDU180 RNQ180 RXM180 SHI180 SRE180 TBA180 TKW180 TUS180 UEO180 UOK180 UYG180 VIC180 VRY180 WBU180 WLQ180 WVM180 F65716 JA65716 SW65716 ACS65716 AMO65716 AWK65716 BGG65716 BQC65716 BZY65716 CJU65716 CTQ65716 DDM65716 DNI65716 DXE65716 EHA65716 EQW65716 FAS65716 FKO65716 FUK65716 GEG65716 GOC65716 GXY65716 HHU65716 HRQ65716 IBM65716 ILI65716 IVE65716 JFA65716 JOW65716 JYS65716 KIO65716 KSK65716 LCG65716 LMC65716 LVY65716 MFU65716 MPQ65716 MZM65716 NJI65716 NTE65716 ODA65716 OMW65716 OWS65716 PGO65716 PQK65716 QAG65716 QKC65716 QTY65716 RDU65716 RNQ65716 RXM65716 SHI65716 SRE65716 TBA65716 TKW65716 TUS65716 UEO65716 UOK65716 UYG65716 VIC65716 VRY65716 WBU65716 WLQ65716 WVM65716 F131252 JA131252 SW131252 ACS131252 AMO131252 AWK131252 BGG131252 BQC131252 BZY131252 CJU131252 CTQ131252 DDM131252 DNI131252 DXE131252 EHA131252 EQW131252 FAS131252 FKO131252 FUK131252 GEG131252 GOC131252 GXY131252 HHU131252 HRQ131252 IBM131252 ILI131252 IVE131252 JFA131252 JOW131252 JYS131252 KIO131252 KSK131252 LCG131252 LMC131252 LVY131252 MFU131252 MPQ131252 MZM131252 NJI131252 NTE131252 ODA131252 OMW131252 OWS131252 PGO131252 PQK131252 QAG131252 QKC131252 QTY131252 RDU131252 RNQ131252 RXM131252 SHI131252 SRE131252 TBA131252 TKW131252 TUS131252 UEO131252 UOK131252 UYG131252 VIC131252 VRY131252 WBU131252 WLQ131252 WVM131252 F196788 JA196788 SW196788 ACS196788 AMO196788 AWK196788 BGG196788 BQC196788 BZY196788 CJU196788 CTQ196788 DDM196788 DNI196788 DXE196788 EHA196788 EQW196788 FAS196788 FKO196788 FUK196788 GEG196788 GOC196788 GXY196788 HHU196788 HRQ196788 IBM196788 ILI196788 IVE196788 JFA196788 JOW196788 JYS196788 KIO196788 KSK196788 LCG196788 LMC196788 LVY196788 MFU196788 MPQ196788 MZM196788 NJI196788 NTE196788 ODA196788 OMW196788 OWS196788 PGO196788 PQK196788 QAG196788 QKC196788 QTY196788 RDU196788 RNQ196788 RXM196788 SHI196788 SRE196788 TBA196788 TKW196788 TUS196788 UEO196788 UOK196788 UYG196788 VIC196788 VRY196788 WBU196788 WLQ196788 WVM196788 F262324 JA262324 SW262324 ACS262324 AMO262324 AWK262324 BGG262324 BQC262324 BZY262324 CJU262324 CTQ262324 DDM262324 DNI262324 DXE262324 EHA262324 EQW262324 FAS262324 FKO262324 FUK262324 GEG262324 GOC262324 GXY262324 HHU262324 HRQ262324 IBM262324 ILI262324 IVE262324 JFA262324 JOW262324 JYS262324 KIO262324 KSK262324 LCG262324 LMC262324 LVY262324 MFU262324 MPQ262324 MZM262324 NJI262324 NTE262324 ODA262324 OMW262324 OWS262324 PGO262324 PQK262324 QAG262324 QKC262324 QTY262324 RDU262324 RNQ262324 RXM262324 SHI262324 SRE262324 TBA262324 TKW262324 TUS262324 UEO262324 UOK262324 UYG262324 VIC262324 VRY262324 WBU262324 WLQ262324 WVM262324 F327860 JA327860 SW327860 ACS327860 AMO327860 AWK327860 BGG327860 BQC327860 BZY327860 CJU327860 CTQ327860 DDM327860 DNI327860 DXE327860 EHA327860 EQW327860 FAS327860 FKO327860 FUK327860 GEG327860 GOC327860 GXY327860 HHU327860 HRQ327860 IBM327860 ILI327860 IVE327860 JFA327860 JOW327860 JYS327860 KIO327860 KSK327860 LCG327860 LMC327860 LVY327860 MFU327860 MPQ327860 MZM327860 NJI327860 NTE327860 ODA327860 OMW327860 OWS327860 PGO327860 PQK327860 QAG327860 QKC327860 QTY327860 RDU327860 RNQ327860 RXM327860 SHI327860 SRE327860 TBA327860 TKW327860 TUS327860 UEO327860 UOK327860 UYG327860 VIC327860 VRY327860 WBU327860 WLQ327860 WVM327860 F393396 JA393396 SW393396 ACS393396 AMO393396 AWK393396 BGG393396 BQC393396 BZY393396 CJU393396 CTQ393396 DDM393396 DNI393396 DXE393396 EHA393396 EQW393396 FAS393396 FKO393396 FUK393396 GEG393396 GOC393396 GXY393396 HHU393396 HRQ393396 IBM393396 ILI393396 IVE393396 JFA393396 JOW393396 JYS393396 KIO393396 KSK393396 LCG393396 LMC393396 LVY393396 MFU393396 MPQ393396 MZM393396 NJI393396 NTE393396 ODA393396 OMW393396 OWS393396 PGO393396 PQK393396 QAG393396 QKC393396 QTY393396 RDU393396 RNQ393396 RXM393396 SHI393396 SRE393396 TBA393396 TKW393396 TUS393396 UEO393396 UOK393396 UYG393396 VIC393396 VRY393396 WBU393396 WLQ393396 WVM393396 F458932 JA458932 SW458932 ACS458932 AMO458932 AWK458932 BGG458932 BQC458932 BZY458932 CJU458932 CTQ458932 DDM458932 DNI458932 DXE458932 EHA458932 EQW458932 FAS458932 FKO458932 FUK458932 GEG458932 GOC458932 GXY458932 HHU458932 HRQ458932 IBM458932 ILI458932 IVE458932 JFA458932 JOW458932 JYS458932 KIO458932 KSK458932 LCG458932 LMC458932 LVY458932 MFU458932 MPQ458932 MZM458932 NJI458932 NTE458932 ODA458932 OMW458932 OWS458932 PGO458932 PQK458932 QAG458932 QKC458932 QTY458932 RDU458932 RNQ458932 RXM458932 SHI458932 SRE458932 TBA458932 TKW458932 TUS458932 UEO458932 UOK458932 UYG458932 VIC458932 VRY458932 WBU458932 WLQ458932 WVM458932 F524468 JA524468 SW524468 ACS524468 AMO524468 AWK524468 BGG524468 BQC524468 BZY524468 CJU524468 CTQ524468 DDM524468 DNI524468 DXE524468 EHA524468 EQW524468 FAS524468 FKO524468 FUK524468 GEG524468 GOC524468 GXY524468 HHU524468 HRQ524468 IBM524468 ILI524468 IVE524468 JFA524468 JOW524468 JYS524468 KIO524468 KSK524468 LCG524468 LMC524468 LVY524468 MFU524468 MPQ524468 MZM524468 NJI524468 NTE524468 ODA524468 OMW524468 OWS524468 PGO524468 PQK524468 QAG524468 QKC524468 QTY524468 RDU524468 RNQ524468 RXM524468 SHI524468 SRE524468 TBA524468 TKW524468 TUS524468 UEO524468 UOK524468 UYG524468 VIC524468 VRY524468 WBU524468 WLQ524468 WVM524468 F590004 JA590004 SW590004 ACS590004 AMO590004 AWK590004 BGG590004 BQC590004 BZY590004 CJU590004 CTQ590004 DDM590004 DNI590004 DXE590004 EHA590004 EQW590004 FAS590004 FKO590004 FUK590004 GEG590004 GOC590004 GXY590004 HHU590004 HRQ590004 IBM590004 ILI590004 IVE590004 JFA590004 JOW590004 JYS590004 KIO590004 KSK590004 LCG590004 LMC590004 LVY590004 MFU590004 MPQ590004 MZM590004 NJI590004 NTE590004 ODA590004 OMW590004 OWS590004 PGO590004 PQK590004 QAG590004 QKC590004 QTY590004 RDU590004 RNQ590004 RXM590004 SHI590004 SRE590004 TBA590004 TKW590004 TUS590004 UEO590004 UOK590004 UYG590004 VIC590004 VRY590004 WBU590004 WLQ590004 WVM590004 F655540 JA655540 SW655540 ACS655540 AMO655540 AWK655540 BGG655540 BQC655540 BZY655540 CJU655540 CTQ655540 DDM655540 DNI655540 DXE655540 EHA655540 EQW655540 FAS655540 FKO655540 FUK655540 GEG655540 GOC655540 GXY655540 HHU655540 HRQ655540 IBM655540 ILI655540 IVE655540 JFA655540 JOW655540 JYS655540 KIO655540 KSK655540 LCG655540 LMC655540 LVY655540 MFU655540 MPQ655540 MZM655540 NJI655540 NTE655540 ODA655540 OMW655540 OWS655540 PGO655540 PQK655540 QAG655540 QKC655540 QTY655540 RDU655540 RNQ655540 RXM655540 SHI655540 SRE655540 TBA655540 TKW655540 TUS655540 UEO655540 UOK655540 UYG655540 VIC655540 VRY655540 WBU655540 WLQ655540 WVM655540 F721076 JA721076 SW721076 ACS721076 AMO721076 AWK721076 BGG721076 BQC721076 BZY721076 CJU721076 CTQ721076 DDM721076 DNI721076 DXE721076 EHA721076 EQW721076 FAS721076 FKO721076 FUK721076 GEG721076 GOC721076 GXY721076 HHU721076 HRQ721076 IBM721076 ILI721076 IVE721076 JFA721076 JOW721076 JYS721076 KIO721076 KSK721076 LCG721076 LMC721076 LVY721076 MFU721076 MPQ721076 MZM721076 NJI721076 NTE721076 ODA721076 OMW721076 OWS721076 PGO721076 PQK721076 QAG721076 QKC721076 QTY721076 RDU721076 RNQ721076 RXM721076 SHI721076 SRE721076 TBA721076 TKW721076 TUS721076 UEO721076 UOK721076 UYG721076 VIC721076 VRY721076 WBU721076 WLQ721076 WVM721076 F786612 JA786612 SW786612 ACS786612 AMO786612 AWK786612 BGG786612 BQC786612 BZY786612 CJU786612 CTQ786612 DDM786612 DNI786612 DXE786612 EHA786612 EQW786612 FAS786612 FKO786612 FUK786612 GEG786612 GOC786612 GXY786612 HHU786612 HRQ786612 IBM786612 ILI786612 IVE786612 JFA786612 JOW786612 JYS786612 KIO786612 KSK786612 LCG786612 LMC786612 LVY786612 MFU786612 MPQ786612 MZM786612 NJI786612 NTE786612 ODA786612 OMW786612 OWS786612 PGO786612 PQK786612 QAG786612 QKC786612 QTY786612 RDU786612 RNQ786612 RXM786612 SHI786612 SRE786612 TBA786612 TKW786612 TUS786612 UEO786612 UOK786612 UYG786612 VIC786612 VRY786612 WBU786612 WLQ786612 WVM786612 F852148 JA852148 SW852148 ACS852148 AMO852148 AWK852148 BGG852148 BQC852148 BZY852148 CJU852148 CTQ852148 DDM852148 DNI852148 DXE852148 EHA852148 EQW852148 FAS852148 FKO852148 FUK852148 GEG852148 GOC852148 GXY852148 HHU852148 HRQ852148 IBM852148 ILI852148 IVE852148 JFA852148 JOW852148 JYS852148 KIO852148 KSK852148 LCG852148 LMC852148 LVY852148 MFU852148 MPQ852148 MZM852148 NJI852148 NTE852148 ODA852148 OMW852148 OWS852148 PGO852148 PQK852148 QAG852148 QKC852148 QTY852148 RDU852148 RNQ852148 RXM852148 SHI852148 SRE852148 TBA852148 TKW852148 TUS852148 UEO852148 UOK852148 UYG852148 VIC852148 VRY852148 WBU852148 WLQ852148 WVM852148 F917684 JA917684 SW917684 ACS917684 AMO917684 AWK917684 BGG917684 BQC917684 BZY917684 CJU917684 CTQ917684 DDM917684 DNI917684 DXE917684 EHA917684 EQW917684 FAS917684 FKO917684 FUK917684 GEG917684 GOC917684 GXY917684 HHU917684 HRQ917684 IBM917684 ILI917684 IVE917684 JFA917684 JOW917684 JYS917684 KIO917684 KSK917684 LCG917684 LMC917684 LVY917684 MFU917684 MPQ917684 MZM917684 NJI917684 NTE917684 ODA917684 OMW917684 OWS917684 PGO917684 PQK917684 QAG917684 QKC917684 QTY917684 RDU917684 RNQ917684 RXM917684 SHI917684 SRE917684 TBA917684 TKW917684 TUS917684 UEO917684 UOK917684 UYG917684 VIC917684 VRY917684 WBU917684 WLQ917684 WVM917684 F983220 JA983220 SW983220 ACS983220 AMO983220 AWK983220 BGG983220 BQC983220 BZY983220 CJU983220 CTQ983220 DDM983220 DNI983220 DXE983220 EHA983220 EQW983220 FAS983220 FKO983220 FUK983220 GEG983220 GOC983220 GXY983220 HHU983220 HRQ983220 IBM983220 ILI983220 IVE983220 JFA983220 JOW983220 JYS983220 KIO983220 KSK983220 LCG983220 LMC983220 LVY983220 MFU983220 MPQ983220 MZM983220 NJI983220 NTE983220 ODA983220 OMW983220 OWS983220 PGO983220 PQK983220 QAG983220 QKC983220 QTY983220 RDU983220 RNQ983220 RXM983220 SHI983220 SRE983220 TBA983220 TKW983220 TUS983220 UEO983220 UOK983220 UYG983220 VIC983220 VRY983220 WBU983220 WLQ983220 WVM983220 F111:F119 JA111:JA119 SW111:SW119 ACS111:ACS119 AMO111:AMO119 AWK111:AWK119 BGG111:BGG119 BQC111:BQC119 BZY111:BZY119 CJU111:CJU119 CTQ111:CTQ119 DDM111:DDM119 DNI111:DNI119 DXE111:DXE119 EHA111:EHA119 EQW111:EQW119 FAS111:FAS119 FKO111:FKO119 FUK111:FUK119 GEG111:GEG119 GOC111:GOC119 GXY111:GXY119 HHU111:HHU119 HRQ111:HRQ119 IBM111:IBM119 ILI111:ILI119 IVE111:IVE119 JFA111:JFA119 JOW111:JOW119 JYS111:JYS119 KIO111:KIO119 KSK111:KSK119 LCG111:LCG119 LMC111:LMC119 LVY111:LVY119 MFU111:MFU119 MPQ111:MPQ119 MZM111:MZM119 NJI111:NJI119 NTE111:NTE119 ODA111:ODA119 OMW111:OMW119 OWS111:OWS119 PGO111:PGO119 PQK111:PQK119 QAG111:QAG119 QKC111:QKC119 QTY111:QTY119 RDU111:RDU119 RNQ111:RNQ119 RXM111:RXM119 SHI111:SHI119 SRE111:SRE119 TBA111:TBA119 TKW111:TKW119 TUS111:TUS119 UEO111:UEO119 UOK111:UOK119 UYG111:UYG119 VIC111:VIC119 VRY111:VRY119 WBU111:WBU119 WLQ111:WLQ119 WVM111:WVM119 F65647:F65655 JA65647:JA65655 SW65647:SW65655 ACS65647:ACS65655 AMO65647:AMO65655 AWK65647:AWK65655 BGG65647:BGG65655 BQC65647:BQC65655 BZY65647:BZY65655 CJU65647:CJU65655 CTQ65647:CTQ65655 DDM65647:DDM65655 DNI65647:DNI65655 DXE65647:DXE65655 EHA65647:EHA65655 EQW65647:EQW65655 FAS65647:FAS65655 FKO65647:FKO65655 FUK65647:FUK65655 GEG65647:GEG65655 GOC65647:GOC65655 GXY65647:GXY65655 HHU65647:HHU65655 HRQ65647:HRQ65655 IBM65647:IBM65655 ILI65647:ILI65655 IVE65647:IVE65655 JFA65647:JFA65655 JOW65647:JOW65655 JYS65647:JYS65655 KIO65647:KIO65655 KSK65647:KSK65655 LCG65647:LCG65655 LMC65647:LMC65655 LVY65647:LVY65655 MFU65647:MFU65655 MPQ65647:MPQ65655 MZM65647:MZM65655 NJI65647:NJI65655 NTE65647:NTE65655 ODA65647:ODA65655 OMW65647:OMW65655 OWS65647:OWS65655 PGO65647:PGO65655 PQK65647:PQK65655 QAG65647:QAG65655 QKC65647:QKC65655 QTY65647:QTY65655 RDU65647:RDU65655 RNQ65647:RNQ65655 RXM65647:RXM65655 SHI65647:SHI65655 SRE65647:SRE65655 TBA65647:TBA65655 TKW65647:TKW65655 TUS65647:TUS65655 UEO65647:UEO65655 UOK65647:UOK65655 UYG65647:UYG65655 VIC65647:VIC65655 VRY65647:VRY65655 WBU65647:WBU65655 WLQ65647:WLQ65655 WVM65647:WVM65655 F131183:F131191 JA131183:JA131191 SW131183:SW131191 ACS131183:ACS131191 AMO131183:AMO131191 AWK131183:AWK131191 BGG131183:BGG131191 BQC131183:BQC131191 BZY131183:BZY131191 CJU131183:CJU131191 CTQ131183:CTQ131191 DDM131183:DDM131191 DNI131183:DNI131191 DXE131183:DXE131191 EHA131183:EHA131191 EQW131183:EQW131191 FAS131183:FAS131191 FKO131183:FKO131191 FUK131183:FUK131191 GEG131183:GEG131191 GOC131183:GOC131191 GXY131183:GXY131191 HHU131183:HHU131191 HRQ131183:HRQ131191 IBM131183:IBM131191 ILI131183:ILI131191 IVE131183:IVE131191 JFA131183:JFA131191 JOW131183:JOW131191 JYS131183:JYS131191 KIO131183:KIO131191 KSK131183:KSK131191 LCG131183:LCG131191 LMC131183:LMC131191 LVY131183:LVY131191 MFU131183:MFU131191 MPQ131183:MPQ131191 MZM131183:MZM131191 NJI131183:NJI131191 NTE131183:NTE131191 ODA131183:ODA131191 OMW131183:OMW131191 OWS131183:OWS131191 PGO131183:PGO131191 PQK131183:PQK131191 QAG131183:QAG131191 QKC131183:QKC131191 QTY131183:QTY131191 RDU131183:RDU131191 RNQ131183:RNQ131191 RXM131183:RXM131191 SHI131183:SHI131191 SRE131183:SRE131191 TBA131183:TBA131191 TKW131183:TKW131191 TUS131183:TUS131191 UEO131183:UEO131191 UOK131183:UOK131191 UYG131183:UYG131191 VIC131183:VIC131191 VRY131183:VRY131191 WBU131183:WBU131191 WLQ131183:WLQ131191 WVM131183:WVM131191 F196719:F196727 JA196719:JA196727 SW196719:SW196727 ACS196719:ACS196727 AMO196719:AMO196727 AWK196719:AWK196727 BGG196719:BGG196727 BQC196719:BQC196727 BZY196719:BZY196727 CJU196719:CJU196727 CTQ196719:CTQ196727 DDM196719:DDM196727 DNI196719:DNI196727 DXE196719:DXE196727 EHA196719:EHA196727 EQW196719:EQW196727 FAS196719:FAS196727 FKO196719:FKO196727 FUK196719:FUK196727 GEG196719:GEG196727 GOC196719:GOC196727 GXY196719:GXY196727 HHU196719:HHU196727 HRQ196719:HRQ196727 IBM196719:IBM196727 ILI196719:ILI196727 IVE196719:IVE196727 JFA196719:JFA196727 JOW196719:JOW196727 JYS196719:JYS196727 KIO196719:KIO196727 KSK196719:KSK196727 LCG196719:LCG196727 LMC196719:LMC196727 LVY196719:LVY196727 MFU196719:MFU196727 MPQ196719:MPQ196727 MZM196719:MZM196727 NJI196719:NJI196727 NTE196719:NTE196727 ODA196719:ODA196727 OMW196719:OMW196727 OWS196719:OWS196727 PGO196719:PGO196727 PQK196719:PQK196727 QAG196719:QAG196727 QKC196719:QKC196727 QTY196719:QTY196727 RDU196719:RDU196727 RNQ196719:RNQ196727 RXM196719:RXM196727 SHI196719:SHI196727 SRE196719:SRE196727 TBA196719:TBA196727 TKW196719:TKW196727 TUS196719:TUS196727 UEO196719:UEO196727 UOK196719:UOK196727 UYG196719:UYG196727 VIC196719:VIC196727 VRY196719:VRY196727 WBU196719:WBU196727 WLQ196719:WLQ196727 WVM196719:WVM196727 F262255:F262263 JA262255:JA262263 SW262255:SW262263 ACS262255:ACS262263 AMO262255:AMO262263 AWK262255:AWK262263 BGG262255:BGG262263 BQC262255:BQC262263 BZY262255:BZY262263 CJU262255:CJU262263 CTQ262255:CTQ262263 DDM262255:DDM262263 DNI262255:DNI262263 DXE262255:DXE262263 EHA262255:EHA262263 EQW262255:EQW262263 FAS262255:FAS262263 FKO262255:FKO262263 FUK262255:FUK262263 GEG262255:GEG262263 GOC262255:GOC262263 GXY262255:GXY262263 HHU262255:HHU262263 HRQ262255:HRQ262263 IBM262255:IBM262263 ILI262255:ILI262263 IVE262255:IVE262263 JFA262255:JFA262263 JOW262255:JOW262263 JYS262255:JYS262263 KIO262255:KIO262263 KSK262255:KSK262263 LCG262255:LCG262263 LMC262255:LMC262263 LVY262255:LVY262263 MFU262255:MFU262263 MPQ262255:MPQ262263 MZM262255:MZM262263 NJI262255:NJI262263 NTE262255:NTE262263 ODA262255:ODA262263 OMW262255:OMW262263 OWS262255:OWS262263 PGO262255:PGO262263 PQK262255:PQK262263 QAG262255:QAG262263 QKC262255:QKC262263 QTY262255:QTY262263 RDU262255:RDU262263 RNQ262255:RNQ262263 RXM262255:RXM262263 SHI262255:SHI262263 SRE262255:SRE262263 TBA262255:TBA262263 TKW262255:TKW262263 TUS262255:TUS262263 UEO262255:UEO262263 UOK262255:UOK262263 UYG262255:UYG262263 VIC262255:VIC262263 VRY262255:VRY262263 WBU262255:WBU262263 WLQ262255:WLQ262263 WVM262255:WVM262263 F327791:F327799 JA327791:JA327799 SW327791:SW327799 ACS327791:ACS327799 AMO327791:AMO327799 AWK327791:AWK327799 BGG327791:BGG327799 BQC327791:BQC327799 BZY327791:BZY327799 CJU327791:CJU327799 CTQ327791:CTQ327799 DDM327791:DDM327799 DNI327791:DNI327799 DXE327791:DXE327799 EHA327791:EHA327799 EQW327791:EQW327799 FAS327791:FAS327799 FKO327791:FKO327799 FUK327791:FUK327799 GEG327791:GEG327799 GOC327791:GOC327799 GXY327791:GXY327799 HHU327791:HHU327799 HRQ327791:HRQ327799 IBM327791:IBM327799 ILI327791:ILI327799 IVE327791:IVE327799 JFA327791:JFA327799 JOW327791:JOW327799 JYS327791:JYS327799 KIO327791:KIO327799 KSK327791:KSK327799 LCG327791:LCG327799 LMC327791:LMC327799 LVY327791:LVY327799 MFU327791:MFU327799 MPQ327791:MPQ327799 MZM327791:MZM327799 NJI327791:NJI327799 NTE327791:NTE327799 ODA327791:ODA327799 OMW327791:OMW327799 OWS327791:OWS327799 PGO327791:PGO327799 PQK327791:PQK327799 QAG327791:QAG327799 QKC327791:QKC327799 QTY327791:QTY327799 RDU327791:RDU327799 RNQ327791:RNQ327799 RXM327791:RXM327799 SHI327791:SHI327799 SRE327791:SRE327799 TBA327791:TBA327799 TKW327791:TKW327799 TUS327791:TUS327799 UEO327791:UEO327799 UOK327791:UOK327799 UYG327791:UYG327799 VIC327791:VIC327799 VRY327791:VRY327799 WBU327791:WBU327799 WLQ327791:WLQ327799 WVM327791:WVM327799 F393327:F393335 JA393327:JA393335 SW393327:SW393335 ACS393327:ACS393335 AMO393327:AMO393335 AWK393327:AWK393335 BGG393327:BGG393335 BQC393327:BQC393335 BZY393327:BZY393335 CJU393327:CJU393335 CTQ393327:CTQ393335 DDM393327:DDM393335 DNI393327:DNI393335 DXE393327:DXE393335 EHA393327:EHA393335 EQW393327:EQW393335 FAS393327:FAS393335 FKO393327:FKO393335 FUK393327:FUK393335 GEG393327:GEG393335 GOC393327:GOC393335 GXY393327:GXY393335 HHU393327:HHU393335 HRQ393327:HRQ393335 IBM393327:IBM393335 ILI393327:ILI393335 IVE393327:IVE393335 JFA393327:JFA393335 JOW393327:JOW393335 JYS393327:JYS393335 KIO393327:KIO393335 KSK393327:KSK393335 LCG393327:LCG393335 LMC393327:LMC393335 LVY393327:LVY393335 MFU393327:MFU393335 MPQ393327:MPQ393335 MZM393327:MZM393335 NJI393327:NJI393335 NTE393327:NTE393335 ODA393327:ODA393335 OMW393327:OMW393335 OWS393327:OWS393335 PGO393327:PGO393335 PQK393327:PQK393335 QAG393327:QAG393335 QKC393327:QKC393335 QTY393327:QTY393335 RDU393327:RDU393335 RNQ393327:RNQ393335 RXM393327:RXM393335 SHI393327:SHI393335 SRE393327:SRE393335 TBA393327:TBA393335 TKW393327:TKW393335 TUS393327:TUS393335 UEO393327:UEO393335 UOK393327:UOK393335 UYG393327:UYG393335 VIC393327:VIC393335 VRY393327:VRY393335 WBU393327:WBU393335 WLQ393327:WLQ393335 WVM393327:WVM393335 F458863:F458871 JA458863:JA458871 SW458863:SW458871 ACS458863:ACS458871 AMO458863:AMO458871 AWK458863:AWK458871 BGG458863:BGG458871 BQC458863:BQC458871 BZY458863:BZY458871 CJU458863:CJU458871 CTQ458863:CTQ458871 DDM458863:DDM458871 DNI458863:DNI458871 DXE458863:DXE458871 EHA458863:EHA458871 EQW458863:EQW458871 FAS458863:FAS458871 FKO458863:FKO458871 FUK458863:FUK458871 GEG458863:GEG458871 GOC458863:GOC458871 GXY458863:GXY458871 HHU458863:HHU458871 HRQ458863:HRQ458871 IBM458863:IBM458871 ILI458863:ILI458871 IVE458863:IVE458871 JFA458863:JFA458871 JOW458863:JOW458871 JYS458863:JYS458871 KIO458863:KIO458871 KSK458863:KSK458871 LCG458863:LCG458871 LMC458863:LMC458871 LVY458863:LVY458871 MFU458863:MFU458871 MPQ458863:MPQ458871 MZM458863:MZM458871 NJI458863:NJI458871 NTE458863:NTE458871 ODA458863:ODA458871 OMW458863:OMW458871 OWS458863:OWS458871 PGO458863:PGO458871 PQK458863:PQK458871 QAG458863:QAG458871 QKC458863:QKC458871 QTY458863:QTY458871 RDU458863:RDU458871 RNQ458863:RNQ458871 RXM458863:RXM458871 SHI458863:SHI458871 SRE458863:SRE458871 TBA458863:TBA458871 TKW458863:TKW458871 TUS458863:TUS458871 UEO458863:UEO458871 UOK458863:UOK458871 UYG458863:UYG458871 VIC458863:VIC458871 VRY458863:VRY458871 WBU458863:WBU458871 WLQ458863:WLQ458871 WVM458863:WVM458871 F524399:F524407 JA524399:JA524407 SW524399:SW524407 ACS524399:ACS524407 AMO524399:AMO524407 AWK524399:AWK524407 BGG524399:BGG524407 BQC524399:BQC524407 BZY524399:BZY524407 CJU524399:CJU524407 CTQ524399:CTQ524407 DDM524399:DDM524407 DNI524399:DNI524407 DXE524399:DXE524407 EHA524399:EHA524407 EQW524399:EQW524407 FAS524399:FAS524407 FKO524399:FKO524407 FUK524399:FUK524407 GEG524399:GEG524407 GOC524399:GOC524407 GXY524399:GXY524407 HHU524399:HHU524407 HRQ524399:HRQ524407 IBM524399:IBM524407 ILI524399:ILI524407 IVE524399:IVE524407 JFA524399:JFA524407 JOW524399:JOW524407 JYS524399:JYS524407 KIO524399:KIO524407 KSK524399:KSK524407 LCG524399:LCG524407 LMC524399:LMC524407 LVY524399:LVY524407 MFU524399:MFU524407 MPQ524399:MPQ524407 MZM524399:MZM524407 NJI524399:NJI524407 NTE524399:NTE524407 ODA524399:ODA524407 OMW524399:OMW524407 OWS524399:OWS524407 PGO524399:PGO524407 PQK524399:PQK524407 QAG524399:QAG524407 QKC524399:QKC524407 QTY524399:QTY524407 RDU524399:RDU524407 RNQ524399:RNQ524407 RXM524399:RXM524407 SHI524399:SHI524407 SRE524399:SRE524407 TBA524399:TBA524407 TKW524399:TKW524407 TUS524399:TUS524407 UEO524399:UEO524407 UOK524399:UOK524407 UYG524399:UYG524407 VIC524399:VIC524407 VRY524399:VRY524407 WBU524399:WBU524407 WLQ524399:WLQ524407 WVM524399:WVM524407 F589935:F589943 JA589935:JA589943 SW589935:SW589943 ACS589935:ACS589943 AMO589935:AMO589943 AWK589935:AWK589943 BGG589935:BGG589943 BQC589935:BQC589943 BZY589935:BZY589943 CJU589935:CJU589943 CTQ589935:CTQ589943 DDM589935:DDM589943 DNI589935:DNI589943 DXE589935:DXE589943 EHA589935:EHA589943 EQW589935:EQW589943 FAS589935:FAS589943 FKO589935:FKO589943 FUK589935:FUK589943 GEG589935:GEG589943 GOC589935:GOC589943 GXY589935:GXY589943 HHU589935:HHU589943 HRQ589935:HRQ589943 IBM589935:IBM589943 ILI589935:ILI589943 IVE589935:IVE589943 JFA589935:JFA589943 JOW589935:JOW589943 JYS589935:JYS589943 KIO589935:KIO589943 KSK589935:KSK589943 LCG589935:LCG589943 LMC589935:LMC589943 LVY589935:LVY589943 MFU589935:MFU589943 MPQ589935:MPQ589943 MZM589935:MZM589943 NJI589935:NJI589943 NTE589935:NTE589943 ODA589935:ODA589943 OMW589935:OMW589943 OWS589935:OWS589943 PGO589935:PGO589943 PQK589935:PQK589943 QAG589935:QAG589943 QKC589935:QKC589943 QTY589935:QTY589943 RDU589935:RDU589943 RNQ589935:RNQ589943 RXM589935:RXM589943 SHI589935:SHI589943 SRE589935:SRE589943 TBA589935:TBA589943 TKW589935:TKW589943 TUS589935:TUS589943 UEO589935:UEO589943 UOK589935:UOK589943 UYG589935:UYG589943 VIC589935:VIC589943 VRY589935:VRY589943 WBU589935:WBU589943 WLQ589935:WLQ589943 WVM589935:WVM589943 F655471:F655479 JA655471:JA655479 SW655471:SW655479 ACS655471:ACS655479 AMO655471:AMO655479 AWK655471:AWK655479 BGG655471:BGG655479 BQC655471:BQC655479 BZY655471:BZY655479 CJU655471:CJU655479 CTQ655471:CTQ655479 DDM655471:DDM655479 DNI655471:DNI655479 DXE655471:DXE655479 EHA655471:EHA655479 EQW655471:EQW655479 FAS655471:FAS655479 FKO655471:FKO655479 FUK655471:FUK655479 GEG655471:GEG655479 GOC655471:GOC655479 GXY655471:GXY655479 HHU655471:HHU655479 HRQ655471:HRQ655479 IBM655471:IBM655479 ILI655471:ILI655479 IVE655471:IVE655479 JFA655471:JFA655479 JOW655471:JOW655479 JYS655471:JYS655479 KIO655471:KIO655479 KSK655471:KSK655479 LCG655471:LCG655479 LMC655471:LMC655479 LVY655471:LVY655479 MFU655471:MFU655479 MPQ655471:MPQ655479 MZM655471:MZM655479 NJI655471:NJI655479 NTE655471:NTE655479 ODA655471:ODA655479 OMW655471:OMW655479 OWS655471:OWS655479 PGO655471:PGO655479 PQK655471:PQK655479 QAG655471:QAG655479 QKC655471:QKC655479 QTY655471:QTY655479 RDU655471:RDU655479 RNQ655471:RNQ655479 RXM655471:RXM655479 SHI655471:SHI655479 SRE655471:SRE655479 TBA655471:TBA655479 TKW655471:TKW655479 TUS655471:TUS655479 UEO655471:UEO655479 UOK655471:UOK655479 UYG655471:UYG655479 VIC655471:VIC655479 VRY655471:VRY655479 WBU655471:WBU655479 WLQ655471:WLQ655479 WVM655471:WVM655479 F721007:F721015 JA721007:JA721015 SW721007:SW721015 ACS721007:ACS721015 AMO721007:AMO721015 AWK721007:AWK721015 BGG721007:BGG721015 BQC721007:BQC721015 BZY721007:BZY721015 CJU721007:CJU721015 CTQ721007:CTQ721015 DDM721007:DDM721015 DNI721007:DNI721015 DXE721007:DXE721015 EHA721007:EHA721015 EQW721007:EQW721015 FAS721007:FAS721015 FKO721007:FKO721015 FUK721007:FUK721015 GEG721007:GEG721015 GOC721007:GOC721015 GXY721007:GXY721015 HHU721007:HHU721015 HRQ721007:HRQ721015 IBM721007:IBM721015 ILI721007:ILI721015 IVE721007:IVE721015 JFA721007:JFA721015 JOW721007:JOW721015 JYS721007:JYS721015 KIO721007:KIO721015 KSK721007:KSK721015 LCG721007:LCG721015 LMC721007:LMC721015 LVY721007:LVY721015 MFU721007:MFU721015 MPQ721007:MPQ721015 MZM721007:MZM721015 NJI721007:NJI721015 NTE721007:NTE721015 ODA721007:ODA721015 OMW721007:OMW721015 OWS721007:OWS721015 PGO721007:PGO721015 PQK721007:PQK721015 QAG721007:QAG721015 QKC721007:QKC721015 QTY721007:QTY721015 RDU721007:RDU721015 RNQ721007:RNQ721015 RXM721007:RXM721015 SHI721007:SHI721015 SRE721007:SRE721015 TBA721007:TBA721015 TKW721007:TKW721015 TUS721007:TUS721015 UEO721007:UEO721015 UOK721007:UOK721015 UYG721007:UYG721015 VIC721007:VIC721015 VRY721007:VRY721015 WBU721007:WBU721015 WLQ721007:WLQ721015 WVM721007:WVM721015 F786543:F786551 JA786543:JA786551 SW786543:SW786551 ACS786543:ACS786551 AMO786543:AMO786551 AWK786543:AWK786551 BGG786543:BGG786551 BQC786543:BQC786551 BZY786543:BZY786551 CJU786543:CJU786551 CTQ786543:CTQ786551 DDM786543:DDM786551 DNI786543:DNI786551 DXE786543:DXE786551 EHA786543:EHA786551 EQW786543:EQW786551 FAS786543:FAS786551 FKO786543:FKO786551 FUK786543:FUK786551 GEG786543:GEG786551 GOC786543:GOC786551 GXY786543:GXY786551 HHU786543:HHU786551 HRQ786543:HRQ786551 IBM786543:IBM786551 ILI786543:ILI786551 IVE786543:IVE786551 JFA786543:JFA786551 JOW786543:JOW786551 JYS786543:JYS786551 KIO786543:KIO786551 KSK786543:KSK786551 LCG786543:LCG786551 LMC786543:LMC786551 LVY786543:LVY786551 MFU786543:MFU786551 MPQ786543:MPQ786551 MZM786543:MZM786551 NJI786543:NJI786551 NTE786543:NTE786551 ODA786543:ODA786551 OMW786543:OMW786551 OWS786543:OWS786551 PGO786543:PGO786551 PQK786543:PQK786551 QAG786543:QAG786551 QKC786543:QKC786551 QTY786543:QTY786551 RDU786543:RDU786551 RNQ786543:RNQ786551 RXM786543:RXM786551 SHI786543:SHI786551 SRE786543:SRE786551 TBA786543:TBA786551 TKW786543:TKW786551 TUS786543:TUS786551 UEO786543:UEO786551 UOK786543:UOK786551 UYG786543:UYG786551 VIC786543:VIC786551 VRY786543:VRY786551 WBU786543:WBU786551 WLQ786543:WLQ786551 WVM786543:WVM786551 F852079:F852087 JA852079:JA852087 SW852079:SW852087 ACS852079:ACS852087 AMO852079:AMO852087 AWK852079:AWK852087 BGG852079:BGG852087 BQC852079:BQC852087 BZY852079:BZY852087 CJU852079:CJU852087 CTQ852079:CTQ852087 DDM852079:DDM852087 DNI852079:DNI852087 DXE852079:DXE852087 EHA852079:EHA852087 EQW852079:EQW852087 FAS852079:FAS852087 FKO852079:FKO852087 FUK852079:FUK852087 GEG852079:GEG852087 GOC852079:GOC852087 GXY852079:GXY852087 HHU852079:HHU852087 HRQ852079:HRQ852087 IBM852079:IBM852087 ILI852079:ILI852087 IVE852079:IVE852087 JFA852079:JFA852087 JOW852079:JOW852087 JYS852079:JYS852087 KIO852079:KIO852087 KSK852079:KSK852087 LCG852079:LCG852087 LMC852079:LMC852087 LVY852079:LVY852087 MFU852079:MFU852087 MPQ852079:MPQ852087 MZM852079:MZM852087 NJI852079:NJI852087 NTE852079:NTE852087 ODA852079:ODA852087 OMW852079:OMW852087 OWS852079:OWS852087 PGO852079:PGO852087 PQK852079:PQK852087 QAG852079:QAG852087 QKC852079:QKC852087 QTY852079:QTY852087 RDU852079:RDU852087 RNQ852079:RNQ852087 RXM852079:RXM852087 SHI852079:SHI852087 SRE852079:SRE852087 TBA852079:TBA852087 TKW852079:TKW852087 TUS852079:TUS852087 UEO852079:UEO852087 UOK852079:UOK852087 UYG852079:UYG852087 VIC852079:VIC852087 VRY852079:VRY852087 WBU852079:WBU852087 WLQ852079:WLQ852087 WVM852079:WVM852087 F917615:F917623 JA917615:JA917623 SW917615:SW917623 ACS917615:ACS917623 AMO917615:AMO917623 AWK917615:AWK917623 BGG917615:BGG917623 BQC917615:BQC917623 BZY917615:BZY917623 CJU917615:CJU917623 CTQ917615:CTQ917623 DDM917615:DDM917623 DNI917615:DNI917623 DXE917615:DXE917623 EHA917615:EHA917623 EQW917615:EQW917623 FAS917615:FAS917623 FKO917615:FKO917623 FUK917615:FUK917623 GEG917615:GEG917623 GOC917615:GOC917623 GXY917615:GXY917623 HHU917615:HHU917623 HRQ917615:HRQ917623 IBM917615:IBM917623 ILI917615:ILI917623 IVE917615:IVE917623 JFA917615:JFA917623 JOW917615:JOW917623 JYS917615:JYS917623 KIO917615:KIO917623 KSK917615:KSK917623 LCG917615:LCG917623 LMC917615:LMC917623 LVY917615:LVY917623 MFU917615:MFU917623 MPQ917615:MPQ917623 MZM917615:MZM917623 NJI917615:NJI917623 NTE917615:NTE917623 ODA917615:ODA917623 OMW917615:OMW917623 OWS917615:OWS917623 PGO917615:PGO917623 PQK917615:PQK917623 QAG917615:QAG917623 QKC917615:QKC917623 QTY917615:QTY917623 RDU917615:RDU917623 RNQ917615:RNQ917623 RXM917615:RXM917623 SHI917615:SHI917623 SRE917615:SRE917623 TBA917615:TBA917623 TKW917615:TKW917623 TUS917615:TUS917623 UEO917615:UEO917623 UOK917615:UOK917623 UYG917615:UYG917623 VIC917615:VIC917623 VRY917615:VRY917623 WBU917615:WBU917623 WLQ917615:WLQ917623 WVM917615:WVM917623 F983151:F983159 JA983151:JA983159 SW983151:SW983159 ACS983151:ACS983159 AMO983151:AMO983159 AWK983151:AWK983159 BGG983151:BGG983159 BQC983151:BQC983159 BZY983151:BZY983159 CJU983151:CJU983159 CTQ983151:CTQ983159 DDM983151:DDM983159 DNI983151:DNI983159 DXE983151:DXE983159 EHA983151:EHA983159 EQW983151:EQW983159 FAS983151:FAS983159 FKO983151:FKO983159 FUK983151:FUK983159 GEG983151:GEG983159 GOC983151:GOC983159 GXY983151:GXY983159 HHU983151:HHU983159 HRQ983151:HRQ983159 IBM983151:IBM983159 ILI983151:ILI983159 IVE983151:IVE983159 JFA983151:JFA983159 JOW983151:JOW983159 JYS983151:JYS983159 KIO983151:KIO983159 KSK983151:KSK983159 LCG983151:LCG983159 LMC983151:LMC983159 LVY983151:LVY983159 MFU983151:MFU983159 MPQ983151:MPQ983159 MZM983151:MZM983159 NJI983151:NJI983159 NTE983151:NTE983159 ODA983151:ODA983159 OMW983151:OMW983159 OWS983151:OWS983159 PGO983151:PGO983159 PQK983151:PQK983159 QAG983151:QAG983159 QKC983151:QKC983159 QTY983151:QTY983159 RDU983151:RDU983159 RNQ983151:RNQ983159 RXM983151:RXM983159 SHI983151:SHI983159 SRE983151:SRE983159 TBA983151:TBA983159 TKW983151:TKW983159 TUS983151:TUS983159 UEO983151:UEO983159 UOK983151:UOK983159 UYG983151:UYG983159 VIC983151:VIC983159 VRY983151:VRY983159 WBU983151:WBU983159 WLQ983151:WLQ983159 WVM983151:WVM983159 C7:C10 IW7:IW10 SS7:SS10 ACO7:ACO10 AMK7:AMK10 AWG7:AWG10 BGC7:BGC10 BPY7:BPY10 BZU7:BZU10 CJQ7:CJQ10 CTM7:CTM10 DDI7:DDI10 DNE7:DNE10 DXA7:DXA10 EGW7:EGW10 EQS7:EQS10 FAO7:FAO10 FKK7:FKK10 FUG7:FUG10 GEC7:GEC10 GNY7:GNY10 GXU7:GXU10 HHQ7:HHQ10 HRM7:HRM10 IBI7:IBI10 ILE7:ILE10 IVA7:IVA10 JEW7:JEW10 JOS7:JOS10 JYO7:JYO10 KIK7:KIK10 KSG7:KSG10 LCC7:LCC10 LLY7:LLY10 LVU7:LVU10 MFQ7:MFQ10 MPM7:MPM10 MZI7:MZI10 NJE7:NJE10 NTA7:NTA10 OCW7:OCW10 OMS7:OMS10 OWO7:OWO10 PGK7:PGK10 PQG7:PQG10 QAC7:QAC10 QJY7:QJY10 QTU7:QTU10 RDQ7:RDQ10 RNM7:RNM10 RXI7:RXI10 SHE7:SHE10 SRA7:SRA10 TAW7:TAW10 TKS7:TKS10 TUO7:TUO10 UEK7:UEK10 UOG7:UOG10 UYC7:UYC10 VHY7:VHY10 VRU7:VRU10 WBQ7:WBQ10 WLM7:WLM10 WVI7:WVI10 C65543:C65546 IW65543:IW65546 SS65543:SS65546 ACO65543:ACO65546 AMK65543:AMK65546 AWG65543:AWG65546 BGC65543:BGC65546 BPY65543:BPY65546 BZU65543:BZU65546 CJQ65543:CJQ65546 CTM65543:CTM65546 DDI65543:DDI65546 DNE65543:DNE65546 DXA65543:DXA65546 EGW65543:EGW65546 EQS65543:EQS65546 FAO65543:FAO65546 FKK65543:FKK65546 FUG65543:FUG65546 GEC65543:GEC65546 GNY65543:GNY65546 GXU65543:GXU65546 HHQ65543:HHQ65546 HRM65543:HRM65546 IBI65543:IBI65546 ILE65543:ILE65546 IVA65543:IVA65546 JEW65543:JEW65546 JOS65543:JOS65546 JYO65543:JYO65546 KIK65543:KIK65546 KSG65543:KSG65546 LCC65543:LCC65546 LLY65543:LLY65546 LVU65543:LVU65546 MFQ65543:MFQ65546 MPM65543:MPM65546 MZI65543:MZI65546 NJE65543:NJE65546 NTA65543:NTA65546 OCW65543:OCW65546 OMS65543:OMS65546 OWO65543:OWO65546 PGK65543:PGK65546 PQG65543:PQG65546 QAC65543:QAC65546 QJY65543:QJY65546 QTU65543:QTU65546 RDQ65543:RDQ65546 RNM65543:RNM65546 RXI65543:RXI65546 SHE65543:SHE65546 SRA65543:SRA65546 TAW65543:TAW65546 TKS65543:TKS65546 TUO65543:TUO65546 UEK65543:UEK65546 UOG65543:UOG65546 UYC65543:UYC65546 VHY65543:VHY65546 VRU65543:VRU65546 WBQ65543:WBQ65546 WLM65543:WLM65546 WVI65543:WVI65546 C131079:C131082 IW131079:IW131082 SS131079:SS131082 ACO131079:ACO131082 AMK131079:AMK131082 AWG131079:AWG131082 BGC131079:BGC131082 BPY131079:BPY131082 BZU131079:BZU131082 CJQ131079:CJQ131082 CTM131079:CTM131082 DDI131079:DDI131082 DNE131079:DNE131082 DXA131079:DXA131082 EGW131079:EGW131082 EQS131079:EQS131082 FAO131079:FAO131082 FKK131079:FKK131082 FUG131079:FUG131082 GEC131079:GEC131082 GNY131079:GNY131082 GXU131079:GXU131082 HHQ131079:HHQ131082 HRM131079:HRM131082 IBI131079:IBI131082 ILE131079:ILE131082 IVA131079:IVA131082 JEW131079:JEW131082 JOS131079:JOS131082 JYO131079:JYO131082 KIK131079:KIK131082 KSG131079:KSG131082 LCC131079:LCC131082 LLY131079:LLY131082 LVU131079:LVU131082 MFQ131079:MFQ131082 MPM131079:MPM131082 MZI131079:MZI131082 NJE131079:NJE131082 NTA131079:NTA131082 OCW131079:OCW131082 OMS131079:OMS131082 OWO131079:OWO131082 PGK131079:PGK131082 PQG131079:PQG131082 QAC131079:QAC131082 QJY131079:QJY131082 QTU131079:QTU131082 RDQ131079:RDQ131082 RNM131079:RNM131082 RXI131079:RXI131082 SHE131079:SHE131082 SRA131079:SRA131082 TAW131079:TAW131082 TKS131079:TKS131082 TUO131079:TUO131082 UEK131079:UEK131082 UOG131079:UOG131082 UYC131079:UYC131082 VHY131079:VHY131082 VRU131079:VRU131082 WBQ131079:WBQ131082 WLM131079:WLM131082 WVI131079:WVI131082 C196615:C196618 IW196615:IW196618 SS196615:SS196618 ACO196615:ACO196618 AMK196615:AMK196618 AWG196615:AWG196618 BGC196615:BGC196618 BPY196615:BPY196618 BZU196615:BZU196618 CJQ196615:CJQ196618 CTM196615:CTM196618 DDI196615:DDI196618 DNE196615:DNE196618 DXA196615:DXA196618 EGW196615:EGW196618 EQS196615:EQS196618 FAO196615:FAO196618 FKK196615:FKK196618 FUG196615:FUG196618 GEC196615:GEC196618 GNY196615:GNY196618 GXU196615:GXU196618 HHQ196615:HHQ196618 HRM196615:HRM196618 IBI196615:IBI196618 ILE196615:ILE196618 IVA196615:IVA196618 JEW196615:JEW196618 JOS196615:JOS196618 JYO196615:JYO196618 KIK196615:KIK196618 KSG196615:KSG196618 LCC196615:LCC196618 LLY196615:LLY196618 LVU196615:LVU196618 MFQ196615:MFQ196618 MPM196615:MPM196618 MZI196615:MZI196618 NJE196615:NJE196618 NTA196615:NTA196618 OCW196615:OCW196618 OMS196615:OMS196618 OWO196615:OWO196618 PGK196615:PGK196618 PQG196615:PQG196618 QAC196615:QAC196618 QJY196615:QJY196618 QTU196615:QTU196618 RDQ196615:RDQ196618 RNM196615:RNM196618 RXI196615:RXI196618 SHE196615:SHE196618 SRA196615:SRA196618 TAW196615:TAW196618 TKS196615:TKS196618 TUO196615:TUO196618 UEK196615:UEK196618 UOG196615:UOG196618 UYC196615:UYC196618 VHY196615:VHY196618 VRU196615:VRU196618 WBQ196615:WBQ196618 WLM196615:WLM196618 WVI196615:WVI196618 C262151:C262154 IW262151:IW262154 SS262151:SS262154 ACO262151:ACO262154 AMK262151:AMK262154 AWG262151:AWG262154 BGC262151:BGC262154 BPY262151:BPY262154 BZU262151:BZU262154 CJQ262151:CJQ262154 CTM262151:CTM262154 DDI262151:DDI262154 DNE262151:DNE262154 DXA262151:DXA262154 EGW262151:EGW262154 EQS262151:EQS262154 FAO262151:FAO262154 FKK262151:FKK262154 FUG262151:FUG262154 GEC262151:GEC262154 GNY262151:GNY262154 GXU262151:GXU262154 HHQ262151:HHQ262154 HRM262151:HRM262154 IBI262151:IBI262154 ILE262151:ILE262154 IVA262151:IVA262154 JEW262151:JEW262154 JOS262151:JOS262154 JYO262151:JYO262154 KIK262151:KIK262154 KSG262151:KSG262154 LCC262151:LCC262154 LLY262151:LLY262154 LVU262151:LVU262154 MFQ262151:MFQ262154 MPM262151:MPM262154 MZI262151:MZI262154 NJE262151:NJE262154 NTA262151:NTA262154 OCW262151:OCW262154 OMS262151:OMS262154 OWO262151:OWO262154 PGK262151:PGK262154 PQG262151:PQG262154 QAC262151:QAC262154 QJY262151:QJY262154 QTU262151:QTU262154 RDQ262151:RDQ262154 RNM262151:RNM262154 RXI262151:RXI262154 SHE262151:SHE262154 SRA262151:SRA262154 TAW262151:TAW262154 TKS262151:TKS262154 TUO262151:TUO262154 UEK262151:UEK262154 UOG262151:UOG262154 UYC262151:UYC262154 VHY262151:VHY262154 VRU262151:VRU262154 WBQ262151:WBQ262154 WLM262151:WLM262154 WVI262151:WVI262154 C327687:C327690 IW327687:IW327690 SS327687:SS327690 ACO327687:ACO327690 AMK327687:AMK327690 AWG327687:AWG327690 BGC327687:BGC327690 BPY327687:BPY327690 BZU327687:BZU327690 CJQ327687:CJQ327690 CTM327687:CTM327690 DDI327687:DDI327690 DNE327687:DNE327690 DXA327687:DXA327690 EGW327687:EGW327690 EQS327687:EQS327690 FAO327687:FAO327690 FKK327687:FKK327690 FUG327687:FUG327690 GEC327687:GEC327690 GNY327687:GNY327690 GXU327687:GXU327690 HHQ327687:HHQ327690 HRM327687:HRM327690 IBI327687:IBI327690 ILE327687:ILE327690 IVA327687:IVA327690 JEW327687:JEW327690 JOS327687:JOS327690 JYO327687:JYO327690 KIK327687:KIK327690 KSG327687:KSG327690 LCC327687:LCC327690 LLY327687:LLY327690 LVU327687:LVU327690 MFQ327687:MFQ327690 MPM327687:MPM327690 MZI327687:MZI327690 NJE327687:NJE327690 NTA327687:NTA327690 OCW327687:OCW327690 OMS327687:OMS327690 OWO327687:OWO327690 PGK327687:PGK327690 PQG327687:PQG327690 QAC327687:QAC327690 QJY327687:QJY327690 QTU327687:QTU327690 RDQ327687:RDQ327690 RNM327687:RNM327690 RXI327687:RXI327690 SHE327687:SHE327690 SRA327687:SRA327690 TAW327687:TAW327690 TKS327687:TKS327690 TUO327687:TUO327690 UEK327687:UEK327690 UOG327687:UOG327690 UYC327687:UYC327690 VHY327687:VHY327690 VRU327687:VRU327690 WBQ327687:WBQ327690 WLM327687:WLM327690 WVI327687:WVI327690 C393223:C393226 IW393223:IW393226 SS393223:SS393226 ACO393223:ACO393226 AMK393223:AMK393226 AWG393223:AWG393226 BGC393223:BGC393226 BPY393223:BPY393226 BZU393223:BZU393226 CJQ393223:CJQ393226 CTM393223:CTM393226 DDI393223:DDI393226 DNE393223:DNE393226 DXA393223:DXA393226 EGW393223:EGW393226 EQS393223:EQS393226 FAO393223:FAO393226 FKK393223:FKK393226 FUG393223:FUG393226 GEC393223:GEC393226 GNY393223:GNY393226 GXU393223:GXU393226 HHQ393223:HHQ393226 HRM393223:HRM393226 IBI393223:IBI393226 ILE393223:ILE393226 IVA393223:IVA393226 JEW393223:JEW393226 JOS393223:JOS393226 JYO393223:JYO393226 KIK393223:KIK393226 KSG393223:KSG393226 LCC393223:LCC393226 LLY393223:LLY393226 LVU393223:LVU393226 MFQ393223:MFQ393226 MPM393223:MPM393226 MZI393223:MZI393226 NJE393223:NJE393226 NTA393223:NTA393226 OCW393223:OCW393226 OMS393223:OMS393226 OWO393223:OWO393226 PGK393223:PGK393226 PQG393223:PQG393226 QAC393223:QAC393226 QJY393223:QJY393226 QTU393223:QTU393226 RDQ393223:RDQ393226 RNM393223:RNM393226 RXI393223:RXI393226 SHE393223:SHE393226 SRA393223:SRA393226 TAW393223:TAW393226 TKS393223:TKS393226 TUO393223:TUO393226 UEK393223:UEK393226 UOG393223:UOG393226 UYC393223:UYC393226 VHY393223:VHY393226 VRU393223:VRU393226 WBQ393223:WBQ393226 WLM393223:WLM393226 WVI393223:WVI393226 C458759:C458762 IW458759:IW458762 SS458759:SS458762 ACO458759:ACO458762 AMK458759:AMK458762 AWG458759:AWG458762 BGC458759:BGC458762 BPY458759:BPY458762 BZU458759:BZU458762 CJQ458759:CJQ458762 CTM458759:CTM458762 DDI458759:DDI458762 DNE458759:DNE458762 DXA458759:DXA458762 EGW458759:EGW458762 EQS458759:EQS458762 FAO458759:FAO458762 FKK458759:FKK458762 FUG458759:FUG458762 GEC458759:GEC458762 GNY458759:GNY458762 GXU458759:GXU458762 HHQ458759:HHQ458762 HRM458759:HRM458762 IBI458759:IBI458762 ILE458759:ILE458762 IVA458759:IVA458762 JEW458759:JEW458762 JOS458759:JOS458762 JYO458759:JYO458762 KIK458759:KIK458762 KSG458759:KSG458762 LCC458759:LCC458762 LLY458759:LLY458762 LVU458759:LVU458762 MFQ458759:MFQ458762 MPM458759:MPM458762 MZI458759:MZI458762 NJE458759:NJE458762 NTA458759:NTA458762 OCW458759:OCW458762 OMS458759:OMS458762 OWO458759:OWO458762 PGK458759:PGK458762 PQG458759:PQG458762 QAC458759:QAC458762 QJY458759:QJY458762 QTU458759:QTU458762 RDQ458759:RDQ458762 RNM458759:RNM458762 RXI458759:RXI458762 SHE458759:SHE458762 SRA458759:SRA458762 TAW458759:TAW458762 TKS458759:TKS458762 TUO458759:TUO458762 UEK458759:UEK458762 UOG458759:UOG458762 UYC458759:UYC458762 VHY458759:VHY458762 VRU458759:VRU458762 WBQ458759:WBQ458762 WLM458759:WLM458762 WVI458759:WVI458762 C524295:C524298 IW524295:IW524298 SS524295:SS524298 ACO524295:ACO524298 AMK524295:AMK524298 AWG524295:AWG524298 BGC524295:BGC524298 BPY524295:BPY524298 BZU524295:BZU524298 CJQ524295:CJQ524298 CTM524295:CTM524298 DDI524295:DDI524298 DNE524295:DNE524298 DXA524295:DXA524298 EGW524295:EGW524298 EQS524295:EQS524298 FAO524295:FAO524298 FKK524295:FKK524298 FUG524295:FUG524298 GEC524295:GEC524298 GNY524295:GNY524298 GXU524295:GXU524298 HHQ524295:HHQ524298 HRM524295:HRM524298 IBI524295:IBI524298 ILE524295:ILE524298 IVA524295:IVA524298 JEW524295:JEW524298 JOS524295:JOS524298 JYO524295:JYO524298 KIK524295:KIK524298 KSG524295:KSG524298 LCC524295:LCC524298 LLY524295:LLY524298 LVU524295:LVU524298 MFQ524295:MFQ524298 MPM524295:MPM524298 MZI524295:MZI524298 NJE524295:NJE524298 NTA524295:NTA524298 OCW524295:OCW524298 OMS524295:OMS524298 OWO524295:OWO524298 PGK524295:PGK524298 PQG524295:PQG524298 QAC524295:QAC524298 QJY524295:QJY524298 QTU524295:QTU524298 RDQ524295:RDQ524298 RNM524295:RNM524298 RXI524295:RXI524298 SHE524295:SHE524298 SRA524295:SRA524298 TAW524295:TAW524298 TKS524295:TKS524298 TUO524295:TUO524298 UEK524295:UEK524298 UOG524295:UOG524298 UYC524295:UYC524298 VHY524295:VHY524298 VRU524295:VRU524298 WBQ524295:WBQ524298 WLM524295:WLM524298 WVI524295:WVI524298 C589831:C589834 IW589831:IW589834 SS589831:SS589834 ACO589831:ACO589834 AMK589831:AMK589834 AWG589831:AWG589834 BGC589831:BGC589834 BPY589831:BPY589834 BZU589831:BZU589834 CJQ589831:CJQ589834 CTM589831:CTM589834 DDI589831:DDI589834 DNE589831:DNE589834 DXA589831:DXA589834 EGW589831:EGW589834 EQS589831:EQS589834 FAO589831:FAO589834 FKK589831:FKK589834 FUG589831:FUG589834 GEC589831:GEC589834 GNY589831:GNY589834 GXU589831:GXU589834 HHQ589831:HHQ589834 HRM589831:HRM589834 IBI589831:IBI589834 ILE589831:ILE589834 IVA589831:IVA589834 JEW589831:JEW589834 JOS589831:JOS589834 JYO589831:JYO589834 KIK589831:KIK589834 KSG589831:KSG589834 LCC589831:LCC589834 LLY589831:LLY589834 LVU589831:LVU589834 MFQ589831:MFQ589834 MPM589831:MPM589834 MZI589831:MZI589834 NJE589831:NJE589834 NTA589831:NTA589834 OCW589831:OCW589834 OMS589831:OMS589834 OWO589831:OWO589834 PGK589831:PGK589834 PQG589831:PQG589834 QAC589831:QAC589834 QJY589831:QJY589834 QTU589831:QTU589834 RDQ589831:RDQ589834 RNM589831:RNM589834 RXI589831:RXI589834 SHE589831:SHE589834 SRA589831:SRA589834 TAW589831:TAW589834 TKS589831:TKS589834 TUO589831:TUO589834 UEK589831:UEK589834 UOG589831:UOG589834 UYC589831:UYC589834 VHY589831:VHY589834 VRU589831:VRU589834 WBQ589831:WBQ589834 WLM589831:WLM589834 WVI589831:WVI589834 C655367:C655370 IW655367:IW655370 SS655367:SS655370 ACO655367:ACO655370 AMK655367:AMK655370 AWG655367:AWG655370 BGC655367:BGC655370 BPY655367:BPY655370 BZU655367:BZU655370 CJQ655367:CJQ655370 CTM655367:CTM655370 DDI655367:DDI655370 DNE655367:DNE655370 DXA655367:DXA655370 EGW655367:EGW655370 EQS655367:EQS655370 FAO655367:FAO655370 FKK655367:FKK655370 FUG655367:FUG655370 GEC655367:GEC655370 GNY655367:GNY655370 GXU655367:GXU655370 HHQ655367:HHQ655370 HRM655367:HRM655370 IBI655367:IBI655370 ILE655367:ILE655370 IVA655367:IVA655370 JEW655367:JEW655370 JOS655367:JOS655370 JYO655367:JYO655370 KIK655367:KIK655370 KSG655367:KSG655370 LCC655367:LCC655370 LLY655367:LLY655370 LVU655367:LVU655370 MFQ655367:MFQ655370 MPM655367:MPM655370 MZI655367:MZI655370 NJE655367:NJE655370 NTA655367:NTA655370 OCW655367:OCW655370 OMS655367:OMS655370 OWO655367:OWO655370 PGK655367:PGK655370 PQG655367:PQG655370 QAC655367:QAC655370 QJY655367:QJY655370 QTU655367:QTU655370 RDQ655367:RDQ655370 RNM655367:RNM655370 RXI655367:RXI655370 SHE655367:SHE655370 SRA655367:SRA655370 TAW655367:TAW655370 TKS655367:TKS655370 TUO655367:TUO655370 UEK655367:UEK655370 UOG655367:UOG655370 UYC655367:UYC655370 VHY655367:VHY655370 VRU655367:VRU655370 WBQ655367:WBQ655370 WLM655367:WLM655370 WVI655367:WVI655370 C720903:C720906 IW720903:IW720906 SS720903:SS720906 ACO720903:ACO720906 AMK720903:AMK720906 AWG720903:AWG720906 BGC720903:BGC720906 BPY720903:BPY720906 BZU720903:BZU720906 CJQ720903:CJQ720906 CTM720903:CTM720906 DDI720903:DDI720906 DNE720903:DNE720906 DXA720903:DXA720906 EGW720903:EGW720906 EQS720903:EQS720906 FAO720903:FAO720906 FKK720903:FKK720906 FUG720903:FUG720906 GEC720903:GEC720906 GNY720903:GNY720906 GXU720903:GXU720906 HHQ720903:HHQ720906 HRM720903:HRM720906 IBI720903:IBI720906 ILE720903:ILE720906 IVA720903:IVA720906 JEW720903:JEW720906 JOS720903:JOS720906 JYO720903:JYO720906 KIK720903:KIK720906 KSG720903:KSG720906 LCC720903:LCC720906 LLY720903:LLY720906 LVU720903:LVU720906 MFQ720903:MFQ720906 MPM720903:MPM720906 MZI720903:MZI720906 NJE720903:NJE720906 NTA720903:NTA720906 OCW720903:OCW720906 OMS720903:OMS720906 OWO720903:OWO720906 PGK720903:PGK720906 PQG720903:PQG720906 QAC720903:QAC720906 QJY720903:QJY720906 QTU720903:QTU720906 RDQ720903:RDQ720906 RNM720903:RNM720906 RXI720903:RXI720906 SHE720903:SHE720906 SRA720903:SRA720906 TAW720903:TAW720906 TKS720903:TKS720906 TUO720903:TUO720906 UEK720903:UEK720906 UOG720903:UOG720906 UYC720903:UYC720906 VHY720903:VHY720906 VRU720903:VRU720906 WBQ720903:WBQ720906 WLM720903:WLM720906 WVI720903:WVI720906 C786439:C786442 IW786439:IW786442 SS786439:SS786442 ACO786439:ACO786442 AMK786439:AMK786442 AWG786439:AWG786442 BGC786439:BGC786442 BPY786439:BPY786442 BZU786439:BZU786442 CJQ786439:CJQ786442 CTM786439:CTM786442 DDI786439:DDI786442 DNE786439:DNE786442 DXA786439:DXA786442 EGW786439:EGW786442 EQS786439:EQS786442 FAO786439:FAO786442 FKK786439:FKK786442 FUG786439:FUG786442 GEC786439:GEC786442 GNY786439:GNY786442 GXU786439:GXU786442 HHQ786439:HHQ786442 HRM786439:HRM786442 IBI786439:IBI786442 ILE786439:ILE786442 IVA786439:IVA786442 JEW786439:JEW786442 JOS786439:JOS786442 JYO786439:JYO786442 KIK786439:KIK786442 KSG786439:KSG786442 LCC786439:LCC786442 LLY786439:LLY786442 LVU786439:LVU786442 MFQ786439:MFQ786442 MPM786439:MPM786442 MZI786439:MZI786442 NJE786439:NJE786442 NTA786439:NTA786442 OCW786439:OCW786442 OMS786439:OMS786442 OWO786439:OWO786442 PGK786439:PGK786442 PQG786439:PQG786442 QAC786439:QAC786442 QJY786439:QJY786442 QTU786439:QTU786442 RDQ786439:RDQ786442 RNM786439:RNM786442 RXI786439:RXI786442 SHE786439:SHE786442 SRA786439:SRA786442 TAW786439:TAW786442 TKS786439:TKS786442 TUO786439:TUO786442 UEK786439:UEK786442 UOG786439:UOG786442 UYC786439:UYC786442 VHY786439:VHY786442 VRU786439:VRU786442 WBQ786439:WBQ786442 WLM786439:WLM786442 WVI786439:WVI786442 C851975:C851978 IW851975:IW851978 SS851975:SS851978 ACO851975:ACO851978 AMK851975:AMK851978 AWG851975:AWG851978 BGC851975:BGC851978 BPY851975:BPY851978 BZU851975:BZU851978 CJQ851975:CJQ851978 CTM851975:CTM851978 DDI851975:DDI851978 DNE851975:DNE851978 DXA851975:DXA851978 EGW851975:EGW851978 EQS851975:EQS851978 FAO851975:FAO851978 FKK851975:FKK851978 FUG851975:FUG851978 GEC851975:GEC851978 GNY851975:GNY851978 GXU851975:GXU851978 HHQ851975:HHQ851978 HRM851975:HRM851978 IBI851975:IBI851978 ILE851975:ILE851978 IVA851975:IVA851978 JEW851975:JEW851978 JOS851975:JOS851978 JYO851975:JYO851978 KIK851975:KIK851978 KSG851975:KSG851978 LCC851975:LCC851978 LLY851975:LLY851978 LVU851975:LVU851978 MFQ851975:MFQ851978 MPM851975:MPM851978 MZI851975:MZI851978 NJE851975:NJE851978 NTA851975:NTA851978 OCW851975:OCW851978 OMS851975:OMS851978 OWO851975:OWO851978 PGK851975:PGK851978 PQG851975:PQG851978 QAC851975:QAC851978 QJY851975:QJY851978 QTU851975:QTU851978 RDQ851975:RDQ851978 RNM851975:RNM851978 RXI851975:RXI851978 SHE851975:SHE851978 SRA851975:SRA851978 TAW851975:TAW851978 TKS851975:TKS851978 TUO851975:TUO851978 UEK851975:UEK851978 UOG851975:UOG851978 UYC851975:UYC851978 VHY851975:VHY851978 VRU851975:VRU851978 WBQ851975:WBQ851978 WLM851975:WLM851978 WVI851975:WVI851978 C917511:C917514 IW917511:IW917514 SS917511:SS917514 ACO917511:ACO917514 AMK917511:AMK917514 AWG917511:AWG917514 BGC917511:BGC917514 BPY917511:BPY917514 BZU917511:BZU917514 CJQ917511:CJQ917514 CTM917511:CTM917514 DDI917511:DDI917514 DNE917511:DNE917514 DXA917511:DXA917514 EGW917511:EGW917514 EQS917511:EQS917514 FAO917511:FAO917514 FKK917511:FKK917514 FUG917511:FUG917514 GEC917511:GEC917514 GNY917511:GNY917514 GXU917511:GXU917514 HHQ917511:HHQ917514 HRM917511:HRM917514 IBI917511:IBI917514 ILE917511:ILE917514 IVA917511:IVA917514 JEW917511:JEW917514 JOS917511:JOS917514 JYO917511:JYO917514 KIK917511:KIK917514 KSG917511:KSG917514 LCC917511:LCC917514 LLY917511:LLY917514 LVU917511:LVU917514 MFQ917511:MFQ917514 MPM917511:MPM917514 MZI917511:MZI917514 NJE917511:NJE917514 NTA917511:NTA917514 OCW917511:OCW917514 OMS917511:OMS917514 OWO917511:OWO917514 PGK917511:PGK917514 PQG917511:PQG917514 QAC917511:QAC917514 QJY917511:QJY917514 QTU917511:QTU917514 RDQ917511:RDQ917514 RNM917511:RNM917514 RXI917511:RXI917514 SHE917511:SHE917514 SRA917511:SRA917514 TAW917511:TAW917514 TKS917511:TKS917514 TUO917511:TUO917514 UEK917511:UEK917514 UOG917511:UOG917514 UYC917511:UYC917514 VHY917511:VHY917514 VRU917511:VRU917514 WBQ917511:WBQ917514 WLM917511:WLM917514 WVI917511:WVI917514 C983047:C983050 IW983047:IW983050 SS983047:SS983050 ACO983047:ACO983050 AMK983047:AMK983050 AWG983047:AWG983050 BGC983047:BGC983050 BPY983047:BPY983050 BZU983047:BZU983050 CJQ983047:CJQ983050 CTM983047:CTM983050 DDI983047:DDI983050 DNE983047:DNE983050 DXA983047:DXA983050 EGW983047:EGW983050 EQS983047:EQS983050 FAO983047:FAO983050 FKK983047:FKK983050 FUG983047:FUG983050 GEC983047:GEC983050 GNY983047:GNY983050 GXU983047:GXU983050 HHQ983047:HHQ983050 HRM983047:HRM983050 IBI983047:IBI983050 ILE983047:ILE983050 IVA983047:IVA983050 JEW983047:JEW983050 JOS983047:JOS983050 JYO983047:JYO983050 KIK983047:KIK983050 KSG983047:KSG983050 LCC983047:LCC983050 LLY983047:LLY983050 LVU983047:LVU983050 MFQ983047:MFQ983050 MPM983047:MPM983050 MZI983047:MZI983050 NJE983047:NJE983050 NTA983047:NTA983050 OCW983047:OCW983050 OMS983047:OMS983050 OWO983047:OWO983050 PGK983047:PGK983050 PQG983047:PQG983050 QAC983047:QAC983050 QJY983047:QJY983050 QTU983047:QTU983050 RDQ983047:RDQ983050 RNM983047:RNM983050 RXI983047:RXI983050 SHE983047:SHE983050 SRA983047:SRA983050 TAW983047:TAW983050 TKS983047:TKS983050 TUO983047:TUO983050 UEK983047:UEK983050 UOG983047:UOG983050 UYC983047:UYC983050 VHY983047:VHY983050 VRU983047:VRU983050 WBQ983047:WBQ983050 WLM983047:WLM983050 WVI983047:WVI983050 F121:F140 JA121:JA140 SW121:SW140 ACS121:ACS140 AMO121:AMO140 AWK121:AWK140 BGG121:BGG140 BQC121:BQC140 BZY121:BZY140 CJU121:CJU140 CTQ121:CTQ140 DDM121:DDM140 DNI121:DNI140 DXE121:DXE140 EHA121:EHA140 EQW121:EQW140 FAS121:FAS140 FKO121:FKO140 FUK121:FUK140 GEG121:GEG140 GOC121:GOC140 GXY121:GXY140 HHU121:HHU140 HRQ121:HRQ140 IBM121:IBM140 ILI121:ILI140 IVE121:IVE140 JFA121:JFA140 JOW121:JOW140 JYS121:JYS140 KIO121:KIO140 KSK121:KSK140 LCG121:LCG140 LMC121:LMC140 LVY121:LVY140 MFU121:MFU140 MPQ121:MPQ140 MZM121:MZM140 NJI121:NJI140 NTE121:NTE140 ODA121:ODA140 OMW121:OMW140 OWS121:OWS140 PGO121:PGO140 PQK121:PQK140 QAG121:QAG140 QKC121:QKC140 QTY121:QTY140 RDU121:RDU140 RNQ121:RNQ140 RXM121:RXM140 SHI121:SHI140 SRE121:SRE140 TBA121:TBA140 TKW121:TKW140 TUS121:TUS140 UEO121:UEO140 UOK121:UOK140 UYG121:UYG140 VIC121:VIC140 VRY121:VRY140 WBU121:WBU140 WLQ121:WLQ140 WVM121:WVM140 F65657:F65676 JA65657:JA65676 SW65657:SW65676 ACS65657:ACS65676 AMO65657:AMO65676 AWK65657:AWK65676 BGG65657:BGG65676 BQC65657:BQC65676 BZY65657:BZY65676 CJU65657:CJU65676 CTQ65657:CTQ65676 DDM65657:DDM65676 DNI65657:DNI65676 DXE65657:DXE65676 EHA65657:EHA65676 EQW65657:EQW65676 FAS65657:FAS65676 FKO65657:FKO65676 FUK65657:FUK65676 GEG65657:GEG65676 GOC65657:GOC65676 GXY65657:GXY65676 HHU65657:HHU65676 HRQ65657:HRQ65676 IBM65657:IBM65676 ILI65657:ILI65676 IVE65657:IVE65676 JFA65657:JFA65676 JOW65657:JOW65676 JYS65657:JYS65676 KIO65657:KIO65676 KSK65657:KSK65676 LCG65657:LCG65676 LMC65657:LMC65676 LVY65657:LVY65676 MFU65657:MFU65676 MPQ65657:MPQ65676 MZM65657:MZM65676 NJI65657:NJI65676 NTE65657:NTE65676 ODA65657:ODA65676 OMW65657:OMW65676 OWS65657:OWS65676 PGO65657:PGO65676 PQK65657:PQK65676 QAG65657:QAG65676 QKC65657:QKC65676 QTY65657:QTY65676 RDU65657:RDU65676 RNQ65657:RNQ65676 RXM65657:RXM65676 SHI65657:SHI65676 SRE65657:SRE65676 TBA65657:TBA65676 TKW65657:TKW65676 TUS65657:TUS65676 UEO65657:UEO65676 UOK65657:UOK65676 UYG65657:UYG65676 VIC65657:VIC65676 VRY65657:VRY65676 WBU65657:WBU65676 WLQ65657:WLQ65676 WVM65657:WVM65676 F131193:F131212 JA131193:JA131212 SW131193:SW131212 ACS131193:ACS131212 AMO131193:AMO131212 AWK131193:AWK131212 BGG131193:BGG131212 BQC131193:BQC131212 BZY131193:BZY131212 CJU131193:CJU131212 CTQ131193:CTQ131212 DDM131193:DDM131212 DNI131193:DNI131212 DXE131193:DXE131212 EHA131193:EHA131212 EQW131193:EQW131212 FAS131193:FAS131212 FKO131193:FKO131212 FUK131193:FUK131212 GEG131193:GEG131212 GOC131193:GOC131212 GXY131193:GXY131212 HHU131193:HHU131212 HRQ131193:HRQ131212 IBM131193:IBM131212 ILI131193:ILI131212 IVE131193:IVE131212 JFA131193:JFA131212 JOW131193:JOW131212 JYS131193:JYS131212 KIO131193:KIO131212 KSK131193:KSK131212 LCG131193:LCG131212 LMC131193:LMC131212 LVY131193:LVY131212 MFU131193:MFU131212 MPQ131193:MPQ131212 MZM131193:MZM131212 NJI131193:NJI131212 NTE131193:NTE131212 ODA131193:ODA131212 OMW131193:OMW131212 OWS131193:OWS131212 PGO131193:PGO131212 PQK131193:PQK131212 QAG131193:QAG131212 QKC131193:QKC131212 QTY131193:QTY131212 RDU131193:RDU131212 RNQ131193:RNQ131212 RXM131193:RXM131212 SHI131193:SHI131212 SRE131193:SRE131212 TBA131193:TBA131212 TKW131193:TKW131212 TUS131193:TUS131212 UEO131193:UEO131212 UOK131193:UOK131212 UYG131193:UYG131212 VIC131193:VIC131212 VRY131193:VRY131212 WBU131193:WBU131212 WLQ131193:WLQ131212 WVM131193:WVM131212 F196729:F196748 JA196729:JA196748 SW196729:SW196748 ACS196729:ACS196748 AMO196729:AMO196748 AWK196729:AWK196748 BGG196729:BGG196748 BQC196729:BQC196748 BZY196729:BZY196748 CJU196729:CJU196748 CTQ196729:CTQ196748 DDM196729:DDM196748 DNI196729:DNI196748 DXE196729:DXE196748 EHA196729:EHA196748 EQW196729:EQW196748 FAS196729:FAS196748 FKO196729:FKO196748 FUK196729:FUK196748 GEG196729:GEG196748 GOC196729:GOC196748 GXY196729:GXY196748 HHU196729:HHU196748 HRQ196729:HRQ196748 IBM196729:IBM196748 ILI196729:ILI196748 IVE196729:IVE196748 JFA196729:JFA196748 JOW196729:JOW196748 JYS196729:JYS196748 KIO196729:KIO196748 KSK196729:KSK196748 LCG196729:LCG196748 LMC196729:LMC196748 LVY196729:LVY196748 MFU196729:MFU196748 MPQ196729:MPQ196748 MZM196729:MZM196748 NJI196729:NJI196748 NTE196729:NTE196748 ODA196729:ODA196748 OMW196729:OMW196748 OWS196729:OWS196748 PGO196729:PGO196748 PQK196729:PQK196748 QAG196729:QAG196748 QKC196729:QKC196748 QTY196729:QTY196748 RDU196729:RDU196748 RNQ196729:RNQ196748 RXM196729:RXM196748 SHI196729:SHI196748 SRE196729:SRE196748 TBA196729:TBA196748 TKW196729:TKW196748 TUS196729:TUS196748 UEO196729:UEO196748 UOK196729:UOK196748 UYG196729:UYG196748 VIC196729:VIC196748 VRY196729:VRY196748 WBU196729:WBU196748 WLQ196729:WLQ196748 WVM196729:WVM196748 F262265:F262284 JA262265:JA262284 SW262265:SW262284 ACS262265:ACS262284 AMO262265:AMO262284 AWK262265:AWK262284 BGG262265:BGG262284 BQC262265:BQC262284 BZY262265:BZY262284 CJU262265:CJU262284 CTQ262265:CTQ262284 DDM262265:DDM262284 DNI262265:DNI262284 DXE262265:DXE262284 EHA262265:EHA262284 EQW262265:EQW262284 FAS262265:FAS262284 FKO262265:FKO262284 FUK262265:FUK262284 GEG262265:GEG262284 GOC262265:GOC262284 GXY262265:GXY262284 HHU262265:HHU262284 HRQ262265:HRQ262284 IBM262265:IBM262284 ILI262265:ILI262284 IVE262265:IVE262284 JFA262265:JFA262284 JOW262265:JOW262284 JYS262265:JYS262284 KIO262265:KIO262284 KSK262265:KSK262284 LCG262265:LCG262284 LMC262265:LMC262284 LVY262265:LVY262284 MFU262265:MFU262284 MPQ262265:MPQ262284 MZM262265:MZM262284 NJI262265:NJI262284 NTE262265:NTE262284 ODA262265:ODA262284 OMW262265:OMW262284 OWS262265:OWS262284 PGO262265:PGO262284 PQK262265:PQK262284 QAG262265:QAG262284 QKC262265:QKC262284 QTY262265:QTY262284 RDU262265:RDU262284 RNQ262265:RNQ262284 RXM262265:RXM262284 SHI262265:SHI262284 SRE262265:SRE262284 TBA262265:TBA262284 TKW262265:TKW262284 TUS262265:TUS262284 UEO262265:UEO262284 UOK262265:UOK262284 UYG262265:UYG262284 VIC262265:VIC262284 VRY262265:VRY262284 WBU262265:WBU262284 WLQ262265:WLQ262284 WVM262265:WVM262284 F327801:F327820 JA327801:JA327820 SW327801:SW327820 ACS327801:ACS327820 AMO327801:AMO327820 AWK327801:AWK327820 BGG327801:BGG327820 BQC327801:BQC327820 BZY327801:BZY327820 CJU327801:CJU327820 CTQ327801:CTQ327820 DDM327801:DDM327820 DNI327801:DNI327820 DXE327801:DXE327820 EHA327801:EHA327820 EQW327801:EQW327820 FAS327801:FAS327820 FKO327801:FKO327820 FUK327801:FUK327820 GEG327801:GEG327820 GOC327801:GOC327820 GXY327801:GXY327820 HHU327801:HHU327820 HRQ327801:HRQ327820 IBM327801:IBM327820 ILI327801:ILI327820 IVE327801:IVE327820 JFA327801:JFA327820 JOW327801:JOW327820 JYS327801:JYS327820 KIO327801:KIO327820 KSK327801:KSK327820 LCG327801:LCG327820 LMC327801:LMC327820 LVY327801:LVY327820 MFU327801:MFU327820 MPQ327801:MPQ327820 MZM327801:MZM327820 NJI327801:NJI327820 NTE327801:NTE327820 ODA327801:ODA327820 OMW327801:OMW327820 OWS327801:OWS327820 PGO327801:PGO327820 PQK327801:PQK327820 QAG327801:QAG327820 QKC327801:QKC327820 QTY327801:QTY327820 RDU327801:RDU327820 RNQ327801:RNQ327820 RXM327801:RXM327820 SHI327801:SHI327820 SRE327801:SRE327820 TBA327801:TBA327820 TKW327801:TKW327820 TUS327801:TUS327820 UEO327801:UEO327820 UOK327801:UOK327820 UYG327801:UYG327820 VIC327801:VIC327820 VRY327801:VRY327820 WBU327801:WBU327820 WLQ327801:WLQ327820 WVM327801:WVM327820 F393337:F393356 JA393337:JA393356 SW393337:SW393356 ACS393337:ACS393356 AMO393337:AMO393356 AWK393337:AWK393356 BGG393337:BGG393356 BQC393337:BQC393356 BZY393337:BZY393356 CJU393337:CJU393356 CTQ393337:CTQ393356 DDM393337:DDM393356 DNI393337:DNI393356 DXE393337:DXE393356 EHA393337:EHA393356 EQW393337:EQW393356 FAS393337:FAS393356 FKO393337:FKO393356 FUK393337:FUK393356 GEG393337:GEG393356 GOC393337:GOC393356 GXY393337:GXY393356 HHU393337:HHU393356 HRQ393337:HRQ393356 IBM393337:IBM393356 ILI393337:ILI393356 IVE393337:IVE393356 JFA393337:JFA393356 JOW393337:JOW393356 JYS393337:JYS393356 KIO393337:KIO393356 KSK393337:KSK393356 LCG393337:LCG393356 LMC393337:LMC393356 LVY393337:LVY393356 MFU393337:MFU393356 MPQ393337:MPQ393356 MZM393337:MZM393356 NJI393337:NJI393356 NTE393337:NTE393356 ODA393337:ODA393356 OMW393337:OMW393356 OWS393337:OWS393356 PGO393337:PGO393356 PQK393337:PQK393356 QAG393337:QAG393356 QKC393337:QKC393356 QTY393337:QTY393356 RDU393337:RDU393356 RNQ393337:RNQ393356 RXM393337:RXM393356 SHI393337:SHI393356 SRE393337:SRE393356 TBA393337:TBA393356 TKW393337:TKW393356 TUS393337:TUS393356 UEO393337:UEO393356 UOK393337:UOK393356 UYG393337:UYG393356 VIC393337:VIC393356 VRY393337:VRY393356 WBU393337:WBU393356 WLQ393337:WLQ393356 WVM393337:WVM393356 F458873:F458892 JA458873:JA458892 SW458873:SW458892 ACS458873:ACS458892 AMO458873:AMO458892 AWK458873:AWK458892 BGG458873:BGG458892 BQC458873:BQC458892 BZY458873:BZY458892 CJU458873:CJU458892 CTQ458873:CTQ458892 DDM458873:DDM458892 DNI458873:DNI458892 DXE458873:DXE458892 EHA458873:EHA458892 EQW458873:EQW458892 FAS458873:FAS458892 FKO458873:FKO458892 FUK458873:FUK458892 GEG458873:GEG458892 GOC458873:GOC458892 GXY458873:GXY458892 HHU458873:HHU458892 HRQ458873:HRQ458892 IBM458873:IBM458892 ILI458873:ILI458892 IVE458873:IVE458892 JFA458873:JFA458892 JOW458873:JOW458892 JYS458873:JYS458892 KIO458873:KIO458892 KSK458873:KSK458892 LCG458873:LCG458892 LMC458873:LMC458892 LVY458873:LVY458892 MFU458873:MFU458892 MPQ458873:MPQ458892 MZM458873:MZM458892 NJI458873:NJI458892 NTE458873:NTE458892 ODA458873:ODA458892 OMW458873:OMW458892 OWS458873:OWS458892 PGO458873:PGO458892 PQK458873:PQK458892 QAG458873:QAG458892 QKC458873:QKC458892 QTY458873:QTY458892 RDU458873:RDU458892 RNQ458873:RNQ458892 RXM458873:RXM458892 SHI458873:SHI458892 SRE458873:SRE458892 TBA458873:TBA458892 TKW458873:TKW458892 TUS458873:TUS458892 UEO458873:UEO458892 UOK458873:UOK458892 UYG458873:UYG458892 VIC458873:VIC458892 VRY458873:VRY458892 WBU458873:WBU458892 WLQ458873:WLQ458892 WVM458873:WVM458892 F524409:F524428 JA524409:JA524428 SW524409:SW524428 ACS524409:ACS524428 AMO524409:AMO524428 AWK524409:AWK524428 BGG524409:BGG524428 BQC524409:BQC524428 BZY524409:BZY524428 CJU524409:CJU524428 CTQ524409:CTQ524428 DDM524409:DDM524428 DNI524409:DNI524428 DXE524409:DXE524428 EHA524409:EHA524428 EQW524409:EQW524428 FAS524409:FAS524428 FKO524409:FKO524428 FUK524409:FUK524428 GEG524409:GEG524428 GOC524409:GOC524428 GXY524409:GXY524428 HHU524409:HHU524428 HRQ524409:HRQ524428 IBM524409:IBM524428 ILI524409:ILI524428 IVE524409:IVE524428 JFA524409:JFA524428 JOW524409:JOW524428 JYS524409:JYS524428 KIO524409:KIO524428 KSK524409:KSK524428 LCG524409:LCG524428 LMC524409:LMC524428 LVY524409:LVY524428 MFU524409:MFU524428 MPQ524409:MPQ524428 MZM524409:MZM524428 NJI524409:NJI524428 NTE524409:NTE524428 ODA524409:ODA524428 OMW524409:OMW524428 OWS524409:OWS524428 PGO524409:PGO524428 PQK524409:PQK524428 QAG524409:QAG524428 QKC524409:QKC524428 QTY524409:QTY524428 RDU524409:RDU524428 RNQ524409:RNQ524428 RXM524409:RXM524428 SHI524409:SHI524428 SRE524409:SRE524428 TBA524409:TBA524428 TKW524409:TKW524428 TUS524409:TUS524428 UEO524409:UEO524428 UOK524409:UOK524428 UYG524409:UYG524428 VIC524409:VIC524428 VRY524409:VRY524428 WBU524409:WBU524428 WLQ524409:WLQ524428 WVM524409:WVM524428 F589945:F589964 JA589945:JA589964 SW589945:SW589964 ACS589945:ACS589964 AMO589945:AMO589964 AWK589945:AWK589964 BGG589945:BGG589964 BQC589945:BQC589964 BZY589945:BZY589964 CJU589945:CJU589964 CTQ589945:CTQ589964 DDM589945:DDM589964 DNI589945:DNI589964 DXE589945:DXE589964 EHA589945:EHA589964 EQW589945:EQW589964 FAS589945:FAS589964 FKO589945:FKO589964 FUK589945:FUK589964 GEG589945:GEG589964 GOC589945:GOC589964 GXY589945:GXY589964 HHU589945:HHU589964 HRQ589945:HRQ589964 IBM589945:IBM589964 ILI589945:ILI589964 IVE589945:IVE589964 JFA589945:JFA589964 JOW589945:JOW589964 JYS589945:JYS589964 KIO589945:KIO589964 KSK589945:KSK589964 LCG589945:LCG589964 LMC589945:LMC589964 LVY589945:LVY589964 MFU589945:MFU589964 MPQ589945:MPQ589964 MZM589945:MZM589964 NJI589945:NJI589964 NTE589945:NTE589964 ODA589945:ODA589964 OMW589945:OMW589964 OWS589945:OWS589964 PGO589945:PGO589964 PQK589945:PQK589964 QAG589945:QAG589964 QKC589945:QKC589964 QTY589945:QTY589964 RDU589945:RDU589964 RNQ589945:RNQ589964 RXM589945:RXM589964 SHI589945:SHI589964 SRE589945:SRE589964 TBA589945:TBA589964 TKW589945:TKW589964 TUS589945:TUS589964 UEO589945:UEO589964 UOK589945:UOK589964 UYG589945:UYG589964 VIC589945:VIC589964 VRY589945:VRY589964 WBU589945:WBU589964 WLQ589945:WLQ589964 WVM589945:WVM589964 F655481:F655500 JA655481:JA655500 SW655481:SW655500 ACS655481:ACS655500 AMO655481:AMO655500 AWK655481:AWK655500 BGG655481:BGG655500 BQC655481:BQC655500 BZY655481:BZY655500 CJU655481:CJU655500 CTQ655481:CTQ655500 DDM655481:DDM655500 DNI655481:DNI655500 DXE655481:DXE655500 EHA655481:EHA655500 EQW655481:EQW655500 FAS655481:FAS655500 FKO655481:FKO655500 FUK655481:FUK655500 GEG655481:GEG655500 GOC655481:GOC655500 GXY655481:GXY655500 HHU655481:HHU655500 HRQ655481:HRQ655500 IBM655481:IBM655500 ILI655481:ILI655500 IVE655481:IVE655500 JFA655481:JFA655500 JOW655481:JOW655500 JYS655481:JYS655500 KIO655481:KIO655500 KSK655481:KSK655500 LCG655481:LCG655500 LMC655481:LMC655500 LVY655481:LVY655500 MFU655481:MFU655500 MPQ655481:MPQ655500 MZM655481:MZM655500 NJI655481:NJI655500 NTE655481:NTE655500 ODA655481:ODA655500 OMW655481:OMW655500 OWS655481:OWS655500 PGO655481:PGO655500 PQK655481:PQK655500 QAG655481:QAG655500 QKC655481:QKC655500 QTY655481:QTY655500 RDU655481:RDU655500 RNQ655481:RNQ655500 RXM655481:RXM655500 SHI655481:SHI655500 SRE655481:SRE655500 TBA655481:TBA655500 TKW655481:TKW655500 TUS655481:TUS655500 UEO655481:UEO655500 UOK655481:UOK655500 UYG655481:UYG655500 VIC655481:VIC655500 VRY655481:VRY655500 WBU655481:WBU655500 WLQ655481:WLQ655500 WVM655481:WVM655500 F721017:F721036 JA721017:JA721036 SW721017:SW721036 ACS721017:ACS721036 AMO721017:AMO721036 AWK721017:AWK721036 BGG721017:BGG721036 BQC721017:BQC721036 BZY721017:BZY721036 CJU721017:CJU721036 CTQ721017:CTQ721036 DDM721017:DDM721036 DNI721017:DNI721036 DXE721017:DXE721036 EHA721017:EHA721036 EQW721017:EQW721036 FAS721017:FAS721036 FKO721017:FKO721036 FUK721017:FUK721036 GEG721017:GEG721036 GOC721017:GOC721036 GXY721017:GXY721036 HHU721017:HHU721036 HRQ721017:HRQ721036 IBM721017:IBM721036 ILI721017:ILI721036 IVE721017:IVE721036 JFA721017:JFA721036 JOW721017:JOW721036 JYS721017:JYS721036 KIO721017:KIO721036 KSK721017:KSK721036 LCG721017:LCG721036 LMC721017:LMC721036 LVY721017:LVY721036 MFU721017:MFU721036 MPQ721017:MPQ721036 MZM721017:MZM721036 NJI721017:NJI721036 NTE721017:NTE721036 ODA721017:ODA721036 OMW721017:OMW721036 OWS721017:OWS721036 PGO721017:PGO721036 PQK721017:PQK721036 QAG721017:QAG721036 QKC721017:QKC721036 QTY721017:QTY721036 RDU721017:RDU721036 RNQ721017:RNQ721036 RXM721017:RXM721036 SHI721017:SHI721036 SRE721017:SRE721036 TBA721017:TBA721036 TKW721017:TKW721036 TUS721017:TUS721036 UEO721017:UEO721036 UOK721017:UOK721036 UYG721017:UYG721036 VIC721017:VIC721036 VRY721017:VRY721036 WBU721017:WBU721036 WLQ721017:WLQ721036 WVM721017:WVM721036 F786553:F786572 JA786553:JA786572 SW786553:SW786572 ACS786553:ACS786572 AMO786553:AMO786572 AWK786553:AWK786572 BGG786553:BGG786572 BQC786553:BQC786572 BZY786553:BZY786572 CJU786553:CJU786572 CTQ786553:CTQ786572 DDM786553:DDM786572 DNI786553:DNI786572 DXE786553:DXE786572 EHA786553:EHA786572 EQW786553:EQW786572 FAS786553:FAS786572 FKO786553:FKO786572 FUK786553:FUK786572 GEG786553:GEG786572 GOC786553:GOC786572 GXY786553:GXY786572 HHU786553:HHU786572 HRQ786553:HRQ786572 IBM786553:IBM786572 ILI786553:ILI786572 IVE786553:IVE786572 JFA786553:JFA786572 JOW786553:JOW786572 JYS786553:JYS786572 KIO786553:KIO786572 KSK786553:KSK786572 LCG786553:LCG786572 LMC786553:LMC786572 LVY786553:LVY786572 MFU786553:MFU786572 MPQ786553:MPQ786572 MZM786553:MZM786572 NJI786553:NJI786572 NTE786553:NTE786572 ODA786553:ODA786572 OMW786553:OMW786572 OWS786553:OWS786572 PGO786553:PGO786572 PQK786553:PQK786572 QAG786553:QAG786572 QKC786553:QKC786572 QTY786553:QTY786572 RDU786553:RDU786572 RNQ786553:RNQ786572 RXM786553:RXM786572 SHI786553:SHI786572 SRE786553:SRE786572 TBA786553:TBA786572 TKW786553:TKW786572 TUS786553:TUS786572 UEO786553:UEO786572 UOK786553:UOK786572 UYG786553:UYG786572 VIC786553:VIC786572 VRY786553:VRY786572 WBU786553:WBU786572 WLQ786553:WLQ786572 WVM786553:WVM786572 F852089:F852108 JA852089:JA852108 SW852089:SW852108 ACS852089:ACS852108 AMO852089:AMO852108 AWK852089:AWK852108 BGG852089:BGG852108 BQC852089:BQC852108 BZY852089:BZY852108 CJU852089:CJU852108 CTQ852089:CTQ852108 DDM852089:DDM852108 DNI852089:DNI852108 DXE852089:DXE852108 EHA852089:EHA852108 EQW852089:EQW852108 FAS852089:FAS852108 FKO852089:FKO852108 FUK852089:FUK852108 GEG852089:GEG852108 GOC852089:GOC852108 GXY852089:GXY852108 HHU852089:HHU852108 HRQ852089:HRQ852108 IBM852089:IBM852108 ILI852089:ILI852108 IVE852089:IVE852108 JFA852089:JFA852108 JOW852089:JOW852108 JYS852089:JYS852108 KIO852089:KIO852108 KSK852089:KSK852108 LCG852089:LCG852108 LMC852089:LMC852108 LVY852089:LVY852108 MFU852089:MFU852108 MPQ852089:MPQ852108 MZM852089:MZM852108 NJI852089:NJI852108 NTE852089:NTE852108 ODA852089:ODA852108 OMW852089:OMW852108 OWS852089:OWS852108 PGO852089:PGO852108 PQK852089:PQK852108 QAG852089:QAG852108 QKC852089:QKC852108 QTY852089:QTY852108 RDU852089:RDU852108 RNQ852089:RNQ852108 RXM852089:RXM852108 SHI852089:SHI852108 SRE852089:SRE852108 TBA852089:TBA852108 TKW852089:TKW852108 TUS852089:TUS852108 UEO852089:UEO852108 UOK852089:UOK852108 UYG852089:UYG852108 VIC852089:VIC852108 VRY852089:VRY852108 WBU852089:WBU852108 WLQ852089:WLQ852108 WVM852089:WVM852108 F917625:F917644 JA917625:JA917644 SW917625:SW917644 ACS917625:ACS917644 AMO917625:AMO917644 AWK917625:AWK917644 BGG917625:BGG917644 BQC917625:BQC917644 BZY917625:BZY917644 CJU917625:CJU917644 CTQ917625:CTQ917644 DDM917625:DDM917644 DNI917625:DNI917644 DXE917625:DXE917644 EHA917625:EHA917644 EQW917625:EQW917644 FAS917625:FAS917644 FKO917625:FKO917644 FUK917625:FUK917644 GEG917625:GEG917644 GOC917625:GOC917644 GXY917625:GXY917644 HHU917625:HHU917644 HRQ917625:HRQ917644 IBM917625:IBM917644 ILI917625:ILI917644 IVE917625:IVE917644 JFA917625:JFA917644 JOW917625:JOW917644 JYS917625:JYS917644 KIO917625:KIO917644 KSK917625:KSK917644 LCG917625:LCG917644 LMC917625:LMC917644 LVY917625:LVY917644 MFU917625:MFU917644 MPQ917625:MPQ917644 MZM917625:MZM917644 NJI917625:NJI917644 NTE917625:NTE917644 ODA917625:ODA917644 OMW917625:OMW917644 OWS917625:OWS917644 PGO917625:PGO917644 PQK917625:PQK917644 QAG917625:QAG917644 QKC917625:QKC917644 QTY917625:QTY917644 RDU917625:RDU917644 RNQ917625:RNQ917644 RXM917625:RXM917644 SHI917625:SHI917644 SRE917625:SRE917644 TBA917625:TBA917644 TKW917625:TKW917644 TUS917625:TUS917644 UEO917625:UEO917644 UOK917625:UOK917644 UYG917625:UYG917644 VIC917625:VIC917644 VRY917625:VRY917644 WBU917625:WBU917644 WLQ917625:WLQ917644 WVM917625:WVM917644 F983161:F983180 JA983161:JA983180 SW983161:SW983180 ACS983161:ACS983180 AMO983161:AMO983180 AWK983161:AWK983180 BGG983161:BGG983180 BQC983161:BQC983180 BZY983161:BZY983180 CJU983161:CJU983180 CTQ983161:CTQ983180 DDM983161:DDM983180 DNI983161:DNI983180 DXE983161:DXE983180 EHA983161:EHA983180 EQW983161:EQW983180 FAS983161:FAS983180 FKO983161:FKO983180 FUK983161:FUK983180 GEG983161:GEG983180 GOC983161:GOC983180 GXY983161:GXY983180 HHU983161:HHU983180 HRQ983161:HRQ983180 IBM983161:IBM983180 ILI983161:ILI983180 IVE983161:IVE983180 JFA983161:JFA983180 JOW983161:JOW983180 JYS983161:JYS983180 KIO983161:KIO983180 KSK983161:KSK983180 LCG983161:LCG983180 LMC983161:LMC983180 LVY983161:LVY983180 MFU983161:MFU983180 MPQ983161:MPQ983180 MZM983161:MZM983180 NJI983161:NJI983180 NTE983161:NTE983180 ODA983161:ODA983180 OMW983161:OMW983180 OWS983161:OWS983180 PGO983161:PGO983180 PQK983161:PQK983180 QAG983161:QAG983180 QKC983161:QKC983180 QTY983161:QTY983180 RDU983161:RDU983180 RNQ983161:RNQ983180 RXM983161:RXM983180 SHI983161:SHI983180 SRE983161:SRE983180 TBA983161:TBA983180 TKW983161:TKW983180 TUS983161:TUS983180 UEO983161:UEO983180 UOK983161:UOK983180 UYG983161:UYG983180 VIC983161:VIC983180 VRY983161:VRY983180 WBU983161:WBU983180 WLQ983161:WLQ983180 WVM983161:WVM983180 F143:F169 JA143:JA169 SW143:SW169 ACS143:ACS169 AMO143:AMO169 AWK143:AWK169 BGG143:BGG169 BQC143:BQC169 BZY143:BZY169 CJU143:CJU169 CTQ143:CTQ169 DDM143:DDM169 DNI143:DNI169 DXE143:DXE169 EHA143:EHA169 EQW143:EQW169 FAS143:FAS169 FKO143:FKO169 FUK143:FUK169 GEG143:GEG169 GOC143:GOC169 GXY143:GXY169 HHU143:HHU169 HRQ143:HRQ169 IBM143:IBM169 ILI143:ILI169 IVE143:IVE169 JFA143:JFA169 JOW143:JOW169 JYS143:JYS169 KIO143:KIO169 KSK143:KSK169 LCG143:LCG169 LMC143:LMC169 LVY143:LVY169 MFU143:MFU169 MPQ143:MPQ169 MZM143:MZM169 NJI143:NJI169 NTE143:NTE169 ODA143:ODA169 OMW143:OMW169 OWS143:OWS169 PGO143:PGO169 PQK143:PQK169 QAG143:QAG169 QKC143:QKC169 QTY143:QTY169 RDU143:RDU169 RNQ143:RNQ169 RXM143:RXM169 SHI143:SHI169 SRE143:SRE169 TBA143:TBA169 TKW143:TKW169 TUS143:TUS169 UEO143:UEO169 UOK143:UOK169 UYG143:UYG169 VIC143:VIC169 VRY143:VRY169 WBU143:WBU169 WLQ143:WLQ169 WVM143:WVM169 F65679:F65705 JA65679:JA65705 SW65679:SW65705 ACS65679:ACS65705 AMO65679:AMO65705 AWK65679:AWK65705 BGG65679:BGG65705 BQC65679:BQC65705 BZY65679:BZY65705 CJU65679:CJU65705 CTQ65679:CTQ65705 DDM65679:DDM65705 DNI65679:DNI65705 DXE65679:DXE65705 EHA65679:EHA65705 EQW65679:EQW65705 FAS65679:FAS65705 FKO65679:FKO65705 FUK65679:FUK65705 GEG65679:GEG65705 GOC65679:GOC65705 GXY65679:GXY65705 HHU65679:HHU65705 HRQ65679:HRQ65705 IBM65679:IBM65705 ILI65679:ILI65705 IVE65679:IVE65705 JFA65679:JFA65705 JOW65679:JOW65705 JYS65679:JYS65705 KIO65679:KIO65705 KSK65679:KSK65705 LCG65679:LCG65705 LMC65679:LMC65705 LVY65679:LVY65705 MFU65679:MFU65705 MPQ65679:MPQ65705 MZM65679:MZM65705 NJI65679:NJI65705 NTE65679:NTE65705 ODA65679:ODA65705 OMW65679:OMW65705 OWS65679:OWS65705 PGO65679:PGO65705 PQK65679:PQK65705 QAG65679:QAG65705 QKC65679:QKC65705 QTY65679:QTY65705 RDU65679:RDU65705 RNQ65679:RNQ65705 RXM65679:RXM65705 SHI65679:SHI65705 SRE65679:SRE65705 TBA65679:TBA65705 TKW65679:TKW65705 TUS65679:TUS65705 UEO65679:UEO65705 UOK65679:UOK65705 UYG65679:UYG65705 VIC65679:VIC65705 VRY65679:VRY65705 WBU65679:WBU65705 WLQ65679:WLQ65705 WVM65679:WVM65705 F131215:F131241 JA131215:JA131241 SW131215:SW131241 ACS131215:ACS131241 AMO131215:AMO131241 AWK131215:AWK131241 BGG131215:BGG131241 BQC131215:BQC131241 BZY131215:BZY131241 CJU131215:CJU131241 CTQ131215:CTQ131241 DDM131215:DDM131241 DNI131215:DNI131241 DXE131215:DXE131241 EHA131215:EHA131241 EQW131215:EQW131241 FAS131215:FAS131241 FKO131215:FKO131241 FUK131215:FUK131241 GEG131215:GEG131241 GOC131215:GOC131241 GXY131215:GXY131241 HHU131215:HHU131241 HRQ131215:HRQ131241 IBM131215:IBM131241 ILI131215:ILI131241 IVE131215:IVE131241 JFA131215:JFA131241 JOW131215:JOW131241 JYS131215:JYS131241 KIO131215:KIO131241 KSK131215:KSK131241 LCG131215:LCG131241 LMC131215:LMC131241 LVY131215:LVY131241 MFU131215:MFU131241 MPQ131215:MPQ131241 MZM131215:MZM131241 NJI131215:NJI131241 NTE131215:NTE131241 ODA131215:ODA131241 OMW131215:OMW131241 OWS131215:OWS131241 PGO131215:PGO131241 PQK131215:PQK131241 QAG131215:QAG131241 QKC131215:QKC131241 QTY131215:QTY131241 RDU131215:RDU131241 RNQ131215:RNQ131241 RXM131215:RXM131241 SHI131215:SHI131241 SRE131215:SRE131241 TBA131215:TBA131241 TKW131215:TKW131241 TUS131215:TUS131241 UEO131215:UEO131241 UOK131215:UOK131241 UYG131215:UYG131241 VIC131215:VIC131241 VRY131215:VRY131241 WBU131215:WBU131241 WLQ131215:WLQ131241 WVM131215:WVM131241 F196751:F196777 JA196751:JA196777 SW196751:SW196777 ACS196751:ACS196777 AMO196751:AMO196777 AWK196751:AWK196777 BGG196751:BGG196777 BQC196751:BQC196777 BZY196751:BZY196777 CJU196751:CJU196777 CTQ196751:CTQ196777 DDM196751:DDM196777 DNI196751:DNI196777 DXE196751:DXE196777 EHA196751:EHA196777 EQW196751:EQW196777 FAS196751:FAS196777 FKO196751:FKO196777 FUK196751:FUK196777 GEG196751:GEG196777 GOC196751:GOC196777 GXY196751:GXY196777 HHU196751:HHU196777 HRQ196751:HRQ196777 IBM196751:IBM196777 ILI196751:ILI196777 IVE196751:IVE196777 JFA196751:JFA196777 JOW196751:JOW196777 JYS196751:JYS196777 KIO196751:KIO196777 KSK196751:KSK196777 LCG196751:LCG196777 LMC196751:LMC196777 LVY196751:LVY196777 MFU196751:MFU196777 MPQ196751:MPQ196777 MZM196751:MZM196777 NJI196751:NJI196777 NTE196751:NTE196777 ODA196751:ODA196777 OMW196751:OMW196777 OWS196751:OWS196777 PGO196751:PGO196777 PQK196751:PQK196777 QAG196751:QAG196777 QKC196751:QKC196777 QTY196751:QTY196777 RDU196751:RDU196777 RNQ196751:RNQ196777 RXM196751:RXM196777 SHI196751:SHI196777 SRE196751:SRE196777 TBA196751:TBA196777 TKW196751:TKW196777 TUS196751:TUS196777 UEO196751:UEO196777 UOK196751:UOK196777 UYG196751:UYG196777 VIC196751:VIC196777 VRY196751:VRY196777 WBU196751:WBU196777 WLQ196751:WLQ196777 WVM196751:WVM196777 F262287:F262313 JA262287:JA262313 SW262287:SW262313 ACS262287:ACS262313 AMO262287:AMO262313 AWK262287:AWK262313 BGG262287:BGG262313 BQC262287:BQC262313 BZY262287:BZY262313 CJU262287:CJU262313 CTQ262287:CTQ262313 DDM262287:DDM262313 DNI262287:DNI262313 DXE262287:DXE262313 EHA262287:EHA262313 EQW262287:EQW262313 FAS262287:FAS262313 FKO262287:FKO262313 FUK262287:FUK262313 GEG262287:GEG262313 GOC262287:GOC262313 GXY262287:GXY262313 HHU262287:HHU262313 HRQ262287:HRQ262313 IBM262287:IBM262313 ILI262287:ILI262313 IVE262287:IVE262313 JFA262287:JFA262313 JOW262287:JOW262313 JYS262287:JYS262313 KIO262287:KIO262313 KSK262287:KSK262313 LCG262287:LCG262313 LMC262287:LMC262313 LVY262287:LVY262313 MFU262287:MFU262313 MPQ262287:MPQ262313 MZM262287:MZM262313 NJI262287:NJI262313 NTE262287:NTE262313 ODA262287:ODA262313 OMW262287:OMW262313 OWS262287:OWS262313 PGO262287:PGO262313 PQK262287:PQK262313 QAG262287:QAG262313 QKC262287:QKC262313 QTY262287:QTY262313 RDU262287:RDU262313 RNQ262287:RNQ262313 RXM262287:RXM262313 SHI262287:SHI262313 SRE262287:SRE262313 TBA262287:TBA262313 TKW262287:TKW262313 TUS262287:TUS262313 UEO262287:UEO262313 UOK262287:UOK262313 UYG262287:UYG262313 VIC262287:VIC262313 VRY262287:VRY262313 WBU262287:WBU262313 WLQ262287:WLQ262313 WVM262287:WVM262313 F327823:F327849 JA327823:JA327849 SW327823:SW327849 ACS327823:ACS327849 AMO327823:AMO327849 AWK327823:AWK327849 BGG327823:BGG327849 BQC327823:BQC327849 BZY327823:BZY327849 CJU327823:CJU327849 CTQ327823:CTQ327849 DDM327823:DDM327849 DNI327823:DNI327849 DXE327823:DXE327849 EHA327823:EHA327849 EQW327823:EQW327849 FAS327823:FAS327849 FKO327823:FKO327849 FUK327823:FUK327849 GEG327823:GEG327849 GOC327823:GOC327849 GXY327823:GXY327849 HHU327823:HHU327849 HRQ327823:HRQ327849 IBM327823:IBM327849 ILI327823:ILI327849 IVE327823:IVE327849 JFA327823:JFA327849 JOW327823:JOW327849 JYS327823:JYS327849 KIO327823:KIO327849 KSK327823:KSK327849 LCG327823:LCG327849 LMC327823:LMC327849 LVY327823:LVY327849 MFU327823:MFU327849 MPQ327823:MPQ327849 MZM327823:MZM327849 NJI327823:NJI327849 NTE327823:NTE327849 ODA327823:ODA327849 OMW327823:OMW327849 OWS327823:OWS327849 PGO327823:PGO327849 PQK327823:PQK327849 QAG327823:QAG327849 QKC327823:QKC327849 QTY327823:QTY327849 RDU327823:RDU327849 RNQ327823:RNQ327849 RXM327823:RXM327849 SHI327823:SHI327849 SRE327823:SRE327849 TBA327823:TBA327849 TKW327823:TKW327849 TUS327823:TUS327849 UEO327823:UEO327849 UOK327823:UOK327849 UYG327823:UYG327849 VIC327823:VIC327849 VRY327823:VRY327849 WBU327823:WBU327849 WLQ327823:WLQ327849 WVM327823:WVM327849 F393359:F393385 JA393359:JA393385 SW393359:SW393385 ACS393359:ACS393385 AMO393359:AMO393385 AWK393359:AWK393385 BGG393359:BGG393385 BQC393359:BQC393385 BZY393359:BZY393385 CJU393359:CJU393385 CTQ393359:CTQ393385 DDM393359:DDM393385 DNI393359:DNI393385 DXE393359:DXE393385 EHA393359:EHA393385 EQW393359:EQW393385 FAS393359:FAS393385 FKO393359:FKO393385 FUK393359:FUK393385 GEG393359:GEG393385 GOC393359:GOC393385 GXY393359:GXY393385 HHU393359:HHU393385 HRQ393359:HRQ393385 IBM393359:IBM393385 ILI393359:ILI393385 IVE393359:IVE393385 JFA393359:JFA393385 JOW393359:JOW393385 JYS393359:JYS393385 KIO393359:KIO393385 KSK393359:KSK393385 LCG393359:LCG393385 LMC393359:LMC393385 LVY393359:LVY393385 MFU393359:MFU393385 MPQ393359:MPQ393385 MZM393359:MZM393385 NJI393359:NJI393385 NTE393359:NTE393385 ODA393359:ODA393385 OMW393359:OMW393385 OWS393359:OWS393385 PGO393359:PGO393385 PQK393359:PQK393385 QAG393359:QAG393385 QKC393359:QKC393385 QTY393359:QTY393385 RDU393359:RDU393385 RNQ393359:RNQ393385 RXM393359:RXM393385 SHI393359:SHI393385 SRE393359:SRE393385 TBA393359:TBA393385 TKW393359:TKW393385 TUS393359:TUS393385 UEO393359:UEO393385 UOK393359:UOK393385 UYG393359:UYG393385 VIC393359:VIC393385 VRY393359:VRY393385 WBU393359:WBU393385 WLQ393359:WLQ393385 WVM393359:WVM393385 F458895:F458921 JA458895:JA458921 SW458895:SW458921 ACS458895:ACS458921 AMO458895:AMO458921 AWK458895:AWK458921 BGG458895:BGG458921 BQC458895:BQC458921 BZY458895:BZY458921 CJU458895:CJU458921 CTQ458895:CTQ458921 DDM458895:DDM458921 DNI458895:DNI458921 DXE458895:DXE458921 EHA458895:EHA458921 EQW458895:EQW458921 FAS458895:FAS458921 FKO458895:FKO458921 FUK458895:FUK458921 GEG458895:GEG458921 GOC458895:GOC458921 GXY458895:GXY458921 HHU458895:HHU458921 HRQ458895:HRQ458921 IBM458895:IBM458921 ILI458895:ILI458921 IVE458895:IVE458921 JFA458895:JFA458921 JOW458895:JOW458921 JYS458895:JYS458921 KIO458895:KIO458921 KSK458895:KSK458921 LCG458895:LCG458921 LMC458895:LMC458921 LVY458895:LVY458921 MFU458895:MFU458921 MPQ458895:MPQ458921 MZM458895:MZM458921 NJI458895:NJI458921 NTE458895:NTE458921 ODA458895:ODA458921 OMW458895:OMW458921 OWS458895:OWS458921 PGO458895:PGO458921 PQK458895:PQK458921 QAG458895:QAG458921 QKC458895:QKC458921 QTY458895:QTY458921 RDU458895:RDU458921 RNQ458895:RNQ458921 RXM458895:RXM458921 SHI458895:SHI458921 SRE458895:SRE458921 TBA458895:TBA458921 TKW458895:TKW458921 TUS458895:TUS458921 UEO458895:UEO458921 UOK458895:UOK458921 UYG458895:UYG458921 VIC458895:VIC458921 VRY458895:VRY458921 WBU458895:WBU458921 WLQ458895:WLQ458921 WVM458895:WVM458921 F524431:F524457 JA524431:JA524457 SW524431:SW524457 ACS524431:ACS524457 AMO524431:AMO524457 AWK524431:AWK524457 BGG524431:BGG524457 BQC524431:BQC524457 BZY524431:BZY524457 CJU524431:CJU524457 CTQ524431:CTQ524457 DDM524431:DDM524457 DNI524431:DNI524457 DXE524431:DXE524457 EHA524431:EHA524457 EQW524431:EQW524457 FAS524431:FAS524457 FKO524431:FKO524457 FUK524431:FUK524457 GEG524431:GEG524457 GOC524431:GOC524457 GXY524431:GXY524457 HHU524431:HHU524457 HRQ524431:HRQ524457 IBM524431:IBM524457 ILI524431:ILI524457 IVE524431:IVE524457 JFA524431:JFA524457 JOW524431:JOW524457 JYS524431:JYS524457 KIO524431:KIO524457 KSK524431:KSK524457 LCG524431:LCG524457 LMC524431:LMC524457 LVY524431:LVY524457 MFU524431:MFU524457 MPQ524431:MPQ524457 MZM524431:MZM524457 NJI524431:NJI524457 NTE524431:NTE524457 ODA524431:ODA524457 OMW524431:OMW524457 OWS524431:OWS524457 PGO524431:PGO524457 PQK524431:PQK524457 QAG524431:QAG524457 QKC524431:QKC524457 QTY524431:QTY524457 RDU524431:RDU524457 RNQ524431:RNQ524457 RXM524431:RXM524457 SHI524431:SHI524457 SRE524431:SRE524457 TBA524431:TBA524457 TKW524431:TKW524457 TUS524431:TUS524457 UEO524431:UEO524457 UOK524431:UOK524457 UYG524431:UYG524457 VIC524431:VIC524457 VRY524431:VRY524457 WBU524431:WBU524457 WLQ524431:WLQ524457 WVM524431:WVM524457 F589967:F589993 JA589967:JA589993 SW589967:SW589993 ACS589967:ACS589993 AMO589967:AMO589993 AWK589967:AWK589993 BGG589967:BGG589993 BQC589967:BQC589993 BZY589967:BZY589993 CJU589967:CJU589993 CTQ589967:CTQ589993 DDM589967:DDM589993 DNI589967:DNI589993 DXE589967:DXE589993 EHA589967:EHA589993 EQW589967:EQW589993 FAS589967:FAS589993 FKO589967:FKO589993 FUK589967:FUK589993 GEG589967:GEG589993 GOC589967:GOC589993 GXY589967:GXY589993 HHU589967:HHU589993 HRQ589967:HRQ589993 IBM589967:IBM589993 ILI589967:ILI589993 IVE589967:IVE589993 JFA589967:JFA589993 JOW589967:JOW589993 JYS589967:JYS589993 KIO589967:KIO589993 KSK589967:KSK589993 LCG589967:LCG589993 LMC589967:LMC589993 LVY589967:LVY589993 MFU589967:MFU589993 MPQ589967:MPQ589993 MZM589967:MZM589993 NJI589967:NJI589993 NTE589967:NTE589993 ODA589967:ODA589993 OMW589967:OMW589993 OWS589967:OWS589993 PGO589967:PGO589993 PQK589967:PQK589993 QAG589967:QAG589993 QKC589967:QKC589993 QTY589967:QTY589993 RDU589967:RDU589993 RNQ589967:RNQ589993 RXM589967:RXM589993 SHI589967:SHI589993 SRE589967:SRE589993 TBA589967:TBA589993 TKW589967:TKW589993 TUS589967:TUS589993 UEO589967:UEO589993 UOK589967:UOK589993 UYG589967:UYG589993 VIC589967:VIC589993 VRY589967:VRY589993 WBU589967:WBU589993 WLQ589967:WLQ589993 WVM589967:WVM589993 F655503:F655529 JA655503:JA655529 SW655503:SW655529 ACS655503:ACS655529 AMO655503:AMO655529 AWK655503:AWK655529 BGG655503:BGG655529 BQC655503:BQC655529 BZY655503:BZY655529 CJU655503:CJU655529 CTQ655503:CTQ655529 DDM655503:DDM655529 DNI655503:DNI655529 DXE655503:DXE655529 EHA655503:EHA655529 EQW655503:EQW655529 FAS655503:FAS655529 FKO655503:FKO655529 FUK655503:FUK655529 GEG655503:GEG655529 GOC655503:GOC655529 GXY655503:GXY655529 HHU655503:HHU655529 HRQ655503:HRQ655529 IBM655503:IBM655529 ILI655503:ILI655529 IVE655503:IVE655529 JFA655503:JFA655529 JOW655503:JOW655529 JYS655503:JYS655529 KIO655503:KIO655529 KSK655503:KSK655529 LCG655503:LCG655529 LMC655503:LMC655529 LVY655503:LVY655529 MFU655503:MFU655529 MPQ655503:MPQ655529 MZM655503:MZM655529 NJI655503:NJI655529 NTE655503:NTE655529 ODA655503:ODA655529 OMW655503:OMW655529 OWS655503:OWS655529 PGO655503:PGO655529 PQK655503:PQK655529 QAG655503:QAG655529 QKC655503:QKC655529 QTY655503:QTY655529 RDU655503:RDU655529 RNQ655503:RNQ655529 RXM655503:RXM655529 SHI655503:SHI655529 SRE655503:SRE655529 TBA655503:TBA655529 TKW655503:TKW655529 TUS655503:TUS655529 UEO655503:UEO655529 UOK655503:UOK655529 UYG655503:UYG655529 VIC655503:VIC655529 VRY655503:VRY655529 WBU655503:WBU655529 WLQ655503:WLQ655529 WVM655503:WVM655529 F721039:F721065 JA721039:JA721065 SW721039:SW721065 ACS721039:ACS721065 AMO721039:AMO721065 AWK721039:AWK721065 BGG721039:BGG721065 BQC721039:BQC721065 BZY721039:BZY721065 CJU721039:CJU721065 CTQ721039:CTQ721065 DDM721039:DDM721065 DNI721039:DNI721065 DXE721039:DXE721065 EHA721039:EHA721065 EQW721039:EQW721065 FAS721039:FAS721065 FKO721039:FKO721065 FUK721039:FUK721065 GEG721039:GEG721065 GOC721039:GOC721065 GXY721039:GXY721065 HHU721039:HHU721065 HRQ721039:HRQ721065 IBM721039:IBM721065 ILI721039:ILI721065 IVE721039:IVE721065 JFA721039:JFA721065 JOW721039:JOW721065 JYS721039:JYS721065 KIO721039:KIO721065 KSK721039:KSK721065 LCG721039:LCG721065 LMC721039:LMC721065 LVY721039:LVY721065 MFU721039:MFU721065 MPQ721039:MPQ721065 MZM721039:MZM721065 NJI721039:NJI721065 NTE721039:NTE721065 ODA721039:ODA721065 OMW721039:OMW721065 OWS721039:OWS721065 PGO721039:PGO721065 PQK721039:PQK721065 QAG721039:QAG721065 QKC721039:QKC721065 QTY721039:QTY721065 RDU721039:RDU721065 RNQ721039:RNQ721065 RXM721039:RXM721065 SHI721039:SHI721065 SRE721039:SRE721065 TBA721039:TBA721065 TKW721039:TKW721065 TUS721039:TUS721065 UEO721039:UEO721065 UOK721039:UOK721065 UYG721039:UYG721065 VIC721039:VIC721065 VRY721039:VRY721065 WBU721039:WBU721065 WLQ721039:WLQ721065 WVM721039:WVM721065 F786575:F786601 JA786575:JA786601 SW786575:SW786601 ACS786575:ACS786601 AMO786575:AMO786601 AWK786575:AWK786601 BGG786575:BGG786601 BQC786575:BQC786601 BZY786575:BZY786601 CJU786575:CJU786601 CTQ786575:CTQ786601 DDM786575:DDM786601 DNI786575:DNI786601 DXE786575:DXE786601 EHA786575:EHA786601 EQW786575:EQW786601 FAS786575:FAS786601 FKO786575:FKO786601 FUK786575:FUK786601 GEG786575:GEG786601 GOC786575:GOC786601 GXY786575:GXY786601 HHU786575:HHU786601 HRQ786575:HRQ786601 IBM786575:IBM786601 ILI786575:ILI786601 IVE786575:IVE786601 JFA786575:JFA786601 JOW786575:JOW786601 JYS786575:JYS786601 KIO786575:KIO786601 KSK786575:KSK786601 LCG786575:LCG786601 LMC786575:LMC786601 LVY786575:LVY786601 MFU786575:MFU786601 MPQ786575:MPQ786601 MZM786575:MZM786601 NJI786575:NJI786601 NTE786575:NTE786601 ODA786575:ODA786601 OMW786575:OMW786601 OWS786575:OWS786601 PGO786575:PGO786601 PQK786575:PQK786601 QAG786575:QAG786601 QKC786575:QKC786601 QTY786575:QTY786601 RDU786575:RDU786601 RNQ786575:RNQ786601 RXM786575:RXM786601 SHI786575:SHI786601 SRE786575:SRE786601 TBA786575:TBA786601 TKW786575:TKW786601 TUS786575:TUS786601 UEO786575:UEO786601 UOK786575:UOK786601 UYG786575:UYG786601 VIC786575:VIC786601 VRY786575:VRY786601 WBU786575:WBU786601 WLQ786575:WLQ786601 WVM786575:WVM786601 F852111:F852137 JA852111:JA852137 SW852111:SW852137 ACS852111:ACS852137 AMO852111:AMO852137 AWK852111:AWK852137 BGG852111:BGG852137 BQC852111:BQC852137 BZY852111:BZY852137 CJU852111:CJU852137 CTQ852111:CTQ852137 DDM852111:DDM852137 DNI852111:DNI852137 DXE852111:DXE852137 EHA852111:EHA852137 EQW852111:EQW852137 FAS852111:FAS852137 FKO852111:FKO852137 FUK852111:FUK852137 GEG852111:GEG852137 GOC852111:GOC852137 GXY852111:GXY852137 HHU852111:HHU852137 HRQ852111:HRQ852137 IBM852111:IBM852137 ILI852111:ILI852137 IVE852111:IVE852137 JFA852111:JFA852137 JOW852111:JOW852137 JYS852111:JYS852137 KIO852111:KIO852137 KSK852111:KSK852137 LCG852111:LCG852137 LMC852111:LMC852137 LVY852111:LVY852137 MFU852111:MFU852137 MPQ852111:MPQ852137 MZM852111:MZM852137 NJI852111:NJI852137 NTE852111:NTE852137 ODA852111:ODA852137 OMW852111:OMW852137 OWS852111:OWS852137 PGO852111:PGO852137 PQK852111:PQK852137 QAG852111:QAG852137 QKC852111:QKC852137 QTY852111:QTY852137 RDU852111:RDU852137 RNQ852111:RNQ852137 RXM852111:RXM852137 SHI852111:SHI852137 SRE852111:SRE852137 TBA852111:TBA852137 TKW852111:TKW852137 TUS852111:TUS852137 UEO852111:UEO852137 UOK852111:UOK852137 UYG852111:UYG852137 VIC852111:VIC852137 VRY852111:VRY852137 WBU852111:WBU852137 WLQ852111:WLQ852137 WVM852111:WVM852137 F917647:F917673 JA917647:JA917673 SW917647:SW917673 ACS917647:ACS917673 AMO917647:AMO917673 AWK917647:AWK917673 BGG917647:BGG917673 BQC917647:BQC917673 BZY917647:BZY917673 CJU917647:CJU917673 CTQ917647:CTQ917673 DDM917647:DDM917673 DNI917647:DNI917673 DXE917647:DXE917673 EHA917647:EHA917673 EQW917647:EQW917673 FAS917647:FAS917673 FKO917647:FKO917673 FUK917647:FUK917673 GEG917647:GEG917673 GOC917647:GOC917673 GXY917647:GXY917673 HHU917647:HHU917673 HRQ917647:HRQ917673 IBM917647:IBM917673 ILI917647:ILI917673 IVE917647:IVE917673 JFA917647:JFA917673 JOW917647:JOW917673 JYS917647:JYS917673 KIO917647:KIO917673 KSK917647:KSK917673 LCG917647:LCG917673 LMC917647:LMC917673 LVY917647:LVY917673 MFU917647:MFU917673 MPQ917647:MPQ917673 MZM917647:MZM917673 NJI917647:NJI917673 NTE917647:NTE917673 ODA917647:ODA917673 OMW917647:OMW917673 OWS917647:OWS917673 PGO917647:PGO917673 PQK917647:PQK917673 QAG917647:QAG917673 QKC917647:QKC917673 QTY917647:QTY917673 RDU917647:RDU917673 RNQ917647:RNQ917673 RXM917647:RXM917673 SHI917647:SHI917673 SRE917647:SRE917673 TBA917647:TBA917673 TKW917647:TKW917673 TUS917647:TUS917673 UEO917647:UEO917673 UOK917647:UOK917673 UYG917647:UYG917673 VIC917647:VIC917673 VRY917647:VRY917673 WBU917647:WBU917673 WLQ917647:WLQ917673 WVM917647:WVM917673 F983183:F983209 JA983183:JA983209 SW983183:SW983209 ACS983183:ACS983209 AMO983183:AMO983209 AWK983183:AWK983209 BGG983183:BGG983209 BQC983183:BQC983209 BZY983183:BZY983209 CJU983183:CJU983209 CTQ983183:CTQ983209 DDM983183:DDM983209 DNI983183:DNI983209 DXE983183:DXE983209 EHA983183:EHA983209 EQW983183:EQW983209 FAS983183:FAS983209 FKO983183:FKO983209 FUK983183:FUK983209 GEG983183:GEG983209 GOC983183:GOC983209 GXY983183:GXY983209 HHU983183:HHU983209 HRQ983183:HRQ983209 IBM983183:IBM983209 ILI983183:ILI983209 IVE983183:IVE983209 JFA983183:JFA983209 JOW983183:JOW983209 JYS983183:JYS983209 KIO983183:KIO983209 KSK983183:KSK983209 LCG983183:LCG983209 LMC983183:LMC983209 LVY983183:LVY983209 MFU983183:MFU983209 MPQ983183:MPQ983209 MZM983183:MZM983209 NJI983183:NJI983209 NTE983183:NTE983209 ODA983183:ODA983209 OMW983183:OMW983209 OWS983183:OWS983209 PGO983183:PGO983209 PQK983183:PQK983209 QAG983183:QAG983209 QKC983183:QKC983209 QTY983183:QTY983209 RDU983183:RDU983209 RNQ983183:RNQ983209 RXM983183:RXM983209 SHI983183:SHI983209 SRE983183:SRE983209 TBA983183:TBA983209 TKW983183:TKW983209 TUS983183:TUS983209 UEO983183:UEO983209 UOK983183:UOK983209 UYG983183:UYG983209 VIC983183:VIC983209 VRY983183:VRY983209 WBU983183:WBU983209 WLQ983183:WLQ983209 WVM983183:WVM983209 C49:C62 IW49:IW62 SS49:SS62 ACO49:ACO62 AMK49:AMK62 AWG49:AWG62 BGC49:BGC62 BPY49:BPY62 BZU49:BZU62 CJQ49:CJQ62 CTM49:CTM62 DDI49:DDI62 DNE49:DNE62 DXA49:DXA62 EGW49:EGW62 EQS49:EQS62 FAO49:FAO62 FKK49:FKK62 FUG49:FUG62 GEC49:GEC62 GNY49:GNY62 GXU49:GXU62 HHQ49:HHQ62 HRM49:HRM62 IBI49:IBI62 ILE49:ILE62 IVA49:IVA62 JEW49:JEW62 JOS49:JOS62 JYO49:JYO62 KIK49:KIK62 KSG49:KSG62 LCC49:LCC62 LLY49:LLY62 LVU49:LVU62 MFQ49:MFQ62 MPM49:MPM62 MZI49:MZI62 NJE49:NJE62 NTA49:NTA62 OCW49:OCW62 OMS49:OMS62 OWO49:OWO62 PGK49:PGK62 PQG49:PQG62 QAC49:QAC62 QJY49:QJY62 QTU49:QTU62 RDQ49:RDQ62 RNM49:RNM62 RXI49:RXI62 SHE49:SHE62 SRA49:SRA62 TAW49:TAW62 TKS49:TKS62 TUO49:TUO62 UEK49:UEK62 UOG49:UOG62 UYC49:UYC62 VHY49:VHY62 VRU49:VRU62 WBQ49:WBQ62 WLM49:WLM62 WVI49:WVI62 C65585:C65598 IW65585:IW65598 SS65585:SS65598 ACO65585:ACO65598 AMK65585:AMK65598 AWG65585:AWG65598 BGC65585:BGC65598 BPY65585:BPY65598 BZU65585:BZU65598 CJQ65585:CJQ65598 CTM65585:CTM65598 DDI65585:DDI65598 DNE65585:DNE65598 DXA65585:DXA65598 EGW65585:EGW65598 EQS65585:EQS65598 FAO65585:FAO65598 FKK65585:FKK65598 FUG65585:FUG65598 GEC65585:GEC65598 GNY65585:GNY65598 GXU65585:GXU65598 HHQ65585:HHQ65598 HRM65585:HRM65598 IBI65585:IBI65598 ILE65585:ILE65598 IVA65585:IVA65598 JEW65585:JEW65598 JOS65585:JOS65598 JYO65585:JYO65598 KIK65585:KIK65598 KSG65585:KSG65598 LCC65585:LCC65598 LLY65585:LLY65598 LVU65585:LVU65598 MFQ65585:MFQ65598 MPM65585:MPM65598 MZI65585:MZI65598 NJE65585:NJE65598 NTA65585:NTA65598 OCW65585:OCW65598 OMS65585:OMS65598 OWO65585:OWO65598 PGK65585:PGK65598 PQG65585:PQG65598 QAC65585:QAC65598 QJY65585:QJY65598 QTU65585:QTU65598 RDQ65585:RDQ65598 RNM65585:RNM65598 RXI65585:RXI65598 SHE65585:SHE65598 SRA65585:SRA65598 TAW65585:TAW65598 TKS65585:TKS65598 TUO65585:TUO65598 UEK65585:UEK65598 UOG65585:UOG65598 UYC65585:UYC65598 VHY65585:VHY65598 VRU65585:VRU65598 WBQ65585:WBQ65598 WLM65585:WLM65598 WVI65585:WVI65598 C131121:C131134 IW131121:IW131134 SS131121:SS131134 ACO131121:ACO131134 AMK131121:AMK131134 AWG131121:AWG131134 BGC131121:BGC131134 BPY131121:BPY131134 BZU131121:BZU131134 CJQ131121:CJQ131134 CTM131121:CTM131134 DDI131121:DDI131134 DNE131121:DNE131134 DXA131121:DXA131134 EGW131121:EGW131134 EQS131121:EQS131134 FAO131121:FAO131134 FKK131121:FKK131134 FUG131121:FUG131134 GEC131121:GEC131134 GNY131121:GNY131134 GXU131121:GXU131134 HHQ131121:HHQ131134 HRM131121:HRM131134 IBI131121:IBI131134 ILE131121:ILE131134 IVA131121:IVA131134 JEW131121:JEW131134 JOS131121:JOS131134 JYO131121:JYO131134 KIK131121:KIK131134 KSG131121:KSG131134 LCC131121:LCC131134 LLY131121:LLY131134 LVU131121:LVU131134 MFQ131121:MFQ131134 MPM131121:MPM131134 MZI131121:MZI131134 NJE131121:NJE131134 NTA131121:NTA131134 OCW131121:OCW131134 OMS131121:OMS131134 OWO131121:OWO131134 PGK131121:PGK131134 PQG131121:PQG131134 QAC131121:QAC131134 QJY131121:QJY131134 QTU131121:QTU131134 RDQ131121:RDQ131134 RNM131121:RNM131134 RXI131121:RXI131134 SHE131121:SHE131134 SRA131121:SRA131134 TAW131121:TAW131134 TKS131121:TKS131134 TUO131121:TUO131134 UEK131121:UEK131134 UOG131121:UOG131134 UYC131121:UYC131134 VHY131121:VHY131134 VRU131121:VRU131134 WBQ131121:WBQ131134 WLM131121:WLM131134 WVI131121:WVI131134 C196657:C196670 IW196657:IW196670 SS196657:SS196670 ACO196657:ACO196670 AMK196657:AMK196670 AWG196657:AWG196670 BGC196657:BGC196670 BPY196657:BPY196670 BZU196657:BZU196670 CJQ196657:CJQ196670 CTM196657:CTM196670 DDI196657:DDI196670 DNE196657:DNE196670 DXA196657:DXA196670 EGW196657:EGW196670 EQS196657:EQS196670 FAO196657:FAO196670 FKK196657:FKK196670 FUG196657:FUG196670 GEC196657:GEC196670 GNY196657:GNY196670 GXU196657:GXU196670 HHQ196657:HHQ196670 HRM196657:HRM196670 IBI196657:IBI196670 ILE196657:ILE196670 IVA196657:IVA196670 JEW196657:JEW196670 JOS196657:JOS196670 JYO196657:JYO196670 KIK196657:KIK196670 KSG196657:KSG196670 LCC196657:LCC196670 LLY196657:LLY196670 LVU196657:LVU196670 MFQ196657:MFQ196670 MPM196657:MPM196670 MZI196657:MZI196670 NJE196657:NJE196670 NTA196657:NTA196670 OCW196657:OCW196670 OMS196657:OMS196670 OWO196657:OWO196670 PGK196657:PGK196670 PQG196657:PQG196670 QAC196657:QAC196670 QJY196657:QJY196670 QTU196657:QTU196670 RDQ196657:RDQ196670 RNM196657:RNM196670 RXI196657:RXI196670 SHE196657:SHE196670 SRA196657:SRA196670 TAW196657:TAW196670 TKS196657:TKS196670 TUO196657:TUO196670 UEK196657:UEK196670 UOG196657:UOG196670 UYC196657:UYC196670 VHY196657:VHY196670 VRU196657:VRU196670 WBQ196657:WBQ196670 WLM196657:WLM196670 WVI196657:WVI196670 C262193:C262206 IW262193:IW262206 SS262193:SS262206 ACO262193:ACO262206 AMK262193:AMK262206 AWG262193:AWG262206 BGC262193:BGC262206 BPY262193:BPY262206 BZU262193:BZU262206 CJQ262193:CJQ262206 CTM262193:CTM262206 DDI262193:DDI262206 DNE262193:DNE262206 DXA262193:DXA262206 EGW262193:EGW262206 EQS262193:EQS262206 FAO262193:FAO262206 FKK262193:FKK262206 FUG262193:FUG262206 GEC262193:GEC262206 GNY262193:GNY262206 GXU262193:GXU262206 HHQ262193:HHQ262206 HRM262193:HRM262206 IBI262193:IBI262206 ILE262193:ILE262206 IVA262193:IVA262206 JEW262193:JEW262206 JOS262193:JOS262206 JYO262193:JYO262206 KIK262193:KIK262206 KSG262193:KSG262206 LCC262193:LCC262206 LLY262193:LLY262206 LVU262193:LVU262206 MFQ262193:MFQ262206 MPM262193:MPM262206 MZI262193:MZI262206 NJE262193:NJE262206 NTA262193:NTA262206 OCW262193:OCW262206 OMS262193:OMS262206 OWO262193:OWO262206 PGK262193:PGK262206 PQG262193:PQG262206 QAC262193:QAC262206 QJY262193:QJY262206 QTU262193:QTU262206 RDQ262193:RDQ262206 RNM262193:RNM262206 RXI262193:RXI262206 SHE262193:SHE262206 SRA262193:SRA262206 TAW262193:TAW262206 TKS262193:TKS262206 TUO262193:TUO262206 UEK262193:UEK262206 UOG262193:UOG262206 UYC262193:UYC262206 VHY262193:VHY262206 VRU262193:VRU262206 WBQ262193:WBQ262206 WLM262193:WLM262206 WVI262193:WVI262206 C327729:C327742 IW327729:IW327742 SS327729:SS327742 ACO327729:ACO327742 AMK327729:AMK327742 AWG327729:AWG327742 BGC327729:BGC327742 BPY327729:BPY327742 BZU327729:BZU327742 CJQ327729:CJQ327742 CTM327729:CTM327742 DDI327729:DDI327742 DNE327729:DNE327742 DXA327729:DXA327742 EGW327729:EGW327742 EQS327729:EQS327742 FAO327729:FAO327742 FKK327729:FKK327742 FUG327729:FUG327742 GEC327729:GEC327742 GNY327729:GNY327742 GXU327729:GXU327742 HHQ327729:HHQ327742 HRM327729:HRM327742 IBI327729:IBI327742 ILE327729:ILE327742 IVA327729:IVA327742 JEW327729:JEW327742 JOS327729:JOS327742 JYO327729:JYO327742 KIK327729:KIK327742 KSG327729:KSG327742 LCC327729:LCC327742 LLY327729:LLY327742 LVU327729:LVU327742 MFQ327729:MFQ327742 MPM327729:MPM327742 MZI327729:MZI327742 NJE327729:NJE327742 NTA327729:NTA327742 OCW327729:OCW327742 OMS327729:OMS327742 OWO327729:OWO327742 PGK327729:PGK327742 PQG327729:PQG327742 QAC327729:QAC327742 QJY327729:QJY327742 QTU327729:QTU327742 RDQ327729:RDQ327742 RNM327729:RNM327742 RXI327729:RXI327742 SHE327729:SHE327742 SRA327729:SRA327742 TAW327729:TAW327742 TKS327729:TKS327742 TUO327729:TUO327742 UEK327729:UEK327742 UOG327729:UOG327742 UYC327729:UYC327742 VHY327729:VHY327742 VRU327729:VRU327742 WBQ327729:WBQ327742 WLM327729:WLM327742 WVI327729:WVI327742 C393265:C393278 IW393265:IW393278 SS393265:SS393278 ACO393265:ACO393278 AMK393265:AMK393278 AWG393265:AWG393278 BGC393265:BGC393278 BPY393265:BPY393278 BZU393265:BZU393278 CJQ393265:CJQ393278 CTM393265:CTM393278 DDI393265:DDI393278 DNE393265:DNE393278 DXA393265:DXA393278 EGW393265:EGW393278 EQS393265:EQS393278 FAO393265:FAO393278 FKK393265:FKK393278 FUG393265:FUG393278 GEC393265:GEC393278 GNY393265:GNY393278 GXU393265:GXU393278 HHQ393265:HHQ393278 HRM393265:HRM393278 IBI393265:IBI393278 ILE393265:ILE393278 IVA393265:IVA393278 JEW393265:JEW393278 JOS393265:JOS393278 JYO393265:JYO393278 KIK393265:KIK393278 KSG393265:KSG393278 LCC393265:LCC393278 LLY393265:LLY393278 LVU393265:LVU393278 MFQ393265:MFQ393278 MPM393265:MPM393278 MZI393265:MZI393278 NJE393265:NJE393278 NTA393265:NTA393278 OCW393265:OCW393278 OMS393265:OMS393278 OWO393265:OWO393278 PGK393265:PGK393278 PQG393265:PQG393278 QAC393265:QAC393278 QJY393265:QJY393278 QTU393265:QTU393278 RDQ393265:RDQ393278 RNM393265:RNM393278 RXI393265:RXI393278 SHE393265:SHE393278 SRA393265:SRA393278 TAW393265:TAW393278 TKS393265:TKS393278 TUO393265:TUO393278 UEK393265:UEK393278 UOG393265:UOG393278 UYC393265:UYC393278 VHY393265:VHY393278 VRU393265:VRU393278 WBQ393265:WBQ393278 WLM393265:WLM393278 WVI393265:WVI393278 C458801:C458814 IW458801:IW458814 SS458801:SS458814 ACO458801:ACO458814 AMK458801:AMK458814 AWG458801:AWG458814 BGC458801:BGC458814 BPY458801:BPY458814 BZU458801:BZU458814 CJQ458801:CJQ458814 CTM458801:CTM458814 DDI458801:DDI458814 DNE458801:DNE458814 DXA458801:DXA458814 EGW458801:EGW458814 EQS458801:EQS458814 FAO458801:FAO458814 FKK458801:FKK458814 FUG458801:FUG458814 GEC458801:GEC458814 GNY458801:GNY458814 GXU458801:GXU458814 HHQ458801:HHQ458814 HRM458801:HRM458814 IBI458801:IBI458814 ILE458801:ILE458814 IVA458801:IVA458814 JEW458801:JEW458814 JOS458801:JOS458814 JYO458801:JYO458814 KIK458801:KIK458814 KSG458801:KSG458814 LCC458801:LCC458814 LLY458801:LLY458814 LVU458801:LVU458814 MFQ458801:MFQ458814 MPM458801:MPM458814 MZI458801:MZI458814 NJE458801:NJE458814 NTA458801:NTA458814 OCW458801:OCW458814 OMS458801:OMS458814 OWO458801:OWO458814 PGK458801:PGK458814 PQG458801:PQG458814 QAC458801:QAC458814 QJY458801:QJY458814 QTU458801:QTU458814 RDQ458801:RDQ458814 RNM458801:RNM458814 RXI458801:RXI458814 SHE458801:SHE458814 SRA458801:SRA458814 TAW458801:TAW458814 TKS458801:TKS458814 TUO458801:TUO458814 UEK458801:UEK458814 UOG458801:UOG458814 UYC458801:UYC458814 VHY458801:VHY458814 VRU458801:VRU458814 WBQ458801:WBQ458814 WLM458801:WLM458814 WVI458801:WVI458814 C524337:C524350 IW524337:IW524350 SS524337:SS524350 ACO524337:ACO524350 AMK524337:AMK524350 AWG524337:AWG524350 BGC524337:BGC524350 BPY524337:BPY524350 BZU524337:BZU524350 CJQ524337:CJQ524350 CTM524337:CTM524350 DDI524337:DDI524350 DNE524337:DNE524350 DXA524337:DXA524350 EGW524337:EGW524350 EQS524337:EQS524350 FAO524337:FAO524350 FKK524337:FKK524350 FUG524337:FUG524350 GEC524337:GEC524350 GNY524337:GNY524350 GXU524337:GXU524350 HHQ524337:HHQ524350 HRM524337:HRM524350 IBI524337:IBI524350 ILE524337:ILE524350 IVA524337:IVA524350 JEW524337:JEW524350 JOS524337:JOS524350 JYO524337:JYO524350 KIK524337:KIK524350 KSG524337:KSG524350 LCC524337:LCC524350 LLY524337:LLY524350 LVU524337:LVU524350 MFQ524337:MFQ524350 MPM524337:MPM524350 MZI524337:MZI524350 NJE524337:NJE524350 NTA524337:NTA524350 OCW524337:OCW524350 OMS524337:OMS524350 OWO524337:OWO524350 PGK524337:PGK524350 PQG524337:PQG524350 QAC524337:QAC524350 QJY524337:QJY524350 QTU524337:QTU524350 RDQ524337:RDQ524350 RNM524337:RNM524350 RXI524337:RXI524350 SHE524337:SHE524350 SRA524337:SRA524350 TAW524337:TAW524350 TKS524337:TKS524350 TUO524337:TUO524350 UEK524337:UEK524350 UOG524337:UOG524350 UYC524337:UYC524350 VHY524337:VHY524350 VRU524337:VRU524350 WBQ524337:WBQ524350 WLM524337:WLM524350 WVI524337:WVI524350 C589873:C589886 IW589873:IW589886 SS589873:SS589886 ACO589873:ACO589886 AMK589873:AMK589886 AWG589873:AWG589886 BGC589873:BGC589886 BPY589873:BPY589886 BZU589873:BZU589886 CJQ589873:CJQ589886 CTM589873:CTM589886 DDI589873:DDI589886 DNE589873:DNE589886 DXA589873:DXA589886 EGW589873:EGW589886 EQS589873:EQS589886 FAO589873:FAO589886 FKK589873:FKK589886 FUG589873:FUG589886 GEC589873:GEC589886 GNY589873:GNY589886 GXU589873:GXU589886 HHQ589873:HHQ589886 HRM589873:HRM589886 IBI589873:IBI589886 ILE589873:ILE589886 IVA589873:IVA589886 JEW589873:JEW589886 JOS589873:JOS589886 JYO589873:JYO589886 KIK589873:KIK589886 KSG589873:KSG589886 LCC589873:LCC589886 LLY589873:LLY589886 LVU589873:LVU589886 MFQ589873:MFQ589886 MPM589873:MPM589886 MZI589873:MZI589886 NJE589873:NJE589886 NTA589873:NTA589886 OCW589873:OCW589886 OMS589873:OMS589886 OWO589873:OWO589886 PGK589873:PGK589886 PQG589873:PQG589886 QAC589873:QAC589886 QJY589873:QJY589886 QTU589873:QTU589886 RDQ589873:RDQ589886 RNM589873:RNM589886 RXI589873:RXI589886 SHE589873:SHE589886 SRA589873:SRA589886 TAW589873:TAW589886 TKS589873:TKS589886 TUO589873:TUO589886 UEK589873:UEK589886 UOG589873:UOG589886 UYC589873:UYC589886 VHY589873:VHY589886 VRU589873:VRU589886 WBQ589873:WBQ589886 WLM589873:WLM589886 WVI589873:WVI589886 C655409:C655422 IW655409:IW655422 SS655409:SS655422 ACO655409:ACO655422 AMK655409:AMK655422 AWG655409:AWG655422 BGC655409:BGC655422 BPY655409:BPY655422 BZU655409:BZU655422 CJQ655409:CJQ655422 CTM655409:CTM655422 DDI655409:DDI655422 DNE655409:DNE655422 DXA655409:DXA655422 EGW655409:EGW655422 EQS655409:EQS655422 FAO655409:FAO655422 FKK655409:FKK655422 FUG655409:FUG655422 GEC655409:GEC655422 GNY655409:GNY655422 GXU655409:GXU655422 HHQ655409:HHQ655422 HRM655409:HRM655422 IBI655409:IBI655422 ILE655409:ILE655422 IVA655409:IVA655422 JEW655409:JEW655422 JOS655409:JOS655422 JYO655409:JYO655422 KIK655409:KIK655422 KSG655409:KSG655422 LCC655409:LCC655422 LLY655409:LLY655422 LVU655409:LVU655422 MFQ655409:MFQ655422 MPM655409:MPM655422 MZI655409:MZI655422 NJE655409:NJE655422 NTA655409:NTA655422 OCW655409:OCW655422 OMS655409:OMS655422 OWO655409:OWO655422 PGK655409:PGK655422 PQG655409:PQG655422 QAC655409:QAC655422 QJY655409:QJY655422 QTU655409:QTU655422 RDQ655409:RDQ655422 RNM655409:RNM655422 RXI655409:RXI655422 SHE655409:SHE655422 SRA655409:SRA655422 TAW655409:TAW655422 TKS655409:TKS655422 TUO655409:TUO655422 UEK655409:UEK655422 UOG655409:UOG655422 UYC655409:UYC655422 VHY655409:VHY655422 VRU655409:VRU655422 WBQ655409:WBQ655422 WLM655409:WLM655422 WVI655409:WVI655422 C720945:C720958 IW720945:IW720958 SS720945:SS720958 ACO720945:ACO720958 AMK720945:AMK720958 AWG720945:AWG720958 BGC720945:BGC720958 BPY720945:BPY720958 BZU720945:BZU720958 CJQ720945:CJQ720958 CTM720945:CTM720958 DDI720945:DDI720958 DNE720945:DNE720958 DXA720945:DXA720958 EGW720945:EGW720958 EQS720945:EQS720958 FAO720945:FAO720958 FKK720945:FKK720958 FUG720945:FUG720958 GEC720945:GEC720958 GNY720945:GNY720958 GXU720945:GXU720958 HHQ720945:HHQ720958 HRM720945:HRM720958 IBI720945:IBI720958 ILE720945:ILE720958 IVA720945:IVA720958 JEW720945:JEW720958 JOS720945:JOS720958 JYO720945:JYO720958 KIK720945:KIK720958 KSG720945:KSG720958 LCC720945:LCC720958 LLY720945:LLY720958 LVU720945:LVU720958 MFQ720945:MFQ720958 MPM720945:MPM720958 MZI720945:MZI720958 NJE720945:NJE720958 NTA720945:NTA720958 OCW720945:OCW720958 OMS720945:OMS720958 OWO720945:OWO720958 PGK720945:PGK720958 PQG720945:PQG720958 QAC720945:QAC720958 QJY720945:QJY720958 QTU720945:QTU720958 RDQ720945:RDQ720958 RNM720945:RNM720958 RXI720945:RXI720958 SHE720945:SHE720958 SRA720945:SRA720958 TAW720945:TAW720958 TKS720945:TKS720958 TUO720945:TUO720958 UEK720945:UEK720958 UOG720945:UOG720958 UYC720945:UYC720958 VHY720945:VHY720958 VRU720945:VRU720958 WBQ720945:WBQ720958 WLM720945:WLM720958 WVI720945:WVI720958 C786481:C786494 IW786481:IW786494 SS786481:SS786494 ACO786481:ACO786494 AMK786481:AMK786494 AWG786481:AWG786494 BGC786481:BGC786494 BPY786481:BPY786494 BZU786481:BZU786494 CJQ786481:CJQ786494 CTM786481:CTM786494 DDI786481:DDI786494 DNE786481:DNE786494 DXA786481:DXA786494 EGW786481:EGW786494 EQS786481:EQS786494 FAO786481:FAO786494 FKK786481:FKK786494 FUG786481:FUG786494 GEC786481:GEC786494 GNY786481:GNY786494 GXU786481:GXU786494 HHQ786481:HHQ786494 HRM786481:HRM786494 IBI786481:IBI786494 ILE786481:ILE786494 IVA786481:IVA786494 JEW786481:JEW786494 JOS786481:JOS786494 JYO786481:JYO786494 KIK786481:KIK786494 KSG786481:KSG786494 LCC786481:LCC786494 LLY786481:LLY786494 LVU786481:LVU786494 MFQ786481:MFQ786494 MPM786481:MPM786494 MZI786481:MZI786494 NJE786481:NJE786494 NTA786481:NTA786494 OCW786481:OCW786494 OMS786481:OMS786494 OWO786481:OWO786494 PGK786481:PGK786494 PQG786481:PQG786494 QAC786481:QAC786494 QJY786481:QJY786494 QTU786481:QTU786494 RDQ786481:RDQ786494 RNM786481:RNM786494 RXI786481:RXI786494 SHE786481:SHE786494 SRA786481:SRA786494 TAW786481:TAW786494 TKS786481:TKS786494 TUO786481:TUO786494 UEK786481:UEK786494 UOG786481:UOG786494 UYC786481:UYC786494 VHY786481:VHY786494 VRU786481:VRU786494 WBQ786481:WBQ786494 WLM786481:WLM786494 WVI786481:WVI786494 C852017:C852030 IW852017:IW852030 SS852017:SS852030 ACO852017:ACO852030 AMK852017:AMK852030 AWG852017:AWG852030 BGC852017:BGC852030 BPY852017:BPY852030 BZU852017:BZU852030 CJQ852017:CJQ852030 CTM852017:CTM852030 DDI852017:DDI852030 DNE852017:DNE852030 DXA852017:DXA852030 EGW852017:EGW852030 EQS852017:EQS852030 FAO852017:FAO852030 FKK852017:FKK852030 FUG852017:FUG852030 GEC852017:GEC852030 GNY852017:GNY852030 GXU852017:GXU852030 HHQ852017:HHQ852030 HRM852017:HRM852030 IBI852017:IBI852030 ILE852017:ILE852030 IVA852017:IVA852030 JEW852017:JEW852030 JOS852017:JOS852030 JYO852017:JYO852030 KIK852017:KIK852030 KSG852017:KSG852030 LCC852017:LCC852030 LLY852017:LLY852030 LVU852017:LVU852030 MFQ852017:MFQ852030 MPM852017:MPM852030 MZI852017:MZI852030 NJE852017:NJE852030 NTA852017:NTA852030 OCW852017:OCW852030 OMS852017:OMS852030 OWO852017:OWO852030 PGK852017:PGK852030 PQG852017:PQG852030 QAC852017:QAC852030 QJY852017:QJY852030 QTU852017:QTU852030 RDQ852017:RDQ852030 RNM852017:RNM852030 RXI852017:RXI852030 SHE852017:SHE852030 SRA852017:SRA852030 TAW852017:TAW852030 TKS852017:TKS852030 TUO852017:TUO852030 UEK852017:UEK852030 UOG852017:UOG852030 UYC852017:UYC852030 VHY852017:VHY852030 VRU852017:VRU852030 WBQ852017:WBQ852030 WLM852017:WLM852030 WVI852017:WVI852030 C917553:C917566 IW917553:IW917566 SS917553:SS917566 ACO917553:ACO917566 AMK917553:AMK917566 AWG917553:AWG917566 BGC917553:BGC917566 BPY917553:BPY917566 BZU917553:BZU917566 CJQ917553:CJQ917566 CTM917553:CTM917566 DDI917553:DDI917566 DNE917553:DNE917566 DXA917553:DXA917566 EGW917553:EGW917566 EQS917553:EQS917566 FAO917553:FAO917566 FKK917553:FKK917566 FUG917553:FUG917566 GEC917553:GEC917566 GNY917553:GNY917566 GXU917553:GXU917566 HHQ917553:HHQ917566 HRM917553:HRM917566 IBI917553:IBI917566 ILE917553:ILE917566 IVA917553:IVA917566 JEW917553:JEW917566 JOS917553:JOS917566 JYO917553:JYO917566 KIK917553:KIK917566 KSG917553:KSG917566 LCC917553:LCC917566 LLY917553:LLY917566 LVU917553:LVU917566 MFQ917553:MFQ917566 MPM917553:MPM917566 MZI917553:MZI917566 NJE917553:NJE917566 NTA917553:NTA917566 OCW917553:OCW917566 OMS917553:OMS917566 OWO917553:OWO917566 PGK917553:PGK917566 PQG917553:PQG917566 QAC917553:QAC917566 QJY917553:QJY917566 QTU917553:QTU917566 RDQ917553:RDQ917566 RNM917553:RNM917566 RXI917553:RXI917566 SHE917553:SHE917566 SRA917553:SRA917566 TAW917553:TAW917566 TKS917553:TKS917566 TUO917553:TUO917566 UEK917553:UEK917566 UOG917553:UOG917566 UYC917553:UYC917566 VHY917553:VHY917566 VRU917553:VRU917566 WBQ917553:WBQ917566 WLM917553:WLM917566 WVI917553:WVI917566 C983089:C983102 IW983089:IW983102 SS983089:SS983102 ACO983089:ACO983102 AMK983089:AMK983102 AWG983089:AWG983102 BGC983089:BGC983102 BPY983089:BPY983102 BZU983089:BZU983102 CJQ983089:CJQ983102 CTM983089:CTM983102 DDI983089:DDI983102 DNE983089:DNE983102 DXA983089:DXA983102 EGW983089:EGW983102 EQS983089:EQS983102 FAO983089:FAO983102 FKK983089:FKK983102 FUG983089:FUG983102 GEC983089:GEC983102 GNY983089:GNY983102 GXU983089:GXU983102 HHQ983089:HHQ983102 HRM983089:HRM983102 IBI983089:IBI983102 ILE983089:ILE983102 IVA983089:IVA983102 JEW983089:JEW983102 JOS983089:JOS983102 JYO983089:JYO983102 KIK983089:KIK983102 KSG983089:KSG983102 LCC983089:LCC983102 LLY983089:LLY983102 LVU983089:LVU983102 MFQ983089:MFQ983102 MPM983089:MPM983102 MZI983089:MZI983102 NJE983089:NJE983102 NTA983089:NTA983102 OCW983089:OCW983102 OMS983089:OMS983102 OWO983089:OWO983102 PGK983089:PGK983102 PQG983089:PQG983102 QAC983089:QAC983102 QJY983089:QJY983102 QTU983089:QTU983102 RDQ983089:RDQ983102 RNM983089:RNM983102 RXI983089:RXI983102 SHE983089:SHE983102 SRA983089:SRA983102 TAW983089:TAW983102 TKS983089:TKS983102 TUO983089:TUO983102 UEK983089:UEK983102 UOG983089:UOG983102 UYC983089:UYC983102 VHY983089:VHY983102 VRU983089:VRU983102 WBQ983089:WBQ983102 WLM983089:WLM983102 WVI983089:WVI983102 C155 IW155 SS155 ACO155 AMK155 AWG155 BGC155 BPY155 BZU155 CJQ155 CTM155 DDI155 DNE155 DXA155 EGW155 EQS155 FAO155 FKK155 FUG155 GEC155 GNY155 GXU155 HHQ155 HRM155 IBI155 ILE155 IVA155 JEW155 JOS155 JYO155 KIK155 KSG155 LCC155 LLY155 LVU155 MFQ155 MPM155 MZI155 NJE155 NTA155 OCW155 OMS155 OWO155 PGK155 PQG155 QAC155 QJY155 QTU155 RDQ155 RNM155 RXI155 SHE155 SRA155 TAW155 TKS155 TUO155 UEK155 UOG155 UYC155 VHY155 VRU155 WBQ155 WLM155 WVI155 C65691 IW65691 SS65691 ACO65691 AMK65691 AWG65691 BGC65691 BPY65691 BZU65691 CJQ65691 CTM65691 DDI65691 DNE65691 DXA65691 EGW65691 EQS65691 FAO65691 FKK65691 FUG65691 GEC65691 GNY65691 GXU65691 HHQ65691 HRM65691 IBI65691 ILE65691 IVA65691 JEW65691 JOS65691 JYO65691 KIK65691 KSG65691 LCC65691 LLY65691 LVU65691 MFQ65691 MPM65691 MZI65691 NJE65691 NTA65691 OCW65691 OMS65691 OWO65691 PGK65691 PQG65691 QAC65691 QJY65691 QTU65691 RDQ65691 RNM65691 RXI65691 SHE65691 SRA65691 TAW65691 TKS65691 TUO65691 UEK65691 UOG65691 UYC65691 VHY65691 VRU65691 WBQ65691 WLM65691 WVI65691 C131227 IW131227 SS131227 ACO131227 AMK131227 AWG131227 BGC131227 BPY131227 BZU131227 CJQ131227 CTM131227 DDI131227 DNE131227 DXA131227 EGW131227 EQS131227 FAO131227 FKK131227 FUG131227 GEC131227 GNY131227 GXU131227 HHQ131227 HRM131227 IBI131227 ILE131227 IVA131227 JEW131227 JOS131227 JYO131227 KIK131227 KSG131227 LCC131227 LLY131227 LVU131227 MFQ131227 MPM131227 MZI131227 NJE131227 NTA131227 OCW131227 OMS131227 OWO131227 PGK131227 PQG131227 QAC131227 QJY131227 QTU131227 RDQ131227 RNM131227 RXI131227 SHE131227 SRA131227 TAW131227 TKS131227 TUO131227 UEK131227 UOG131227 UYC131227 VHY131227 VRU131227 WBQ131227 WLM131227 WVI131227 C196763 IW196763 SS196763 ACO196763 AMK196763 AWG196763 BGC196763 BPY196763 BZU196763 CJQ196763 CTM196763 DDI196763 DNE196763 DXA196763 EGW196763 EQS196763 FAO196763 FKK196763 FUG196763 GEC196763 GNY196763 GXU196763 HHQ196763 HRM196763 IBI196763 ILE196763 IVA196763 JEW196763 JOS196763 JYO196763 KIK196763 KSG196763 LCC196763 LLY196763 LVU196763 MFQ196763 MPM196763 MZI196763 NJE196763 NTA196763 OCW196763 OMS196763 OWO196763 PGK196763 PQG196763 QAC196763 QJY196763 QTU196763 RDQ196763 RNM196763 RXI196763 SHE196763 SRA196763 TAW196763 TKS196763 TUO196763 UEK196763 UOG196763 UYC196763 VHY196763 VRU196763 WBQ196763 WLM196763 WVI196763 C262299 IW262299 SS262299 ACO262299 AMK262299 AWG262299 BGC262299 BPY262299 BZU262299 CJQ262299 CTM262299 DDI262299 DNE262299 DXA262299 EGW262299 EQS262299 FAO262299 FKK262299 FUG262299 GEC262299 GNY262299 GXU262299 HHQ262299 HRM262299 IBI262299 ILE262299 IVA262299 JEW262299 JOS262299 JYO262299 KIK262299 KSG262299 LCC262299 LLY262299 LVU262299 MFQ262299 MPM262299 MZI262299 NJE262299 NTA262299 OCW262299 OMS262299 OWO262299 PGK262299 PQG262299 QAC262299 QJY262299 QTU262299 RDQ262299 RNM262299 RXI262299 SHE262299 SRA262299 TAW262299 TKS262299 TUO262299 UEK262299 UOG262299 UYC262299 VHY262299 VRU262299 WBQ262299 WLM262299 WVI262299 C327835 IW327835 SS327835 ACO327835 AMK327835 AWG327835 BGC327835 BPY327835 BZU327835 CJQ327835 CTM327835 DDI327835 DNE327835 DXA327835 EGW327835 EQS327835 FAO327835 FKK327835 FUG327835 GEC327835 GNY327835 GXU327835 HHQ327835 HRM327835 IBI327835 ILE327835 IVA327835 JEW327835 JOS327835 JYO327835 KIK327835 KSG327835 LCC327835 LLY327835 LVU327835 MFQ327835 MPM327835 MZI327835 NJE327835 NTA327835 OCW327835 OMS327835 OWO327835 PGK327835 PQG327835 QAC327835 QJY327835 QTU327835 RDQ327835 RNM327835 RXI327835 SHE327835 SRA327835 TAW327835 TKS327835 TUO327835 UEK327835 UOG327835 UYC327835 VHY327835 VRU327835 WBQ327835 WLM327835 WVI327835 C393371 IW393371 SS393371 ACO393371 AMK393371 AWG393371 BGC393371 BPY393371 BZU393371 CJQ393371 CTM393371 DDI393371 DNE393371 DXA393371 EGW393371 EQS393371 FAO393371 FKK393371 FUG393371 GEC393371 GNY393371 GXU393371 HHQ393371 HRM393371 IBI393371 ILE393371 IVA393371 JEW393371 JOS393371 JYO393371 KIK393371 KSG393371 LCC393371 LLY393371 LVU393371 MFQ393371 MPM393371 MZI393371 NJE393371 NTA393371 OCW393371 OMS393371 OWO393371 PGK393371 PQG393371 QAC393371 QJY393371 QTU393371 RDQ393371 RNM393371 RXI393371 SHE393371 SRA393371 TAW393371 TKS393371 TUO393371 UEK393371 UOG393371 UYC393371 VHY393371 VRU393371 WBQ393371 WLM393371 WVI393371 C458907 IW458907 SS458907 ACO458907 AMK458907 AWG458907 BGC458907 BPY458907 BZU458907 CJQ458907 CTM458907 DDI458907 DNE458907 DXA458907 EGW458907 EQS458907 FAO458907 FKK458907 FUG458907 GEC458907 GNY458907 GXU458907 HHQ458907 HRM458907 IBI458907 ILE458907 IVA458907 JEW458907 JOS458907 JYO458907 KIK458907 KSG458907 LCC458907 LLY458907 LVU458907 MFQ458907 MPM458907 MZI458907 NJE458907 NTA458907 OCW458907 OMS458907 OWO458907 PGK458907 PQG458907 QAC458907 QJY458907 QTU458907 RDQ458907 RNM458907 RXI458907 SHE458907 SRA458907 TAW458907 TKS458907 TUO458907 UEK458907 UOG458907 UYC458907 VHY458907 VRU458907 WBQ458907 WLM458907 WVI458907 C524443 IW524443 SS524443 ACO524443 AMK524443 AWG524443 BGC524443 BPY524443 BZU524443 CJQ524443 CTM524443 DDI524443 DNE524443 DXA524443 EGW524443 EQS524443 FAO524443 FKK524443 FUG524443 GEC524443 GNY524443 GXU524443 HHQ524443 HRM524443 IBI524443 ILE524443 IVA524443 JEW524443 JOS524443 JYO524443 KIK524443 KSG524443 LCC524443 LLY524443 LVU524443 MFQ524443 MPM524443 MZI524443 NJE524443 NTA524443 OCW524443 OMS524443 OWO524443 PGK524443 PQG524443 QAC524443 QJY524443 QTU524443 RDQ524443 RNM524443 RXI524443 SHE524443 SRA524443 TAW524443 TKS524443 TUO524443 UEK524443 UOG524443 UYC524443 VHY524443 VRU524443 WBQ524443 WLM524443 WVI524443 C589979 IW589979 SS589979 ACO589979 AMK589979 AWG589979 BGC589979 BPY589979 BZU589979 CJQ589979 CTM589979 DDI589979 DNE589979 DXA589979 EGW589979 EQS589979 FAO589979 FKK589979 FUG589979 GEC589979 GNY589979 GXU589979 HHQ589979 HRM589979 IBI589979 ILE589979 IVA589979 JEW589979 JOS589979 JYO589979 KIK589979 KSG589979 LCC589979 LLY589979 LVU589979 MFQ589979 MPM589979 MZI589979 NJE589979 NTA589979 OCW589979 OMS589979 OWO589979 PGK589979 PQG589979 QAC589979 QJY589979 QTU589979 RDQ589979 RNM589979 RXI589979 SHE589979 SRA589979 TAW589979 TKS589979 TUO589979 UEK589979 UOG589979 UYC589979 VHY589979 VRU589979 WBQ589979 WLM589979 WVI589979 C655515 IW655515 SS655515 ACO655515 AMK655515 AWG655515 BGC655515 BPY655515 BZU655515 CJQ655515 CTM655515 DDI655515 DNE655515 DXA655515 EGW655515 EQS655515 FAO655515 FKK655515 FUG655515 GEC655515 GNY655515 GXU655515 HHQ655515 HRM655515 IBI655515 ILE655515 IVA655515 JEW655515 JOS655515 JYO655515 KIK655515 KSG655515 LCC655515 LLY655515 LVU655515 MFQ655515 MPM655515 MZI655515 NJE655515 NTA655515 OCW655515 OMS655515 OWO655515 PGK655515 PQG655515 QAC655515 QJY655515 QTU655515 RDQ655515 RNM655515 RXI655515 SHE655515 SRA655515 TAW655515 TKS655515 TUO655515 UEK655515 UOG655515 UYC655515 VHY655515 VRU655515 WBQ655515 WLM655515 WVI655515 C721051 IW721051 SS721051 ACO721051 AMK721051 AWG721051 BGC721051 BPY721051 BZU721051 CJQ721051 CTM721051 DDI721051 DNE721051 DXA721051 EGW721051 EQS721051 FAO721051 FKK721051 FUG721051 GEC721051 GNY721051 GXU721051 HHQ721051 HRM721051 IBI721051 ILE721051 IVA721051 JEW721051 JOS721051 JYO721051 KIK721051 KSG721051 LCC721051 LLY721051 LVU721051 MFQ721051 MPM721051 MZI721051 NJE721051 NTA721051 OCW721051 OMS721051 OWO721051 PGK721051 PQG721051 QAC721051 QJY721051 QTU721051 RDQ721051 RNM721051 RXI721051 SHE721051 SRA721051 TAW721051 TKS721051 TUO721051 UEK721051 UOG721051 UYC721051 VHY721051 VRU721051 WBQ721051 WLM721051 WVI721051 C786587 IW786587 SS786587 ACO786587 AMK786587 AWG786587 BGC786587 BPY786587 BZU786587 CJQ786587 CTM786587 DDI786587 DNE786587 DXA786587 EGW786587 EQS786587 FAO786587 FKK786587 FUG786587 GEC786587 GNY786587 GXU786587 HHQ786587 HRM786587 IBI786587 ILE786587 IVA786587 JEW786587 JOS786587 JYO786587 KIK786587 KSG786587 LCC786587 LLY786587 LVU786587 MFQ786587 MPM786587 MZI786587 NJE786587 NTA786587 OCW786587 OMS786587 OWO786587 PGK786587 PQG786587 QAC786587 QJY786587 QTU786587 RDQ786587 RNM786587 RXI786587 SHE786587 SRA786587 TAW786587 TKS786587 TUO786587 UEK786587 UOG786587 UYC786587 VHY786587 VRU786587 WBQ786587 WLM786587 WVI786587 C852123 IW852123 SS852123 ACO852123 AMK852123 AWG852123 BGC852123 BPY852123 BZU852123 CJQ852123 CTM852123 DDI852123 DNE852123 DXA852123 EGW852123 EQS852123 FAO852123 FKK852123 FUG852123 GEC852123 GNY852123 GXU852123 HHQ852123 HRM852123 IBI852123 ILE852123 IVA852123 JEW852123 JOS852123 JYO852123 KIK852123 KSG852123 LCC852123 LLY852123 LVU852123 MFQ852123 MPM852123 MZI852123 NJE852123 NTA852123 OCW852123 OMS852123 OWO852123 PGK852123 PQG852123 QAC852123 QJY852123 QTU852123 RDQ852123 RNM852123 RXI852123 SHE852123 SRA852123 TAW852123 TKS852123 TUO852123 UEK852123 UOG852123 UYC852123 VHY852123 VRU852123 WBQ852123 WLM852123 WVI852123 C917659 IW917659 SS917659 ACO917659 AMK917659 AWG917659 BGC917659 BPY917659 BZU917659 CJQ917659 CTM917659 DDI917659 DNE917659 DXA917659 EGW917659 EQS917659 FAO917659 FKK917659 FUG917659 GEC917659 GNY917659 GXU917659 HHQ917659 HRM917659 IBI917659 ILE917659 IVA917659 JEW917659 JOS917659 JYO917659 KIK917659 KSG917659 LCC917659 LLY917659 LVU917659 MFQ917659 MPM917659 MZI917659 NJE917659 NTA917659 OCW917659 OMS917659 OWO917659 PGK917659 PQG917659 QAC917659 QJY917659 QTU917659 RDQ917659 RNM917659 RXI917659 SHE917659 SRA917659 TAW917659 TKS917659 TUO917659 UEK917659 UOG917659 UYC917659 VHY917659 VRU917659 WBQ917659 WLM917659 WVI917659 C983195 IW983195 SS983195 ACO983195 AMK983195 AWG983195 BGC983195 BPY983195 BZU983195 CJQ983195 CTM983195 DDI983195 DNE983195 DXA983195 EGW983195 EQS983195 FAO983195 FKK983195 FUG983195 GEC983195 GNY983195 GXU983195 HHQ983195 HRM983195 IBI983195 ILE983195 IVA983195 JEW983195 JOS983195 JYO983195 KIK983195 KSG983195 LCC983195 LLY983195 LVU983195 MFQ983195 MPM983195 MZI983195 NJE983195 NTA983195 OCW983195 OMS983195 OWO983195 PGK983195 PQG983195 QAC983195 QJY983195 QTU983195 RDQ983195 RNM983195 RXI983195 SHE983195 SRA983195 TAW983195 TKS983195 TUO983195 UEK983195 UOG983195 UYC983195 VHY983195 VRU983195 WBQ983195 WLM983195 WVI983195 F109 JA109 SW109 ACS109 AMO109 AWK109 BGG109 BQC109 BZY109 CJU109 CTQ109 DDM109 DNI109 DXE109 EHA109 EQW109 FAS109 FKO109 FUK109 GEG109 GOC109 GXY109 HHU109 HRQ109 IBM109 ILI109 IVE109 JFA109 JOW109 JYS109 KIO109 KSK109 LCG109 LMC109 LVY109 MFU109 MPQ109 MZM109 NJI109 NTE109 ODA109 OMW109 OWS109 PGO109 PQK109 QAG109 QKC109 QTY109 RDU109 RNQ109 RXM109 SHI109 SRE109 TBA109 TKW109 TUS109 UEO109 UOK109 UYG109 VIC109 VRY109 WBU109 WLQ109 WVM109 F65645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F131181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F196717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F262253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F327789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F393325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F458861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F524397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F589933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F655469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F721005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F786541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F852077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F917613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F983149 JA983149 SW983149 ACS983149 AMO983149 AWK983149 BGG983149 BQC983149 BZY983149 CJU983149 CTQ983149 DDM983149 DNI983149 DXE983149 EHA983149 EQW983149 FAS983149 FKO983149 FUK983149 GEG983149 GOC983149 GXY983149 HHU983149 HRQ983149 IBM983149 ILI983149 IVE983149 JFA983149 JOW983149 JYS983149 KIO983149 KSK983149 LCG983149 LMC983149 LVY983149 MFU983149 MPQ983149 MZM983149 NJI983149 NTE983149 ODA983149 OMW983149 OWS983149 PGO983149 PQK983149 QAG983149 QKC983149 QTY983149 RDU983149 RNQ983149 RXM983149 SHI983149 SRE983149 TBA983149 TKW983149 TUS983149 UEO983149 UOK983149 UYG983149 VIC983149 VRY983149 WBU983149 WLQ983149 WVM983149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15"/>
  <sheetViews>
    <sheetView showGridLines="0" workbookViewId="0">
      <selection activeCell="F4" sqref="F4"/>
    </sheetView>
  </sheetViews>
  <sheetFormatPr baseColWidth="10" defaultRowHeight="15" x14ac:dyDescent="0.25"/>
  <cols>
    <col min="1" max="1" width="5" customWidth="1"/>
    <col min="2" max="2" width="11.42578125" hidden="1" customWidth="1"/>
    <col min="3" max="3" width="59.140625" style="58" customWidth="1"/>
    <col min="4" max="4" width="25.140625" style="58" customWidth="1"/>
    <col min="5" max="5" width="5.85546875" style="192" customWidth="1"/>
    <col min="6" max="6" width="57.28515625" style="58" customWidth="1"/>
    <col min="7" max="7" width="24.7109375" style="58" customWidth="1"/>
    <col min="9" max="16381" width="0" hidden="1" customWidth="1"/>
  </cols>
  <sheetData>
    <row r="1" spans="1:7" ht="15.75" x14ac:dyDescent="0.25">
      <c r="A1" s="151"/>
      <c r="B1" s="2"/>
      <c r="C1" s="326" t="s">
        <v>0</v>
      </c>
      <c r="D1" s="327"/>
      <c r="E1" s="328" t="str">
        <f>[8]Presentacion!C2</f>
        <v>MUCAM</v>
      </c>
      <c r="F1" s="328"/>
      <c r="G1" s="152"/>
    </row>
    <row r="2" spans="1:7" ht="15.75" x14ac:dyDescent="0.25">
      <c r="A2" s="151"/>
      <c r="B2" s="6"/>
      <c r="C2" s="326" t="s">
        <v>1</v>
      </c>
      <c r="D2" s="327"/>
      <c r="E2" s="328" t="str">
        <f>[8]Presentacion!C3</f>
        <v>Montevideo</v>
      </c>
      <c r="F2" s="328"/>
      <c r="G2" s="152"/>
    </row>
    <row r="3" spans="1:7" ht="15.75" x14ac:dyDescent="0.25">
      <c r="A3" s="151"/>
      <c r="B3" s="6"/>
      <c r="C3" s="326" t="s">
        <v>2</v>
      </c>
      <c r="D3" s="329"/>
      <c r="E3" s="330" t="s">
        <v>3</v>
      </c>
      <c r="F3" s="330"/>
      <c r="G3" s="152"/>
    </row>
    <row r="4" spans="1:7" ht="15.75" thickBot="1" x14ac:dyDescent="0.3">
      <c r="A4" s="151"/>
      <c r="B4" s="7"/>
      <c r="C4" s="287"/>
      <c r="D4" s="8"/>
      <c r="E4" s="153"/>
      <c r="F4" s="10"/>
      <c r="G4" s="11"/>
    </row>
    <row r="5" spans="1:7" ht="16.5" thickBot="1" x14ac:dyDescent="0.3">
      <c r="A5" s="151"/>
      <c r="B5" s="12"/>
      <c r="C5" s="154" t="s">
        <v>4</v>
      </c>
      <c r="D5" s="286" t="s">
        <v>5</v>
      </c>
      <c r="E5" s="155"/>
      <c r="F5" s="154" t="s">
        <v>6</v>
      </c>
      <c r="G5" s="286" t="s">
        <v>5</v>
      </c>
    </row>
    <row r="6" spans="1:7" ht="16.5" thickBot="1" x14ac:dyDescent="0.3">
      <c r="A6" s="151"/>
      <c r="B6" s="12"/>
      <c r="C6" s="156" t="s">
        <v>7</v>
      </c>
      <c r="D6" s="291">
        <f>+[8]E.S.P.!D6</f>
        <v>2020</v>
      </c>
      <c r="E6" s="158"/>
      <c r="F6" s="156" t="s">
        <v>8</v>
      </c>
      <c r="G6" s="291">
        <f>+D6</f>
        <v>2020</v>
      </c>
    </row>
    <row r="7" spans="1:7" x14ac:dyDescent="0.25">
      <c r="A7" s="151"/>
      <c r="B7" s="6" t="s">
        <v>9</v>
      </c>
      <c r="C7" s="19" t="s">
        <v>10</v>
      </c>
      <c r="D7" s="20">
        <f>66951276+24610200-7659</f>
        <v>91553817</v>
      </c>
      <c r="E7" s="159" t="s">
        <v>11</v>
      </c>
      <c r="F7" s="22" t="s">
        <v>12</v>
      </c>
      <c r="G7" s="23">
        <v>20358096</v>
      </c>
    </row>
    <row r="8" spans="1:7" x14ac:dyDescent="0.25">
      <c r="A8" s="151"/>
      <c r="B8" s="6" t="s">
        <v>13</v>
      </c>
      <c r="C8" s="19" t="s">
        <v>14</v>
      </c>
      <c r="D8" s="20">
        <f>124529627+6612605</f>
        <v>131142232</v>
      </c>
      <c r="E8" s="159" t="s">
        <v>15</v>
      </c>
      <c r="F8" s="19" t="s">
        <v>16</v>
      </c>
      <c r="G8" s="24">
        <v>440219992</v>
      </c>
    </row>
    <row r="9" spans="1:7" x14ac:dyDescent="0.25">
      <c r="A9" s="151"/>
      <c r="B9" s="6" t="s">
        <v>17</v>
      </c>
      <c r="C9" s="19" t="s">
        <v>18</v>
      </c>
      <c r="D9" s="20">
        <v>8524905462</v>
      </c>
      <c r="E9" s="159" t="s">
        <v>19</v>
      </c>
      <c r="F9" s="19" t="s">
        <v>20</v>
      </c>
      <c r="G9" s="20">
        <v>129572498</v>
      </c>
    </row>
    <row r="10" spans="1:7" x14ac:dyDescent="0.25">
      <c r="A10" s="151"/>
      <c r="B10" s="6" t="s">
        <v>21</v>
      </c>
      <c r="C10" s="19" t="s">
        <v>22</v>
      </c>
      <c r="D10" s="20">
        <v>956994015</v>
      </c>
      <c r="E10" s="159" t="s">
        <v>23</v>
      </c>
      <c r="F10" s="19" t="s">
        <v>24</v>
      </c>
      <c r="G10" s="20">
        <v>1550824745</v>
      </c>
    </row>
    <row r="11" spans="1:7" x14ac:dyDescent="0.25">
      <c r="A11" s="151"/>
      <c r="B11" s="6" t="s">
        <v>25</v>
      </c>
      <c r="C11" s="19" t="s">
        <v>26</v>
      </c>
      <c r="D11" s="20">
        <v>124055224</v>
      </c>
      <c r="E11" s="159" t="s">
        <v>27</v>
      </c>
      <c r="F11" s="19" t="s">
        <v>28</v>
      </c>
      <c r="G11" s="20">
        <v>456463224</v>
      </c>
    </row>
    <row r="12" spans="1:7" x14ac:dyDescent="0.25">
      <c r="A12" s="151"/>
      <c r="B12" s="6" t="s">
        <v>29</v>
      </c>
      <c r="C12" s="19" t="s">
        <v>30</v>
      </c>
      <c r="D12" s="20">
        <v>74034775</v>
      </c>
      <c r="E12" s="159" t="s">
        <v>31</v>
      </c>
      <c r="F12" s="19" t="s">
        <v>32</v>
      </c>
      <c r="G12" s="20">
        <v>858890692.16999996</v>
      </c>
    </row>
    <row r="13" spans="1:7" x14ac:dyDescent="0.25">
      <c r="A13" s="151"/>
      <c r="B13" s="6" t="s">
        <v>33</v>
      </c>
      <c r="C13" s="19" t="s">
        <v>34</v>
      </c>
      <c r="D13" s="20"/>
      <c r="E13" s="159" t="s">
        <v>35</v>
      </c>
      <c r="F13" s="19" t="s">
        <v>36</v>
      </c>
      <c r="G13" s="20">
        <v>65332740</v>
      </c>
    </row>
    <row r="14" spans="1:7" x14ac:dyDescent="0.25">
      <c r="A14" s="160"/>
      <c r="B14" s="6" t="s">
        <v>37</v>
      </c>
      <c r="C14" s="19" t="s">
        <v>38</v>
      </c>
      <c r="D14" s="20"/>
      <c r="E14" s="159" t="s">
        <v>39</v>
      </c>
      <c r="F14" s="19" t="s">
        <v>40</v>
      </c>
      <c r="G14" s="20">
        <v>1564115277</v>
      </c>
    </row>
    <row r="15" spans="1:7" x14ac:dyDescent="0.25">
      <c r="A15" s="151"/>
      <c r="B15" s="6" t="s">
        <v>41</v>
      </c>
      <c r="C15" s="26" t="s">
        <v>42</v>
      </c>
      <c r="D15" s="20">
        <v>28255077</v>
      </c>
      <c r="E15" s="159" t="s">
        <v>43</v>
      </c>
      <c r="F15" s="19" t="s">
        <v>44</v>
      </c>
      <c r="G15" s="20">
        <v>502775676.77999997</v>
      </c>
    </row>
    <row r="16" spans="1:7" x14ac:dyDescent="0.25">
      <c r="A16" s="151"/>
      <c r="B16" s="6" t="s">
        <v>45</v>
      </c>
      <c r="C16" s="19" t="s">
        <v>46</v>
      </c>
      <c r="D16" s="20"/>
      <c r="E16" s="159" t="s">
        <v>47</v>
      </c>
      <c r="F16" s="19" t="s">
        <v>48</v>
      </c>
      <c r="G16" s="20">
        <v>792462705</v>
      </c>
    </row>
    <row r="17" spans="1:7" x14ac:dyDescent="0.25">
      <c r="A17" s="151"/>
      <c r="B17" s="6" t="s">
        <v>49</v>
      </c>
      <c r="C17" s="19" t="s">
        <v>50</v>
      </c>
      <c r="D17" s="20"/>
      <c r="E17" s="159" t="s">
        <v>51</v>
      </c>
      <c r="F17" s="19" t="s">
        <v>52</v>
      </c>
      <c r="G17" s="20">
        <v>4247220</v>
      </c>
    </row>
    <row r="18" spans="1:7" x14ac:dyDescent="0.25">
      <c r="A18" s="160"/>
      <c r="B18" s="6" t="s">
        <v>53</v>
      </c>
      <c r="C18" s="19" t="s">
        <v>54</v>
      </c>
      <c r="D18" s="20">
        <v>31542250</v>
      </c>
      <c r="E18" s="159" t="s">
        <v>55</v>
      </c>
      <c r="F18" s="19" t="s">
        <v>56</v>
      </c>
      <c r="G18" s="27">
        <v>281083904</v>
      </c>
    </row>
    <row r="19" spans="1:7" ht="15.75" thickBot="1" x14ac:dyDescent="0.3">
      <c r="A19" s="160"/>
      <c r="B19" s="6" t="s">
        <v>57</v>
      </c>
      <c r="C19" s="19" t="s">
        <v>58</v>
      </c>
      <c r="D19" s="20">
        <v>425761438</v>
      </c>
      <c r="E19" s="159"/>
      <c r="F19" s="161" t="s">
        <v>59</v>
      </c>
      <c r="G19" s="162">
        <f>SUM(G7:G18)</f>
        <v>6666346769.9499998</v>
      </c>
    </row>
    <row r="20" spans="1:7" ht="15.75" thickBot="1" x14ac:dyDescent="0.3">
      <c r="A20" s="151"/>
      <c r="B20" s="6"/>
      <c r="C20" s="161" t="s">
        <v>60</v>
      </c>
      <c r="D20" s="162">
        <f>SUM(D7:D19)</f>
        <v>10388244290</v>
      </c>
      <c r="E20" s="159" t="s">
        <v>61</v>
      </c>
      <c r="F20" s="22" t="s">
        <v>62</v>
      </c>
      <c r="G20" s="23">
        <v>1017905</v>
      </c>
    </row>
    <row r="21" spans="1:7" x14ac:dyDescent="0.25">
      <c r="A21" s="151"/>
      <c r="B21" s="6"/>
      <c r="C21" s="163" t="s">
        <v>63</v>
      </c>
      <c r="D21" s="164">
        <f>SUM(D22:D28)</f>
        <v>25337712</v>
      </c>
      <c r="E21" s="159" t="s">
        <v>64</v>
      </c>
      <c r="F21" s="19" t="s">
        <v>65</v>
      </c>
      <c r="G21" s="20">
        <v>109018470</v>
      </c>
    </row>
    <row r="22" spans="1:7" x14ac:dyDescent="0.25">
      <c r="A22" s="151"/>
      <c r="B22" s="6" t="s">
        <v>66</v>
      </c>
      <c r="C22" s="19" t="s">
        <v>67</v>
      </c>
      <c r="D22" s="20">
        <v>2153435</v>
      </c>
      <c r="E22" s="159" t="s">
        <v>68</v>
      </c>
      <c r="F22" s="19" t="s">
        <v>69</v>
      </c>
      <c r="G22" s="20">
        <v>39547106</v>
      </c>
    </row>
    <row r="23" spans="1:7" x14ac:dyDescent="0.25">
      <c r="A23" s="151"/>
      <c r="B23" s="6" t="s">
        <v>70</v>
      </c>
      <c r="C23" s="19" t="s">
        <v>71</v>
      </c>
      <c r="D23" s="20">
        <v>859848</v>
      </c>
      <c r="E23" s="159" t="s">
        <v>72</v>
      </c>
      <c r="F23" s="19" t="s">
        <v>73</v>
      </c>
      <c r="G23" s="20">
        <v>190934348</v>
      </c>
    </row>
    <row r="24" spans="1:7" x14ac:dyDescent="0.25">
      <c r="A24" s="151"/>
      <c r="B24" s="6" t="s">
        <v>74</v>
      </c>
      <c r="C24" s="19" t="s">
        <v>75</v>
      </c>
      <c r="D24" s="20">
        <v>277757</v>
      </c>
      <c r="E24" s="159" t="s">
        <v>76</v>
      </c>
      <c r="F24" s="19" t="s">
        <v>77</v>
      </c>
      <c r="G24" s="20"/>
    </row>
    <row r="25" spans="1:7" x14ac:dyDescent="0.25">
      <c r="A25" s="151"/>
      <c r="B25" s="6" t="s">
        <v>78</v>
      </c>
      <c r="C25" s="19" t="s">
        <v>79</v>
      </c>
      <c r="D25" s="20"/>
      <c r="E25" s="159" t="s">
        <v>80</v>
      </c>
      <c r="F25" s="19" t="s">
        <v>81</v>
      </c>
      <c r="G25" s="20">
        <v>48609007</v>
      </c>
    </row>
    <row r="26" spans="1:7" x14ac:dyDescent="0.25">
      <c r="A26" s="151"/>
      <c r="B26" s="6" t="s">
        <v>82</v>
      </c>
      <c r="C26" s="19" t="s">
        <v>83</v>
      </c>
      <c r="D26" s="20">
        <v>4960</v>
      </c>
      <c r="E26" s="159" t="s">
        <v>84</v>
      </c>
      <c r="F26" s="19" t="s">
        <v>85</v>
      </c>
      <c r="G26" s="27">
        <f>17035048</f>
        <v>17035048</v>
      </c>
    </row>
    <row r="27" spans="1:7" ht="15.75" thickBot="1" x14ac:dyDescent="0.3">
      <c r="A27" s="151"/>
      <c r="B27" s="6" t="s">
        <v>86</v>
      </c>
      <c r="C27" s="19" t="s">
        <v>87</v>
      </c>
      <c r="D27" s="20">
        <v>20805129</v>
      </c>
      <c r="E27" s="159"/>
      <c r="F27" s="161" t="s">
        <v>88</v>
      </c>
      <c r="G27" s="162">
        <f>SUM(G20:G26)</f>
        <v>406161884</v>
      </c>
    </row>
    <row r="28" spans="1:7" x14ac:dyDescent="0.25">
      <c r="A28" s="151"/>
      <c r="B28" s="6" t="s">
        <v>89</v>
      </c>
      <c r="C28" s="19" t="s">
        <v>90</v>
      </c>
      <c r="D28" s="20">
        <v>1236583</v>
      </c>
      <c r="E28" s="159" t="s">
        <v>91</v>
      </c>
      <c r="F28" s="22" t="s">
        <v>92</v>
      </c>
      <c r="G28" s="23">
        <v>260985933</v>
      </c>
    </row>
    <row r="29" spans="1:7" x14ac:dyDescent="0.25">
      <c r="A29" s="151"/>
      <c r="B29" s="6"/>
      <c r="C29" s="165" t="s">
        <v>93</v>
      </c>
      <c r="D29" s="164">
        <f>SUM(D30:D34)</f>
        <v>509127725</v>
      </c>
      <c r="E29" s="159" t="s">
        <v>94</v>
      </c>
      <c r="F29" s="19" t="s">
        <v>95</v>
      </c>
      <c r="G29" s="20">
        <v>43527325</v>
      </c>
    </row>
    <row r="30" spans="1:7" x14ac:dyDescent="0.25">
      <c r="A30" s="151"/>
      <c r="B30" s="6" t="s">
        <v>96</v>
      </c>
      <c r="C30" s="19" t="s">
        <v>97</v>
      </c>
      <c r="D30" s="20">
        <v>473415544</v>
      </c>
      <c r="E30" s="159" t="s">
        <v>98</v>
      </c>
      <c r="F30" s="19" t="s">
        <v>99</v>
      </c>
      <c r="G30" s="20">
        <v>32552339</v>
      </c>
    </row>
    <row r="31" spans="1:7" x14ac:dyDescent="0.25">
      <c r="A31" s="151"/>
      <c r="B31" s="6" t="s">
        <v>100</v>
      </c>
      <c r="C31" s="19" t="s">
        <v>101</v>
      </c>
      <c r="D31" s="20">
        <v>2598712</v>
      </c>
      <c r="E31" s="159" t="s">
        <v>102</v>
      </c>
      <c r="F31" s="19" t="s">
        <v>103</v>
      </c>
      <c r="G31" s="27">
        <v>15010194</v>
      </c>
    </row>
    <row r="32" spans="1:7" ht="15.75" thickBot="1" x14ac:dyDescent="0.3">
      <c r="A32" s="151"/>
      <c r="B32" s="6" t="s">
        <v>104</v>
      </c>
      <c r="C32" s="19" t="s">
        <v>105</v>
      </c>
      <c r="D32" s="20">
        <v>6253697</v>
      </c>
      <c r="E32" s="159"/>
      <c r="F32" s="161" t="s">
        <v>106</v>
      </c>
      <c r="G32" s="162">
        <f>SUM(G28:G31)</f>
        <v>352075791</v>
      </c>
    </row>
    <row r="33" spans="1:7" x14ac:dyDescent="0.25">
      <c r="A33" s="151"/>
      <c r="B33" s="6" t="s">
        <v>107</v>
      </c>
      <c r="C33" s="19" t="s">
        <v>108</v>
      </c>
      <c r="D33" s="20">
        <v>5681025</v>
      </c>
      <c r="E33" s="159"/>
      <c r="F33" s="165" t="s">
        <v>109</v>
      </c>
      <c r="G33" s="164">
        <f>SUM(G34:G39)</f>
        <v>410007661</v>
      </c>
    </row>
    <row r="34" spans="1:7" x14ac:dyDescent="0.25">
      <c r="A34" s="151"/>
      <c r="B34" s="6" t="s">
        <v>110</v>
      </c>
      <c r="C34" s="19" t="s">
        <v>111</v>
      </c>
      <c r="D34" s="20">
        <v>21178747</v>
      </c>
      <c r="E34" s="159" t="s">
        <v>112</v>
      </c>
      <c r="F34" s="19" t="s">
        <v>113</v>
      </c>
      <c r="G34" s="20">
        <v>30548042</v>
      </c>
    </row>
    <row r="35" spans="1:7" ht="15.75" thickBot="1" x14ac:dyDescent="0.3">
      <c r="A35" s="151"/>
      <c r="B35" s="6"/>
      <c r="C35" s="161" t="s">
        <v>114</v>
      </c>
      <c r="D35" s="162">
        <f>+D21+D29</f>
        <v>534465437</v>
      </c>
      <c r="E35" s="159" t="s">
        <v>115</v>
      </c>
      <c r="F35" s="19" t="s">
        <v>116</v>
      </c>
      <c r="G35" s="20">
        <v>50696103</v>
      </c>
    </row>
    <row r="36" spans="1:7" x14ac:dyDescent="0.25">
      <c r="A36" s="151"/>
      <c r="B36" s="6" t="s">
        <v>117</v>
      </c>
      <c r="C36" s="19" t="s">
        <v>118</v>
      </c>
      <c r="D36" s="20">
        <v>8100689</v>
      </c>
      <c r="E36" s="159" t="s">
        <v>119</v>
      </c>
      <c r="F36" s="19" t="s">
        <v>120</v>
      </c>
      <c r="G36" s="20">
        <v>8346520</v>
      </c>
    </row>
    <row r="37" spans="1:7" x14ac:dyDescent="0.25">
      <c r="A37" s="151"/>
      <c r="B37" s="6" t="s">
        <v>121</v>
      </c>
      <c r="C37" s="19" t="s">
        <v>122</v>
      </c>
      <c r="D37" s="20"/>
      <c r="E37" s="159" t="s">
        <v>123</v>
      </c>
      <c r="F37" s="19" t="s">
        <v>124</v>
      </c>
      <c r="G37" s="20">
        <v>15963073</v>
      </c>
    </row>
    <row r="38" spans="1:7" x14ac:dyDescent="0.25">
      <c r="A38" s="151"/>
      <c r="B38" s="6" t="s">
        <v>125</v>
      </c>
      <c r="C38" s="19" t="s">
        <v>126</v>
      </c>
      <c r="D38" s="20"/>
      <c r="E38" s="159" t="s">
        <v>127</v>
      </c>
      <c r="F38" s="19" t="s">
        <v>128</v>
      </c>
      <c r="G38" s="20">
        <v>28795147</v>
      </c>
    </row>
    <row r="39" spans="1:7" x14ac:dyDescent="0.25">
      <c r="A39" s="151"/>
      <c r="B39" s="6" t="s">
        <v>129</v>
      </c>
      <c r="C39" s="19" t="s">
        <v>130</v>
      </c>
      <c r="D39" s="20"/>
      <c r="E39" s="159" t="s">
        <v>131</v>
      </c>
      <c r="F39" s="19" t="s">
        <v>132</v>
      </c>
      <c r="G39" s="20">
        <v>275658776</v>
      </c>
    </row>
    <row r="40" spans="1:7" x14ac:dyDescent="0.25">
      <c r="A40" s="151"/>
      <c r="B40" s="6" t="s">
        <v>133</v>
      </c>
      <c r="C40" s="19" t="s">
        <v>134</v>
      </c>
      <c r="D40" s="20">
        <v>2687880</v>
      </c>
      <c r="E40" s="159"/>
      <c r="F40" s="166" t="s">
        <v>135</v>
      </c>
      <c r="G40" s="167">
        <f>SUM(G41:G46)</f>
        <v>35023991</v>
      </c>
    </row>
    <row r="41" spans="1:7" x14ac:dyDescent="0.25">
      <c r="A41" s="151"/>
      <c r="B41" s="6" t="s">
        <v>136</v>
      </c>
      <c r="C41" s="19" t="s">
        <v>137</v>
      </c>
      <c r="D41" s="20">
        <v>42098846</v>
      </c>
      <c r="E41" s="159" t="s">
        <v>138</v>
      </c>
      <c r="F41" s="19" t="s">
        <v>139</v>
      </c>
      <c r="G41" s="20">
        <v>1875081</v>
      </c>
    </row>
    <row r="42" spans="1:7" x14ac:dyDescent="0.25">
      <c r="A42" s="151"/>
      <c r="B42" s="6" t="s">
        <v>140</v>
      </c>
      <c r="C42" s="19" t="s">
        <v>141</v>
      </c>
      <c r="D42" s="20">
        <v>45566094</v>
      </c>
      <c r="E42" s="159" t="s">
        <v>142</v>
      </c>
      <c r="F42" s="19" t="s">
        <v>143</v>
      </c>
      <c r="G42" s="20">
        <v>202047</v>
      </c>
    </row>
    <row r="43" spans="1:7" x14ac:dyDescent="0.25">
      <c r="A43" s="151"/>
      <c r="B43" s="6" t="s">
        <v>144</v>
      </c>
      <c r="C43" s="19" t="s">
        <v>145</v>
      </c>
      <c r="D43" s="20"/>
      <c r="E43" s="159" t="s">
        <v>146</v>
      </c>
      <c r="F43" s="19" t="s">
        <v>147</v>
      </c>
      <c r="G43" s="20">
        <v>8932461</v>
      </c>
    </row>
    <row r="44" spans="1:7" x14ac:dyDescent="0.25">
      <c r="A44" s="151"/>
      <c r="B44" s="6" t="s">
        <v>148</v>
      </c>
      <c r="C44" s="19" t="s">
        <v>149</v>
      </c>
      <c r="D44" s="20"/>
      <c r="E44" s="159" t="s">
        <v>150</v>
      </c>
      <c r="F44" s="19" t="s">
        <v>151</v>
      </c>
      <c r="G44" s="20">
        <v>458929</v>
      </c>
    </row>
    <row r="45" spans="1:7" x14ac:dyDescent="0.25">
      <c r="A45" s="151"/>
      <c r="B45" s="6" t="s">
        <v>152</v>
      </c>
      <c r="C45" s="19" t="s">
        <v>153</v>
      </c>
      <c r="D45" s="20">
        <v>135658295</v>
      </c>
      <c r="E45" s="159" t="s">
        <v>154</v>
      </c>
      <c r="F45" s="19" t="s">
        <v>155</v>
      </c>
      <c r="G45" s="20">
        <v>1946071</v>
      </c>
    </row>
    <row r="46" spans="1:7" x14ac:dyDescent="0.25">
      <c r="A46" s="151"/>
      <c r="B46" s="6" t="s">
        <v>156</v>
      </c>
      <c r="C46" s="19" t="s">
        <v>157</v>
      </c>
      <c r="D46" s="20">
        <v>10116645</v>
      </c>
      <c r="E46" s="159" t="s">
        <v>158</v>
      </c>
      <c r="F46" s="19" t="s">
        <v>159</v>
      </c>
      <c r="G46" s="20">
        <v>21609402</v>
      </c>
    </row>
    <row r="47" spans="1:7" ht="15.75" thickBot="1" x14ac:dyDescent="0.3">
      <c r="A47" s="151"/>
      <c r="B47" s="6"/>
      <c r="C47" s="161" t="s">
        <v>160</v>
      </c>
      <c r="D47" s="162">
        <f>SUM(D36:D46)</f>
        <v>244228449</v>
      </c>
      <c r="E47" s="159" t="s">
        <v>161</v>
      </c>
      <c r="F47" s="19" t="s">
        <v>162</v>
      </c>
      <c r="G47" s="27">
        <v>18907751</v>
      </c>
    </row>
    <row r="48" spans="1:7" ht="15.75" thickBot="1" x14ac:dyDescent="0.3">
      <c r="A48" s="151"/>
      <c r="B48" s="6"/>
      <c r="C48" s="168" t="s">
        <v>163</v>
      </c>
      <c r="D48" s="169"/>
      <c r="E48" s="159"/>
      <c r="F48" s="161" t="s">
        <v>164</v>
      </c>
      <c r="G48" s="170">
        <f>+G33+G40+G47</f>
        <v>463939403</v>
      </c>
    </row>
    <row r="49" spans="1:7" x14ac:dyDescent="0.25">
      <c r="A49" s="151"/>
      <c r="B49" s="6" t="s">
        <v>165</v>
      </c>
      <c r="C49" s="38" t="s">
        <v>166</v>
      </c>
      <c r="D49" s="39"/>
      <c r="E49" s="159" t="s">
        <v>167</v>
      </c>
      <c r="F49" s="22" t="s">
        <v>168</v>
      </c>
      <c r="G49" s="23">
        <v>152640711</v>
      </c>
    </row>
    <row r="50" spans="1:7" x14ac:dyDescent="0.25">
      <c r="A50" s="151"/>
      <c r="B50" s="6" t="s">
        <v>169</v>
      </c>
      <c r="C50" s="19" t="s">
        <v>163</v>
      </c>
      <c r="D50" s="20">
        <v>25478261</v>
      </c>
      <c r="E50" s="159" t="s">
        <v>170</v>
      </c>
      <c r="F50" s="19" t="s">
        <v>171</v>
      </c>
      <c r="G50" s="20">
        <v>196880310</v>
      </c>
    </row>
    <row r="51" spans="1:7" x14ac:dyDescent="0.25">
      <c r="A51" s="151"/>
      <c r="B51" s="6" t="s">
        <v>172</v>
      </c>
      <c r="C51" s="19" t="s">
        <v>173</v>
      </c>
      <c r="D51" s="27">
        <v>1104185</v>
      </c>
      <c r="E51" s="159" t="s">
        <v>174</v>
      </c>
      <c r="F51" s="19" t="s">
        <v>175</v>
      </c>
      <c r="G51" s="20">
        <v>3115980</v>
      </c>
    </row>
    <row r="52" spans="1:7" ht="15.75" thickBot="1" x14ac:dyDescent="0.3">
      <c r="A52" s="151"/>
      <c r="B52" s="12"/>
      <c r="C52" s="161" t="s">
        <v>176</v>
      </c>
      <c r="D52" s="162">
        <f>SUM(D49:D51)</f>
        <v>26582446</v>
      </c>
      <c r="E52" s="159" t="s">
        <v>177</v>
      </c>
      <c r="F52" s="19" t="s">
        <v>178</v>
      </c>
      <c r="G52" s="20">
        <v>3007854</v>
      </c>
    </row>
    <row r="53" spans="1:7" ht="15.75" thickBot="1" x14ac:dyDescent="0.3">
      <c r="A53" s="151"/>
      <c r="B53" s="6"/>
      <c r="C53" s="171" t="s">
        <v>179</v>
      </c>
      <c r="D53" s="172">
        <f>D20+D35+D47+D52</f>
        <v>11193520622</v>
      </c>
      <c r="E53" s="159" t="s">
        <v>180</v>
      </c>
      <c r="F53" s="19" t="s">
        <v>181</v>
      </c>
      <c r="G53" s="20">
        <v>28847647</v>
      </c>
    </row>
    <row r="54" spans="1:7" x14ac:dyDescent="0.25">
      <c r="A54" s="151"/>
      <c r="B54" s="7"/>
      <c r="C54" s="42"/>
      <c r="D54" s="43"/>
      <c r="E54" s="159" t="s">
        <v>182</v>
      </c>
      <c r="F54" s="19" t="s">
        <v>183</v>
      </c>
      <c r="G54" s="20">
        <v>11684786</v>
      </c>
    </row>
    <row r="55" spans="1:7" x14ac:dyDescent="0.25">
      <c r="A55" s="151"/>
      <c r="B55" s="7"/>
      <c r="C55" s="173" t="s">
        <v>184</v>
      </c>
      <c r="D55" s="174"/>
      <c r="E55" s="159" t="s">
        <v>185</v>
      </c>
      <c r="F55" s="19" t="s">
        <v>186</v>
      </c>
      <c r="G55" s="20">
        <v>1028374</v>
      </c>
    </row>
    <row r="56" spans="1:7" x14ac:dyDescent="0.25">
      <c r="A56" s="151"/>
      <c r="B56" s="6" t="s">
        <v>187</v>
      </c>
      <c r="C56" s="46" t="s">
        <v>188</v>
      </c>
      <c r="D56" s="20">
        <v>-921346</v>
      </c>
      <c r="E56" s="159" t="s">
        <v>189</v>
      </c>
      <c r="F56" s="19" t="s">
        <v>190</v>
      </c>
      <c r="G56" s="27">
        <f>15808511</f>
        <v>15808511</v>
      </c>
    </row>
    <row r="57" spans="1:7" ht="15.75" thickBot="1" x14ac:dyDescent="0.3">
      <c r="A57" s="151"/>
      <c r="B57" s="6" t="s">
        <v>191</v>
      </c>
      <c r="C57" s="46" t="s">
        <v>192</v>
      </c>
      <c r="D57" s="20"/>
      <c r="E57" s="159"/>
      <c r="F57" s="161" t="s">
        <v>193</v>
      </c>
      <c r="G57" s="162">
        <f>SUM(G49:G56)</f>
        <v>413014173</v>
      </c>
    </row>
    <row r="58" spans="1:7" x14ac:dyDescent="0.25">
      <c r="A58" s="151"/>
      <c r="B58" s="6" t="s">
        <v>194</v>
      </c>
      <c r="C58" s="46" t="s">
        <v>195</v>
      </c>
      <c r="D58" s="20"/>
      <c r="E58" s="159" t="s">
        <v>196</v>
      </c>
      <c r="F58" s="22" t="s">
        <v>197</v>
      </c>
      <c r="G58" s="23">
        <v>982479180</v>
      </c>
    </row>
    <row r="59" spans="1:7" x14ac:dyDescent="0.25">
      <c r="A59" s="151"/>
      <c r="B59" s="6" t="s">
        <v>198</v>
      </c>
      <c r="C59" s="19" t="s">
        <v>199</v>
      </c>
      <c r="D59" s="27">
        <v>-40509</v>
      </c>
      <c r="E59" s="159" t="s">
        <v>200</v>
      </c>
      <c r="F59" s="19" t="s">
        <v>201</v>
      </c>
      <c r="G59" s="20">
        <v>1639105</v>
      </c>
    </row>
    <row r="60" spans="1:7" ht="15.75" thickBot="1" x14ac:dyDescent="0.3">
      <c r="A60" s="151"/>
      <c r="B60" s="6"/>
      <c r="C60" s="161" t="s">
        <v>202</v>
      </c>
      <c r="D60" s="162">
        <f>SUM(D56:D59)</f>
        <v>-961855</v>
      </c>
      <c r="E60" s="159" t="s">
        <v>203</v>
      </c>
      <c r="F60" s="19" t="s">
        <v>204</v>
      </c>
      <c r="G60" s="20">
        <v>1127845</v>
      </c>
    </row>
    <row r="61" spans="1:7" ht="16.5" thickBot="1" x14ac:dyDescent="0.3">
      <c r="A61" s="151"/>
      <c r="B61" s="47"/>
      <c r="C61" s="175" t="s">
        <v>205</v>
      </c>
      <c r="D61" s="176">
        <f>D53+D60</f>
        <v>11192558767</v>
      </c>
      <c r="E61" s="159" t="s">
        <v>206</v>
      </c>
      <c r="F61" s="19" t="s">
        <v>207</v>
      </c>
      <c r="G61" s="20">
        <v>550794</v>
      </c>
    </row>
    <row r="62" spans="1:7" x14ac:dyDescent="0.25">
      <c r="A62" s="151"/>
      <c r="B62" s="50"/>
      <c r="C62" s="51"/>
      <c r="D62" s="51"/>
      <c r="E62" s="159" t="s">
        <v>208</v>
      </c>
      <c r="F62" s="19" t="s">
        <v>209</v>
      </c>
      <c r="G62" s="20"/>
    </row>
    <row r="63" spans="1:7" x14ac:dyDescent="0.25">
      <c r="A63" s="151"/>
      <c r="B63" s="177"/>
      <c r="C63" s="178" t="s">
        <v>8</v>
      </c>
      <c r="D63" s="178"/>
      <c r="E63" s="159" t="s">
        <v>210</v>
      </c>
      <c r="F63" s="19" t="s">
        <v>211</v>
      </c>
      <c r="G63" s="20">
        <v>20061935</v>
      </c>
    </row>
    <row r="64" spans="1:7" x14ac:dyDescent="0.25">
      <c r="A64" s="151"/>
      <c r="B64" s="179" t="s">
        <v>212</v>
      </c>
      <c r="C64" s="180" t="s">
        <v>213</v>
      </c>
      <c r="D64" s="180">
        <f>[8]Amortizaciones!D6</f>
        <v>89748245</v>
      </c>
      <c r="E64" s="159" t="s">
        <v>214</v>
      </c>
      <c r="F64" s="19" t="s">
        <v>215</v>
      </c>
      <c r="G64" s="20">
        <v>38102711</v>
      </c>
    </row>
    <row r="65" spans="1:7" x14ac:dyDescent="0.25">
      <c r="A65" s="151"/>
      <c r="B65" s="179" t="s">
        <v>216</v>
      </c>
      <c r="C65" s="180" t="s">
        <v>217</v>
      </c>
      <c r="D65" s="180">
        <f>[8]Amortizaciones!D7</f>
        <v>0</v>
      </c>
      <c r="E65" s="159" t="s">
        <v>218</v>
      </c>
      <c r="F65" s="19" t="s">
        <v>219</v>
      </c>
      <c r="G65" s="20">
        <v>22068969</v>
      </c>
    </row>
    <row r="66" spans="1:7" x14ac:dyDescent="0.25">
      <c r="A66" s="151"/>
      <c r="B66" s="179" t="s">
        <v>220</v>
      </c>
      <c r="C66" s="180" t="s">
        <v>221</v>
      </c>
      <c r="D66" s="180">
        <f>[8]Amortizaciones!D8</f>
        <v>37789774</v>
      </c>
      <c r="E66" s="159" t="s">
        <v>222</v>
      </c>
      <c r="F66" s="19" t="s">
        <v>223</v>
      </c>
      <c r="G66" s="20">
        <v>29300449</v>
      </c>
    </row>
    <row r="67" spans="1:7" x14ac:dyDescent="0.25">
      <c r="A67" s="151"/>
      <c r="B67" s="179" t="s">
        <v>224</v>
      </c>
      <c r="C67" s="180" t="s">
        <v>225</v>
      </c>
      <c r="D67" s="180">
        <f>[8]Amortizaciones!D9</f>
        <v>0</v>
      </c>
      <c r="E67" s="159" t="s">
        <v>226</v>
      </c>
      <c r="F67" s="19" t="s">
        <v>227</v>
      </c>
      <c r="G67" s="20">
        <v>46745962</v>
      </c>
    </row>
    <row r="68" spans="1:7" x14ac:dyDescent="0.25">
      <c r="A68" s="151"/>
      <c r="B68" s="179" t="s">
        <v>228</v>
      </c>
      <c r="C68" s="180" t="s">
        <v>229</v>
      </c>
      <c r="D68" s="180">
        <f>[8]Amortizaciones!D10</f>
        <v>2738881</v>
      </c>
      <c r="E68" s="159" t="s">
        <v>230</v>
      </c>
      <c r="F68" s="19" t="s">
        <v>231</v>
      </c>
      <c r="G68" s="20">
        <v>22488949</v>
      </c>
    </row>
    <row r="69" spans="1:7" x14ac:dyDescent="0.25">
      <c r="A69" s="151"/>
      <c r="B69" s="179" t="s">
        <v>232</v>
      </c>
      <c r="C69" s="180" t="s">
        <v>233</v>
      </c>
      <c r="D69" s="180">
        <f>[8]Amortizaciones!D11</f>
        <v>0</v>
      </c>
      <c r="E69" s="159" t="s">
        <v>234</v>
      </c>
      <c r="F69" s="19" t="s">
        <v>235</v>
      </c>
      <c r="G69" s="20">
        <v>19358522</v>
      </c>
    </row>
    <row r="70" spans="1:7" x14ac:dyDescent="0.25">
      <c r="A70" s="151"/>
      <c r="B70" s="179" t="s">
        <v>236</v>
      </c>
      <c r="C70" s="180" t="s">
        <v>237</v>
      </c>
      <c r="D70" s="180">
        <f>[8]Amortizaciones!D12</f>
        <v>0</v>
      </c>
      <c r="E70" s="159" t="s">
        <v>238</v>
      </c>
      <c r="F70" s="19" t="s">
        <v>239</v>
      </c>
      <c r="G70" s="20">
        <v>28989966</v>
      </c>
    </row>
    <row r="71" spans="1:7" x14ac:dyDescent="0.25">
      <c r="A71" s="151"/>
      <c r="B71" s="179" t="s">
        <v>240</v>
      </c>
      <c r="C71" s="180" t="s">
        <v>241</v>
      </c>
      <c r="D71" s="180">
        <f>[8]Amortizaciones!D13</f>
        <v>0</v>
      </c>
      <c r="E71" s="159" t="s">
        <v>242</v>
      </c>
      <c r="F71" s="19" t="s">
        <v>243</v>
      </c>
      <c r="G71" s="20"/>
    </row>
    <row r="72" spans="1:7" x14ac:dyDescent="0.25">
      <c r="A72" s="151"/>
      <c r="B72" s="179" t="s">
        <v>244</v>
      </c>
      <c r="C72" s="180" t="s">
        <v>245</v>
      </c>
      <c r="D72" s="180">
        <f>[8]Amortizaciones!D14</f>
        <v>15911490</v>
      </c>
      <c r="E72" s="159" t="s">
        <v>246</v>
      </c>
      <c r="F72" s="19" t="s">
        <v>247</v>
      </c>
      <c r="G72" s="20"/>
    </row>
    <row r="73" spans="1:7" x14ac:dyDescent="0.25">
      <c r="A73" s="151"/>
      <c r="B73" s="179" t="s">
        <v>248</v>
      </c>
      <c r="C73" s="180" t="s">
        <v>249</v>
      </c>
      <c r="D73" s="180">
        <f>[8]Amortizaciones!D15</f>
        <v>6891654</v>
      </c>
      <c r="E73" s="159" t="s">
        <v>250</v>
      </c>
      <c r="F73" s="19" t="s">
        <v>251</v>
      </c>
      <c r="G73" s="20"/>
    </row>
    <row r="74" spans="1:7" x14ac:dyDescent="0.25">
      <c r="A74" s="151"/>
      <c r="B74" s="179" t="s">
        <v>252</v>
      </c>
      <c r="C74" s="180" t="s">
        <v>253</v>
      </c>
      <c r="D74" s="180">
        <f>[8]Amortizaciones!D16</f>
        <v>0</v>
      </c>
      <c r="E74" s="159" t="s">
        <v>254</v>
      </c>
      <c r="F74" s="19" t="s">
        <v>255</v>
      </c>
      <c r="G74" s="20"/>
    </row>
    <row r="75" spans="1:7" x14ac:dyDescent="0.25">
      <c r="A75" s="151"/>
      <c r="B75" s="179" t="s">
        <v>256</v>
      </c>
      <c r="C75" s="180" t="s">
        <v>257</v>
      </c>
      <c r="D75" s="180">
        <f>[8]Amortizaciones!D17</f>
        <v>0</v>
      </c>
      <c r="E75" s="159" t="s">
        <v>258</v>
      </c>
      <c r="F75" s="19" t="s">
        <v>259</v>
      </c>
      <c r="G75" s="20">
        <v>22063825</v>
      </c>
    </row>
    <row r="76" spans="1:7" x14ac:dyDescent="0.25">
      <c r="A76" s="151"/>
      <c r="B76" s="179" t="s">
        <v>260</v>
      </c>
      <c r="C76" s="180" t="s">
        <v>261</v>
      </c>
      <c r="D76" s="180">
        <f>[8]Amortizaciones!D18</f>
        <v>0</v>
      </c>
      <c r="E76" s="159" t="s">
        <v>262</v>
      </c>
      <c r="F76" s="19" t="s">
        <v>263</v>
      </c>
      <c r="G76" s="20">
        <v>44744224</v>
      </c>
    </row>
    <row r="77" spans="1:7" x14ac:dyDescent="0.25">
      <c r="A77" s="151"/>
      <c r="B77" s="179" t="s">
        <v>264</v>
      </c>
      <c r="C77" s="180" t="s">
        <v>265</v>
      </c>
      <c r="D77" s="180">
        <f>SUM(D64:D76)</f>
        <v>153080044</v>
      </c>
      <c r="E77" s="159" t="s">
        <v>266</v>
      </c>
      <c r="F77" s="19" t="s">
        <v>267</v>
      </c>
      <c r="G77" s="20">
        <v>165200076</v>
      </c>
    </row>
    <row r="78" spans="1:7" x14ac:dyDescent="0.25">
      <c r="A78" s="151"/>
      <c r="B78" s="179"/>
      <c r="C78" s="180"/>
      <c r="D78" s="180"/>
      <c r="E78" s="159" t="s">
        <v>268</v>
      </c>
      <c r="F78" s="19" t="s">
        <v>269</v>
      </c>
      <c r="G78" s="27">
        <v>61604716</v>
      </c>
    </row>
    <row r="79" spans="1:7" ht="15.75" thickBot="1" x14ac:dyDescent="0.3">
      <c r="A79" s="151"/>
      <c r="B79" s="179"/>
      <c r="C79" s="178" t="s">
        <v>270</v>
      </c>
      <c r="D79" s="181"/>
      <c r="E79" s="159"/>
      <c r="F79" s="161" t="s">
        <v>271</v>
      </c>
      <c r="G79" s="162">
        <f>SUM(G58:G78)</f>
        <v>1506527228</v>
      </c>
    </row>
    <row r="80" spans="1:7" x14ac:dyDescent="0.25">
      <c r="A80" s="151"/>
      <c r="B80" s="179" t="s">
        <v>272</v>
      </c>
      <c r="C80" s="180" t="s">
        <v>237</v>
      </c>
      <c r="D80" s="180">
        <f>[8]Amortizaciones!D22</f>
        <v>11959447</v>
      </c>
      <c r="E80" s="159" t="s">
        <v>273</v>
      </c>
      <c r="F80" s="22" t="s">
        <v>274</v>
      </c>
      <c r="G80" s="23">
        <v>8472135</v>
      </c>
    </row>
    <row r="81" spans="1:7" x14ac:dyDescent="0.25">
      <c r="A81" s="151"/>
      <c r="B81" s="179" t="s">
        <v>275</v>
      </c>
      <c r="C81" s="180" t="s">
        <v>241</v>
      </c>
      <c r="D81" s="180">
        <f>[8]Amortizaciones!D23</f>
        <v>0</v>
      </c>
      <c r="E81" s="159" t="s">
        <v>276</v>
      </c>
      <c r="F81" s="19" t="s">
        <v>277</v>
      </c>
      <c r="G81" s="20">
        <v>24093913</v>
      </c>
    </row>
    <row r="82" spans="1:7" x14ac:dyDescent="0.25">
      <c r="A82" s="151"/>
      <c r="B82" s="179" t="s">
        <v>278</v>
      </c>
      <c r="C82" s="180" t="s">
        <v>245</v>
      </c>
      <c r="D82" s="180">
        <f>[8]Amortizaciones!D24</f>
        <v>0</v>
      </c>
      <c r="E82" s="159" t="s">
        <v>279</v>
      </c>
      <c r="F82" s="19" t="s">
        <v>280</v>
      </c>
      <c r="G82" s="20">
        <v>15205449</v>
      </c>
    </row>
    <row r="83" spans="1:7" x14ac:dyDescent="0.25">
      <c r="A83" s="151"/>
      <c r="B83" s="179" t="s">
        <v>281</v>
      </c>
      <c r="C83" s="180" t="s">
        <v>249</v>
      </c>
      <c r="D83" s="180">
        <f>[8]Amortizaciones!D25</f>
        <v>0</v>
      </c>
      <c r="E83" s="159" t="s">
        <v>282</v>
      </c>
      <c r="F83" s="19" t="s">
        <v>283</v>
      </c>
      <c r="G83" s="20">
        <v>6187454</v>
      </c>
    </row>
    <row r="84" spans="1:7" x14ac:dyDescent="0.25">
      <c r="A84" s="151"/>
      <c r="B84" s="179" t="s">
        <v>284</v>
      </c>
      <c r="C84" s="180" t="s">
        <v>285</v>
      </c>
      <c r="D84" s="180">
        <v>0</v>
      </c>
      <c r="E84" s="159" t="s">
        <v>286</v>
      </c>
      <c r="F84" s="19" t="s">
        <v>287</v>
      </c>
      <c r="G84" s="20">
        <v>51801119</v>
      </c>
    </row>
    <row r="85" spans="1:7" x14ac:dyDescent="0.25">
      <c r="A85" s="151"/>
      <c r="B85" s="179" t="s">
        <v>288</v>
      </c>
      <c r="C85" s="180" t="s">
        <v>289</v>
      </c>
      <c r="D85" s="180">
        <f>[8]Amortizaciones!D27</f>
        <v>0</v>
      </c>
      <c r="E85" s="159" t="s">
        <v>290</v>
      </c>
      <c r="F85" s="19" t="s">
        <v>291</v>
      </c>
      <c r="G85" s="20">
        <v>13092155</v>
      </c>
    </row>
    <row r="86" spans="1:7" x14ac:dyDescent="0.25">
      <c r="A86" s="151"/>
      <c r="B86" s="179" t="s">
        <v>292</v>
      </c>
      <c r="C86" s="180" t="s">
        <v>293</v>
      </c>
      <c r="D86" s="180">
        <f>[8]Amortizaciones!D28</f>
        <v>0</v>
      </c>
      <c r="E86" s="159" t="s">
        <v>294</v>
      </c>
      <c r="F86" s="19" t="s">
        <v>295</v>
      </c>
      <c r="G86" s="20">
        <v>134574</v>
      </c>
    </row>
    <row r="87" spans="1:7" x14ac:dyDescent="0.25">
      <c r="A87" s="151"/>
      <c r="B87" s="179" t="s">
        <v>296</v>
      </c>
      <c r="C87" s="180" t="s">
        <v>297</v>
      </c>
      <c r="D87" s="180">
        <f>[8]Amortizaciones!D29</f>
        <v>11892710</v>
      </c>
      <c r="E87" s="159" t="s">
        <v>298</v>
      </c>
      <c r="F87" s="19" t="s">
        <v>299</v>
      </c>
      <c r="G87" s="20">
        <v>67632193</v>
      </c>
    </row>
    <row r="88" spans="1:7" x14ac:dyDescent="0.25">
      <c r="A88" s="151"/>
      <c r="B88" s="179" t="s">
        <v>300</v>
      </c>
      <c r="C88" s="180" t="s">
        <v>301</v>
      </c>
      <c r="D88" s="180">
        <f>[8]Amortizaciones!D30</f>
        <v>4453959</v>
      </c>
      <c r="E88" s="159" t="s">
        <v>302</v>
      </c>
      <c r="F88" s="19" t="s">
        <v>303</v>
      </c>
      <c r="G88" s="20">
        <v>2504165</v>
      </c>
    </row>
    <row r="89" spans="1:7" x14ac:dyDescent="0.25">
      <c r="A89" s="151"/>
      <c r="B89" s="179" t="s">
        <v>304</v>
      </c>
      <c r="C89" s="180" t="s">
        <v>213</v>
      </c>
      <c r="D89" s="180">
        <f>[8]Amortizaciones!D31</f>
        <v>0</v>
      </c>
      <c r="E89" s="159" t="s">
        <v>305</v>
      </c>
      <c r="F89" s="19" t="s">
        <v>306</v>
      </c>
      <c r="G89" s="20">
        <v>30248185</v>
      </c>
    </row>
    <row r="90" spans="1:7" x14ac:dyDescent="0.25">
      <c r="A90" s="151"/>
      <c r="B90" s="179" t="s">
        <v>307</v>
      </c>
      <c r="C90" s="180" t="s">
        <v>229</v>
      </c>
      <c r="D90" s="180">
        <f>[8]Amortizaciones!D32</f>
        <v>0</v>
      </c>
      <c r="E90" s="159" t="s">
        <v>308</v>
      </c>
      <c r="F90" s="19" t="s">
        <v>309</v>
      </c>
      <c r="G90" s="20">
        <v>20955701</v>
      </c>
    </row>
    <row r="91" spans="1:7" x14ac:dyDescent="0.25">
      <c r="A91" s="151"/>
      <c r="B91" s="179" t="s">
        <v>310</v>
      </c>
      <c r="C91" s="180" t="s">
        <v>311</v>
      </c>
      <c r="D91" s="180">
        <f>SUM(D80:D90)</f>
        <v>28306116</v>
      </c>
      <c r="E91" s="177" t="s">
        <v>312</v>
      </c>
      <c r="F91" s="19" t="s">
        <v>313</v>
      </c>
      <c r="G91" s="20">
        <v>6605569</v>
      </c>
    </row>
    <row r="92" spans="1:7" x14ac:dyDescent="0.25">
      <c r="A92" s="151"/>
      <c r="B92" s="179"/>
      <c r="C92" s="182" t="s">
        <v>314</v>
      </c>
      <c r="D92" s="180">
        <f>D77+D91</f>
        <v>181386160</v>
      </c>
      <c r="E92" s="177" t="s">
        <v>315</v>
      </c>
      <c r="F92" s="19" t="s">
        <v>316</v>
      </c>
      <c r="G92" s="20">
        <v>144274</v>
      </c>
    </row>
    <row r="93" spans="1:7" x14ac:dyDescent="0.25">
      <c r="A93" s="151"/>
      <c r="B93" s="7"/>
      <c r="E93" s="177" t="s">
        <v>317</v>
      </c>
      <c r="F93" s="19" t="s">
        <v>318</v>
      </c>
      <c r="G93" s="20">
        <v>40486904</v>
      </c>
    </row>
    <row r="94" spans="1:7" x14ac:dyDescent="0.25">
      <c r="A94" s="151"/>
      <c r="B94" s="7"/>
      <c r="E94" s="177" t="s">
        <v>319</v>
      </c>
      <c r="F94" s="19" t="s">
        <v>320</v>
      </c>
      <c r="G94" s="27">
        <v>11594944</v>
      </c>
    </row>
    <row r="95" spans="1:7" ht="15.75" thickBot="1" x14ac:dyDescent="0.3">
      <c r="A95" s="151"/>
      <c r="B95" s="7"/>
      <c r="E95" s="159"/>
      <c r="F95" s="161" t="s">
        <v>321</v>
      </c>
      <c r="G95" s="162">
        <f>SUM(G80:G94)</f>
        <v>299158734</v>
      </c>
    </row>
    <row r="96" spans="1:7" x14ac:dyDescent="0.25">
      <c r="A96" s="151"/>
      <c r="B96" s="7"/>
      <c r="E96" s="177" t="s">
        <v>322</v>
      </c>
      <c r="F96" s="22" t="s">
        <v>323</v>
      </c>
      <c r="G96" s="23">
        <v>25891692</v>
      </c>
    </row>
    <row r="97" spans="1:7" x14ac:dyDescent="0.25">
      <c r="A97" s="151"/>
      <c r="B97" s="7"/>
      <c r="E97" s="177" t="s">
        <v>324</v>
      </c>
      <c r="F97" s="19" t="s">
        <v>325</v>
      </c>
      <c r="G97" s="20">
        <v>14658301</v>
      </c>
    </row>
    <row r="98" spans="1:7" x14ac:dyDescent="0.25">
      <c r="A98" s="151"/>
      <c r="B98" s="7"/>
      <c r="E98" s="177" t="s">
        <v>326</v>
      </c>
      <c r="F98" s="19" t="s">
        <v>327</v>
      </c>
      <c r="G98" s="20">
        <v>1844</v>
      </c>
    </row>
    <row r="99" spans="1:7" x14ac:dyDescent="0.25">
      <c r="A99" s="151"/>
      <c r="B99" s="7"/>
      <c r="E99" s="177" t="s">
        <v>328</v>
      </c>
      <c r="F99" s="19" t="s">
        <v>329</v>
      </c>
      <c r="G99" s="20">
        <v>7949576</v>
      </c>
    </row>
    <row r="100" spans="1:7" x14ac:dyDescent="0.25">
      <c r="A100" s="151"/>
      <c r="B100" s="7"/>
      <c r="E100" s="177" t="s">
        <v>330</v>
      </c>
      <c r="F100" s="19" t="s">
        <v>331</v>
      </c>
      <c r="G100" s="27">
        <v>1838804</v>
      </c>
    </row>
    <row r="101" spans="1:7" ht="15.75" thickBot="1" x14ac:dyDescent="0.3">
      <c r="A101" s="151"/>
      <c r="B101" s="7"/>
      <c r="E101" s="159"/>
      <c r="F101" s="161" t="s">
        <v>332</v>
      </c>
      <c r="G101" s="162">
        <f>SUM(G96:G100)</f>
        <v>50340217</v>
      </c>
    </row>
    <row r="102" spans="1:7" ht="15.75" thickBot="1" x14ac:dyDescent="0.3">
      <c r="A102" s="151"/>
      <c r="B102" s="7"/>
      <c r="E102" s="177"/>
      <c r="F102" s="183" t="s">
        <v>333</v>
      </c>
      <c r="G102" s="184">
        <f>[8]Amortizaciones!D19</f>
        <v>153080044</v>
      </c>
    </row>
    <row r="103" spans="1:7" x14ac:dyDescent="0.25">
      <c r="A103" s="151"/>
      <c r="B103" s="7"/>
      <c r="E103" s="177" t="s">
        <v>334</v>
      </c>
      <c r="F103" s="19" t="s">
        <v>335</v>
      </c>
      <c r="G103" s="23"/>
    </row>
    <row r="104" spans="1:7" x14ac:dyDescent="0.25">
      <c r="A104" s="151"/>
      <c r="B104" s="7"/>
      <c r="E104" s="177" t="s">
        <v>336</v>
      </c>
      <c r="F104" s="61" t="s">
        <v>337</v>
      </c>
      <c r="G104" s="20"/>
    </row>
    <row r="105" spans="1:7" ht="15.75" thickBot="1" x14ac:dyDescent="0.3">
      <c r="A105" s="151"/>
      <c r="B105" s="7"/>
      <c r="E105" s="159"/>
      <c r="F105" s="161" t="s">
        <v>338</v>
      </c>
      <c r="G105" s="162">
        <f>SUM(G103:G104)</f>
        <v>0</v>
      </c>
    </row>
    <row r="106" spans="1:7" ht="16.5" thickBot="1" x14ac:dyDescent="0.3">
      <c r="A106" s="151"/>
      <c r="B106" s="6"/>
      <c r="C106" s="62"/>
      <c r="D106" s="62"/>
      <c r="E106" s="177"/>
      <c r="F106" s="175" t="s">
        <v>339</v>
      </c>
      <c r="G106" s="176">
        <f>G19+G27+G32+G48+G57+G79+G95+G101+G102+G105</f>
        <v>10310644243.950001</v>
      </c>
    </row>
    <row r="107" spans="1:7" ht="15.75" x14ac:dyDescent="0.25">
      <c r="A107" s="151"/>
      <c r="B107" s="6"/>
      <c r="C107" s="62"/>
      <c r="D107" s="62"/>
      <c r="E107" s="159"/>
      <c r="F107" s="63"/>
      <c r="G107" s="64"/>
    </row>
    <row r="108" spans="1:7" ht="16.5" thickBot="1" x14ac:dyDescent="0.3">
      <c r="A108" s="151"/>
      <c r="B108" s="6"/>
      <c r="C108" s="62"/>
      <c r="D108" s="62"/>
      <c r="E108" s="159"/>
    </row>
    <row r="109" spans="1:7" ht="16.5" thickBot="1" x14ac:dyDescent="0.3">
      <c r="A109" s="151"/>
      <c r="B109" s="6"/>
      <c r="C109" s="62"/>
      <c r="D109" s="62"/>
      <c r="E109" s="159"/>
      <c r="F109" s="154" t="s">
        <v>340</v>
      </c>
      <c r="G109" s="185">
        <f>D61-G106</f>
        <v>881914523.04999924</v>
      </c>
    </row>
    <row r="110" spans="1:7" ht="16.5" thickBot="1" x14ac:dyDescent="0.3">
      <c r="A110" s="151"/>
      <c r="B110" s="6"/>
      <c r="C110" s="62"/>
      <c r="D110" s="62"/>
      <c r="E110" s="159"/>
    </row>
    <row r="111" spans="1:7" ht="16.5" thickBot="1" x14ac:dyDescent="0.3">
      <c r="A111" s="151"/>
      <c r="B111" s="7"/>
      <c r="C111" s="175" t="s">
        <v>270</v>
      </c>
      <c r="D111" s="157">
        <f>+[8]E.S.P.!D6</f>
        <v>2020</v>
      </c>
      <c r="E111" s="177"/>
      <c r="F111" s="175" t="s">
        <v>341</v>
      </c>
      <c r="G111" s="157">
        <f>+[8]E.S.P.!D6</f>
        <v>2020</v>
      </c>
    </row>
    <row r="112" spans="1:7" x14ac:dyDescent="0.25">
      <c r="A112" s="151"/>
      <c r="B112" s="6" t="s">
        <v>342</v>
      </c>
      <c r="C112" s="66" t="s">
        <v>343</v>
      </c>
      <c r="D112" s="67"/>
      <c r="E112" s="159" t="s">
        <v>344</v>
      </c>
      <c r="F112" s="66" t="s">
        <v>309</v>
      </c>
      <c r="G112" s="67"/>
    </row>
    <row r="113" spans="1:7" x14ac:dyDescent="0.25">
      <c r="A113" s="151"/>
      <c r="B113" s="6" t="s">
        <v>345</v>
      </c>
      <c r="C113" s="68" t="s">
        <v>346</v>
      </c>
      <c r="D113" s="69">
        <v>406521542</v>
      </c>
      <c r="E113" s="159" t="s">
        <v>347</v>
      </c>
      <c r="F113" s="68" t="s">
        <v>348</v>
      </c>
      <c r="G113" s="69"/>
    </row>
    <row r="114" spans="1:7" x14ac:dyDescent="0.25">
      <c r="A114" s="151"/>
      <c r="B114" s="6" t="s">
        <v>349</v>
      </c>
      <c r="C114" s="68" t="s">
        <v>48</v>
      </c>
      <c r="D114" s="69"/>
      <c r="E114" s="159" t="s">
        <v>350</v>
      </c>
      <c r="F114" s="68" t="s">
        <v>351</v>
      </c>
      <c r="G114" s="69">
        <v>12682389</v>
      </c>
    </row>
    <row r="115" spans="1:7" x14ac:dyDescent="0.25">
      <c r="A115" s="151"/>
      <c r="B115" s="6" t="s">
        <v>352</v>
      </c>
      <c r="C115" s="68" t="s">
        <v>353</v>
      </c>
      <c r="D115" s="69"/>
      <c r="E115" s="159" t="s">
        <v>354</v>
      </c>
      <c r="F115" s="68" t="s">
        <v>355</v>
      </c>
      <c r="G115" s="69"/>
    </row>
    <row r="116" spans="1:7" x14ac:dyDescent="0.25">
      <c r="A116" s="151"/>
      <c r="B116" s="6" t="s">
        <v>356</v>
      </c>
      <c r="C116" s="68" t="s">
        <v>357</v>
      </c>
      <c r="D116" s="69">
        <v>23717877</v>
      </c>
      <c r="E116" s="159" t="s">
        <v>358</v>
      </c>
      <c r="F116" s="68" t="s">
        <v>359</v>
      </c>
      <c r="G116" s="69">
        <v>4346732</v>
      </c>
    </row>
    <row r="117" spans="1:7" x14ac:dyDescent="0.25">
      <c r="A117" s="151"/>
      <c r="B117" s="6" t="s">
        <v>360</v>
      </c>
      <c r="C117" s="68" t="s">
        <v>361</v>
      </c>
      <c r="D117" s="69"/>
      <c r="E117" s="159" t="s">
        <v>362</v>
      </c>
      <c r="F117" s="68" t="s">
        <v>363</v>
      </c>
      <c r="G117" s="69"/>
    </row>
    <row r="118" spans="1:7" x14ac:dyDescent="0.25">
      <c r="A118" s="151"/>
      <c r="B118" s="6" t="s">
        <v>364</v>
      </c>
      <c r="C118" s="68" t="s">
        <v>365</v>
      </c>
      <c r="D118" s="69"/>
      <c r="E118" s="159" t="s">
        <v>366</v>
      </c>
      <c r="F118" s="68" t="s">
        <v>367</v>
      </c>
      <c r="G118" s="69"/>
    </row>
    <row r="119" spans="1:7" x14ac:dyDescent="0.25">
      <c r="A119" s="151"/>
      <c r="B119" s="6" t="s">
        <v>368</v>
      </c>
      <c r="C119" s="68" t="s">
        <v>369</v>
      </c>
      <c r="D119" s="69"/>
      <c r="E119" s="159" t="s">
        <v>370</v>
      </c>
      <c r="F119" s="68" t="s">
        <v>371</v>
      </c>
      <c r="G119" s="69"/>
    </row>
    <row r="120" spans="1:7" x14ac:dyDescent="0.25">
      <c r="A120" s="151"/>
      <c r="B120" s="6" t="s">
        <v>372</v>
      </c>
      <c r="C120" s="68" t="s">
        <v>373</v>
      </c>
      <c r="D120" s="69"/>
      <c r="E120" s="159" t="s">
        <v>374</v>
      </c>
      <c r="F120" s="68" t="s">
        <v>375</v>
      </c>
      <c r="G120" s="69"/>
    </row>
    <row r="121" spans="1:7" x14ac:dyDescent="0.25">
      <c r="A121" s="151"/>
      <c r="B121" s="6" t="s">
        <v>376</v>
      </c>
      <c r="C121" s="19" t="s">
        <v>377</v>
      </c>
      <c r="D121" s="69">
        <v>18623119</v>
      </c>
      <c r="E121" s="159" t="s">
        <v>378</v>
      </c>
      <c r="F121" s="68" t="s">
        <v>379</v>
      </c>
      <c r="G121" s="69">
        <v>13175826</v>
      </c>
    </row>
    <row r="122" spans="1:7" ht="15.75" thickBot="1" x14ac:dyDescent="0.3">
      <c r="A122" s="151"/>
      <c r="B122" s="6"/>
      <c r="C122" s="161" t="s">
        <v>380</v>
      </c>
      <c r="D122" s="170">
        <f>SUM(D112:D121)</f>
        <v>448862538</v>
      </c>
      <c r="E122" s="159" t="s">
        <v>381</v>
      </c>
      <c r="F122" s="19" t="s">
        <v>382</v>
      </c>
      <c r="G122" s="20">
        <v>1347307</v>
      </c>
    </row>
    <row r="123" spans="1:7" ht="15.75" thickBot="1" x14ac:dyDescent="0.3">
      <c r="A123" s="151"/>
      <c r="B123" s="6" t="s">
        <v>383</v>
      </c>
      <c r="C123" s="70" t="s">
        <v>309</v>
      </c>
      <c r="D123" s="67"/>
      <c r="E123" s="177"/>
      <c r="F123" s="161" t="s">
        <v>384</v>
      </c>
      <c r="G123" s="170">
        <f>SUM(G112:G122)</f>
        <v>31552254</v>
      </c>
    </row>
    <row r="124" spans="1:7" x14ac:dyDescent="0.25">
      <c r="A124" s="151"/>
      <c r="B124" s="6" t="s">
        <v>385</v>
      </c>
      <c r="C124" s="68" t="s">
        <v>313</v>
      </c>
      <c r="D124" s="69">
        <v>210378</v>
      </c>
      <c r="E124" s="159" t="s">
        <v>386</v>
      </c>
      <c r="F124" s="68" t="s">
        <v>387</v>
      </c>
      <c r="G124" s="69">
        <v>1889619.87</v>
      </c>
    </row>
    <row r="125" spans="1:7" x14ac:dyDescent="0.25">
      <c r="A125" s="151"/>
      <c r="B125" s="6" t="s">
        <v>388</v>
      </c>
      <c r="C125" s="19" t="s">
        <v>389</v>
      </c>
      <c r="D125" s="69">
        <v>5448</v>
      </c>
      <c r="E125" s="159" t="s">
        <v>390</v>
      </c>
      <c r="F125" s="68" t="s">
        <v>391</v>
      </c>
      <c r="G125" s="69">
        <v>427295</v>
      </c>
    </row>
    <row r="126" spans="1:7" ht="15.75" thickBot="1" x14ac:dyDescent="0.3">
      <c r="A126" s="151"/>
      <c r="B126" s="6"/>
      <c r="C126" s="161" t="s">
        <v>392</v>
      </c>
      <c r="D126" s="170">
        <f>SUM(D123:D125)</f>
        <v>215826</v>
      </c>
      <c r="E126" s="159" t="s">
        <v>393</v>
      </c>
      <c r="F126" s="68" t="s">
        <v>394</v>
      </c>
      <c r="G126" s="69">
        <v>4881601</v>
      </c>
    </row>
    <row r="127" spans="1:7" x14ac:dyDescent="0.25">
      <c r="A127" s="151"/>
      <c r="B127" s="6" t="s">
        <v>395</v>
      </c>
      <c r="C127" s="66" t="s">
        <v>274</v>
      </c>
      <c r="D127" s="67">
        <v>23183221</v>
      </c>
      <c r="E127" s="159" t="s">
        <v>396</v>
      </c>
      <c r="F127" s="68" t="s">
        <v>397</v>
      </c>
      <c r="G127" s="69"/>
    </row>
    <row r="128" spans="1:7" x14ac:dyDescent="0.25">
      <c r="A128" s="151"/>
      <c r="B128" s="6" t="s">
        <v>398</v>
      </c>
      <c r="C128" s="68" t="s">
        <v>399</v>
      </c>
      <c r="D128" s="69">
        <v>11634548</v>
      </c>
      <c r="E128" s="159" t="s">
        <v>400</v>
      </c>
      <c r="F128" s="68" t="s">
        <v>401</v>
      </c>
      <c r="G128" s="69"/>
    </row>
    <row r="129" spans="1:7" x14ac:dyDescent="0.25">
      <c r="A129" s="151"/>
      <c r="B129" s="6" t="s">
        <v>402</v>
      </c>
      <c r="C129" s="68" t="s">
        <v>277</v>
      </c>
      <c r="D129" s="69"/>
      <c r="E129" s="159" t="s">
        <v>403</v>
      </c>
      <c r="F129" s="68" t="s">
        <v>404</v>
      </c>
      <c r="G129" s="69">
        <v>11184684</v>
      </c>
    </row>
    <row r="130" spans="1:7" x14ac:dyDescent="0.25">
      <c r="A130" s="151"/>
      <c r="B130" s="6" t="s">
        <v>405</v>
      </c>
      <c r="C130" s="68" t="s">
        <v>283</v>
      </c>
      <c r="D130" s="69"/>
      <c r="E130" s="159" t="s">
        <v>406</v>
      </c>
      <c r="F130" s="68" t="s">
        <v>407</v>
      </c>
      <c r="G130" s="69"/>
    </row>
    <row r="131" spans="1:7" x14ac:dyDescent="0.25">
      <c r="A131" s="151"/>
      <c r="B131" s="6" t="s">
        <v>408</v>
      </c>
      <c r="C131" s="68" t="s">
        <v>287</v>
      </c>
      <c r="D131" s="69"/>
      <c r="E131" s="159" t="s">
        <v>409</v>
      </c>
      <c r="F131" s="68" t="s">
        <v>410</v>
      </c>
      <c r="G131" s="69"/>
    </row>
    <row r="132" spans="1:7" x14ac:dyDescent="0.25">
      <c r="A132" s="151"/>
      <c r="B132" s="6" t="s">
        <v>411</v>
      </c>
      <c r="C132" s="68" t="s">
        <v>291</v>
      </c>
      <c r="D132" s="69"/>
      <c r="E132" s="159" t="s">
        <v>412</v>
      </c>
      <c r="F132" s="68" t="s">
        <v>413</v>
      </c>
      <c r="G132" s="69"/>
    </row>
    <row r="133" spans="1:7" x14ac:dyDescent="0.25">
      <c r="A133" s="151"/>
      <c r="B133" s="6" t="s">
        <v>414</v>
      </c>
      <c r="C133" s="68" t="s">
        <v>295</v>
      </c>
      <c r="D133" s="69"/>
      <c r="E133" s="159" t="s">
        <v>415</v>
      </c>
      <c r="F133" s="68" t="s">
        <v>416</v>
      </c>
      <c r="G133" s="69">
        <v>14270000</v>
      </c>
    </row>
    <row r="134" spans="1:7" x14ac:dyDescent="0.25">
      <c r="A134" s="151"/>
      <c r="B134" s="6" t="s">
        <v>417</v>
      </c>
      <c r="C134" s="68" t="s">
        <v>418</v>
      </c>
      <c r="D134" s="69">
        <v>19818610</v>
      </c>
      <c r="E134" s="159" t="s">
        <v>419</v>
      </c>
      <c r="F134" s="68" t="s">
        <v>420</v>
      </c>
      <c r="G134" s="69">
        <v>5800000</v>
      </c>
    </row>
    <row r="135" spans="1:7" x14ac:dyDescent="0.25">
      <c r="A135" s="151"/>
      <c r="B135" s="6" t="s">
        <v>421</v>
      </c>
      <c r="C135" s="68" t="s">
        <v>422</v>
      </c>
      <c r="D135" s="69">
        <v>8321551</v>
      </c>
      <c r="E135" s="159" t="s">
        <v>423</v>
      </c>
      <c r="F135" s="68" t="s">
        <v>424</v>
      </c>
      <c r="G135" s="69"/>
    </row>
    <row r="136" spans="1:7" x14ac:dyDescent="0.25">
      <c r="A136" s="151"/>
      <c r="B136" s="6" t="s">
        <v>425</v>
      </c>
      <c r="C136" s="68" t="s">
        <v>318</v>
      </c>
      <c r="D136" s="69">
        <v>21624115</v>
      </c>
      <c r="E136" s="159" t="s">
        <v>426</v>
      </c>
      <c r="F136" s="68" t="s">
        <v>427</v>
      </c>
      <c r="G136" s="69"/>
    </row>
    <row r="137" spans="1:7" x14ac:dyDescent="0.25">
      <c r="A137" s="151"/>
      <c r="B137" s="6" t="s">
        <v>428</v>
      </c>
      <c r="C137" s="19" t="s">
        <v>320</v>
      </c>
      <c r="D137" s="71">
        <v>3911509</v>
      </c>
      <c r="E137" s="159" t="s">
        <v>429</v>
      </c>
      <c r="F137" s="68" t="s">
        <v>430</v>
      </c>
      <c r="G137" s="69">
        <v>1020340</v>
      </c>
    </row>
    <row r="138" spans="1:7" ht="15.75" thickBot="1" x14ac:dyDescent="0.3">
      <c r="A138" s="151"/>
      <c r="B138" s="6"/>
      <c r="C138" s="161" t="s">
        <v>321</v>
      </c>
      <c r="D138" s="170">
        <f>SUM(D127:D137)</f>
        <v>88493554</v>
      </c>
      <c r="E138" s="159" t="s">
        <v>431</v>
      </c>
      <c r="F138" s="19" t="s">
        <v>432</v>
      </c>
      <c r="G138" s="20">
        <v>1429085</v>
      </c>
    </row>
    <row r="139" spans="1:7" ht="15.75" thickBot="1" x14ac:dyDescent="0.3">
      <c r="A139" s="151"/>
      <c r="B139" s="6" t="s">
        <v>433</v>
      </c>
      <c r="C139" s="66" t="s">
        <v>327</v>
      </c>
      <c r="D139" s="67">
        <v>1542</v>
      </c>
      <c r="E139" s="7"/>
      <c r="F139" s="161" t="s">
        <v>434</v>
      </c>
      <c r="G139" s="170">
        <f>SUM(G124:G138)</f>
        <v>40902624.870000005</v>
      </c>
    </row>
    <row r="140" spans="1:7" ht="16.5" thickBot="1" x14ac:dyDescent="0.3">
      <c r="A140" s="151"/>
      <c r="B140" s="6" t="s">
        <v>435</v>
      </c>
      <c r="C140" s="68" t="s">
        <v>329</v>
      </c>
      <c r="D140" s="69"/>
      <c r="E140" s="7"/>
      <c r="F140" s="175" t="s">
        <v>436</v>
      </c>
      <c r="G140" s="186">
        <f>G123-G139</f>
        <v>-9350370.8700000048</v>
      </c>
    </row>
    <row r="141" spans="1:7" x14ac:dyDescent="0.25">
      <c r="A141" s="151"/>
      <c r="B141" s="6" t="s">
        <v>437</v>
      </c>
      <c r="C141" s="19" t="s">
        <v>331</v>
      </c>
      <c r="D141" s="71"/>
      <c r="E141" s="73"/>
    </row>
    <row r="142" spans="1:7" ht="15.75" thickBot="1" x14ac:dyDescent="0.3">
      <c r="A142" s="151"/>
      <c r="B142" s="6"/>
      <c r="C142" s="161" t="s">
        <v>332</v>
      </c>
      <c r="D142" s="170">
        <f>SUM(D139:D141)</f>
        <v>1542</v>
      </c>
      <c r="E142" s="73"/>
    </row>
    <row r="143" spans="1:7" ht="16.5" thickBot="1" x14ac:dyDescent="0.3">
      <c r="A143" s="151"/>
      <c r="B143" s="6"/>
      <c r="C143" s="183" t="s">
        <v>438</v>
      </c>
      <c r="D143" s="187">
        <f>[8]Amortizaciones!D33</f>
        <v>28306116</v>
      </c>
      <c r="E143" s="159"/>
      <c r="F143" s="175" t="s">
        <v>439</v>
      </c>
      <c r="G143" s="157">
        <f>+[8]E.S.P.!D6</f>
        <v>2020</v>
      </c>
    </row>
    <row r="144" spans="1:7" x14ac:dyDescent="0.25">
      <c r="A144" s="151"/>
      <c r="B144" s="6" t="s">
        <v>440</v>
      </c>
      <c r="C144" s="66" t="s">
        <v>441</v>
      </c>
      <c r="D144" s="67">
        <v>10270546</v>
      </c>
      <c r="E144" s="159" t="s">
        <v>442</v>
      </c>
      <c r="F144" s="66" t="s">
        <v>443</v>
      </c>
      <c r="G144" s="67">
        <v>56680222</v>
      </c>
    </row>
    <row r="145" spans="1:7" x14ac:dyDescent="0.25">
      <c r="A145" s="151"/>
      <c r="B145" s="6" t="s">
        <v>444</v>
      </c>
      <c r="C145" s="68" t="s">
        <v>445</v>
      </c>
      <c r="D145" s="69">
        <v>4231924</v>
      </c>
      <c r="E145" s="159" t="s">
        <v>446</v>
      </c>
      <c r="F145" s="68" t="s">
        <v>447</v>
      </c>
      <c r="G145" s="69"/>
    </row>
    <row r="146" spans="1:7" x14ac:dyDescent="0.25">
      <c r="A146" s="151"/>
      <c r="B146" s="6" t="s">
        <v>448</v>
      </c>
      <c r="C146" s="75" t="s">
        <v>449</v>
      </c>
      <c r="D146" s="69"/>
      <c r="E146" s="159" t="s">
        <v>450</v>
      </c>
      <c r="F146" s="68" t="s">
        <v>451</v>
      </c>
      <c r="G146" s="69"/>
    </row>
    <row r="147" spans="1:7" x14ac:dyDescent="0.25">
      <c r="A147" s="151"/>
      <c r="B147" s="6" t="s">
        <v>452</v>
      </c>
      <c r="C147" s="19" t="s">
        <v>453</v>
      </c>
      <c r="D147" s="71">
        <v>596192</v>
      </c>
      <c r="E147" s="159" t="s">
        <v>454</v>
      </c>
      <c r="F147" s="68" t="s">
        <v>455</v>
      </c>
      <c r="G147" s="69"/>
    </row>
    <row r="148" spans="1:7" ht="15.75" thickBot="1" x14ac:dyDescent="0.3">
      <c r="A148" s="151"/>
      <c r="B148" s="6"/>
      <c r="C148" s="161" t="s">
        <v>456</v>
      </c>
      <c r="D148" s="170">
        <f>SUM(D144:D147)</f>
        <v>15098662</v>
      </c>
      <c r="E148" s="159" t="s">
        <v>457</v>
      </c>
      <c r="F148" s="68" t="s">
        <v>458</v>
      </c>
      <c r="G148" s="69"/>
    </row>
    <row r="149" spans="1:7" x14ac:dyDescent="0.25">
      <c r="A149" s="151"/>
      <c r="B149" s="6" t="s">
        <v>459</v>
      </c>
      <c r="C149" s="66" t="s">
        <v>460</v>
      </c>
      <c r="D149" s="67">
        <v>3569967.35</v>
      </c>
      <c r="E149" s="159" t="s">
        <v>461</v>
      </c>
      <c r="F149" s="68" t="s">
        <v>462</v>
      </c>
      <c r="G149" s="69"/>
    </row>
    <row r="150" spans="1:7" x14ac:dyDescent="0.25">
      <c r="A150" s="151"/>
      <c r="B150" s="6" t="s">
        <v>463</v>
      </c>
      <c r="C150" s="68" t="s">
        <v>464</v>
      </c>
      <c r="D150" s="69"/>
      <c r="E150" s="159" t="s">
        <v>465</v>
      </c>
      <c r="F150" s="68" t="s">
        <v>466</v>
      </c>
      <c r="G150" s="69"/>
    </row>
    <row r="151" spans="1:7" x14ac:dyDescent="0.25">
      <c r="A151" s="151"/>
      <c r="B151" s="6" t="s">
        <v>467</v>
      </c>
      <c r="C151" s="19" t="s">
        <v>468</v>
      </c>
      <c r="D151" s="71"/>
      <c r="E151" s="159" t="s">
        <v>469</v>
      </c>
      <c r="F151" s="68" t="s">
        <v>470</v>
      </c>
      <c r="G151" s="69">
        <v>75472621</v>
      </c>
    </row>
    <row r="152" spans="1:7" ht="15.75" thickBot="1" x14ac:dyDescent="0.3">
      <c r="A152" s="151"/>
      <c r="B152" s="6"/>
      <c r="C152" s="161" t="s">
        <v>471</v>
      </c>
      <c r="D152" s="170">
        <f>SUM(D149:D151)</f>
        <v>3569967.35</v>
      </c>
      <c r="E152" s="159" t="s">
        <v>472</v>
      </c>
      <c r="F152" s="68" t="s">
        <v>473</v>
      </c>
      <c r="G152" s="69"/>
    </row>
    <row r="153" spans="1:7" ht="16.5" thickBot="1" x14ac:dyDescent="0.3">
      <c r="A153" s="151"/>
      <c r="B153" s="6"/>
      <c r="C153" s="175" t="s">
        <v>474</v>
      </c>
      <c r="D153" s="188">
        <f>D122+D126+D138+D142+D143+D148+D152</f>
        <v>584548205.35000002</v>
      </c>
      <c r="E153" s="159" t="s">
        <v>475</v>
      </c>
      <c r="F153" s="19" t="s">
        <v>476</v>
      </c>
      <c r="G153" s="20">
        <v>2311206</v>
      </c>
    </row>
    <row r="154" spans="1:7" ht="15.75" thickBot="1" x14ac:dyDescent="0.3">
      <c r="A154" s="151"/>
      <c r="B154" s="6"/>
      <c r="E154" s="159"/>
      <c r="F154" s="161" t="s">
        <v>477</v>
      </c>
      <c r="G154" s="170">
        <f>SUM(G144:G153)</f>
        <v>134464049</v>
      </c>
    </row>
    <row r="155" spans="1:7" ht="16.5" thickBot="1" x14ac:dyDescent="0.3">
      <c r="A155" s="151"/>
      <c r="B155" s="6"/>
      <c r="C155" s="154" t="s">
        <v>478</v>
      </c>
      <c r="D155" s="185">
        <f>G109-D153</f>
        <v>297366317.69999921</v>
      </c>
      <c r="E155" s="159" t="s">
        <v>479</v>
      </c>
      <c r="F155" s="66" t="s">
        <v>480</v>
      </c>
      <c r="G155" s="67">
        <v>16866339</v>
      </c>
    </row>
    <row r="156" spans="1:7" x14ac:dyDescent="0.25">
      <c r="A156" s="151"/>
      <c r="B156" s="7"/>
      <c r="E156" s="159" t="s">
        <v>481</v>
      </c>
      <c r="F156" s="68" t="s">
        <v>482</v>
      </c>
      <c r="G156" s="69"/>
    </row>
    <row r="157" spans="1:7" x14ac:dyDescent="0.25">
      <c r="A157" s="151"/>
      <c r="B157" s="7"/>
      <c r="E157" s="159" t="s">
        <v>483</v>
      </c>
      <c r="F157" s="68" t="s">
        <v>484</v>
      </c>
      <c r="G157" s="69"/>
    </row>
    <row r="158" spans="1:7" x14ac:dyDescent="0.25">
      <c r="A158" s="151"/>
      <c r="B158" s="7"/>
      <c r="E158" s="159" t="s">
        <v>485</v>
      </c>
      <c r="F158" s="68" t="s">
        <v>486</v>
      </c>
      <c r="G158" s="69"/>
    </row>
    <row r="159" spans="1:7" x14ac:dyDescent="0.25">
      <c r="A159" s="151"/>
      <c r="B159" s="7"/>
      <c r="E159" s="159" t="s">
        <v>487</v>
      </c>
      <c r="F159" s="68" t="s">
        <v>488</v>
      </c>
      <c r="G159" s="69"/>
    </row>
    <row r="160" spans="1:7" x14ac:dyDescent="0.25">
      <c r="A160" s="151"/>
      <c r="B160" s="7"/>
      <c r="E160" s="159" t="s">
        <v>489</v>
      </c>
      <c r="F160" s="68" t="s">
        <v>490</v>
      </c>
      <c r="G160" s="69">
        <v>1202806</v>
      </c>
    </row>
    <row r="161" spans="1:7" x14ac:dyDescent="0.25">
      <c r="A161" s="151"/>
      <c r="B161" s="7"/>
      <c r="E161" s="159" t="s">
        <v>491</v>
      </c>
      <c r="F161" s="68" t="s">
        <v>492</v>
      </c>
      <c r="G161" s="69"/>
    </row>
    <row r="162" spans="1:7" x14ac:dyDescent="0.25">
      <c r="A162" s="151"/>
      <c r="B162" s="7"/>
      <c r="E162" s="159" t="s">
        <v>493</v>
      </c>
      <c r="F162" s="68" t="s">
        <v>494</v>
      </c>
      <c r="G162" s="69"/>
    </row>
    <row r="163" spans="1:7" x14ac:dyDescent="0.25">
      <c r="A163" s="151"/>
      <c r="B163" s="7"/>
      <c r="E163" s="159" t="s">
        <v>495</v>
      </c>
      <c r="F163" s="68" t="s">
        <v>496</v>
      </c>
      <c r="G163" s="69"/>
    </row>
    <row r="164" spans="1:7" x14ac:dyDescent="0.25">
      <c r="A164" s="151"/>
      <c r="B164" s="7"/>
      <c r="E164" s="159" t="s">
        <v>497</v>
      </c>
      <c r="F164" s="68" t="s">
        <v>498</v>
      </c>
      <c r="G164" s="69"/>
    </row>
    <row r="165" spans="1:7" x14ac:dyDescent="0.25">
      <c r="A165" s="151"/>
      <c r="B165" s="7"/>
      <c r="E165" s="159" t="s">
        <v>499</v>
      </c>
      <c r="F165" s="68" t="s">
        <v>500</v>
      </c>
      <c r="G165" s="69"/>
    </row>
    <row r="166" spans="1:7" x14ac:dyDescent="0.25">
      <c r="A166" s="151"/>
      <c r="B166" s="7"/>
      <c r="E166" s="159" t="s">
        <v>501</v>
      </c>
      <c r="F166" s="68" t="s">
        <v>502</v>
      </c>
      <c r="G166" s="69">
        <v>29032</v>
      </c>
    </row>
    <row r="167" spans="1:7" x14ac:dyDescent="0.25">
      <c r="A167" s="151"/>
      <c r="B167" s="7"/>
      <c r="E167" s="159" t="s">
        <v>503</v>
      </c>
      <c r="F167" s="19" t="s">
        <v>504</v>
      </c>
      <c r="G167" s="20">
        <v>715260</v>
      </c>
    </row>
    <row r="168" spans="1:7" ht="15.75" thickBot="1" x14ac:dyDescent="0.3">
      <c r="A168" s="151"/>
      <c r="B168" s="7"/>
      <c r="E168" s="159"/>
      <c r="F168" s="161" t="s">
        <v>505</v>
      </c>
      <c r="G168" s="170">
        <f>SUM(G155:G167)</f>
        <v>18813437</v>
      </c>
    </row>
    <row r="169" spans="1:7" ht="16.5" thickBot="1" x14ac:dyDescent="0.3">
      <c r="A169" s="151"/>
      <c r="B169" s="7"/>
      <c r="E169" s="159"/>
      <c r="F169" s="175" t="s">
        <v>506</v>
      </c>
      <c r="G169" s="186">
        <f>G154-G168</f>
        <v>115650612</v>
      </c>
    </row>
    <row r="170" spans="1:7" ht="15.75" thickBot="1" x14ac:dyDescent="0.3">
      <c r="A170" s="151"/>
      <c r="B170" s="7"/>
      <c r="E170" s="159"/>
      <c r="F170" s="78"/>
      <c r="G170" s="78"/>
    </row>
    <row r="171" spans="1:7" ht="16.5" thickBot="1" x14ac:dyDescent="0.3">
      <c r="A171" s="151"/>
      <c r="B171" s="7"/>
      <c r="E171" s="159"/>
      <c r="F171" s="154" t="s">
        <v>507</v>
      </c>
      <c r="G171" s="189"/>
    </row>
    <row r="172" spans="1:7" ht="16.5" thickBot="1" x14ac:dyDescent="0.3">
      <c r="A172" s="151"/>
      <c r="B172" s="7"/>
      <c r="E172" s="159"/>
      <c r="F172" s="190"/>
      <c r="G172" s="191">
        <f>+D155+G140+G169</f>
        <v>403666558.82999921</v>
      </c>
    </row>
    <row r="173" spans="1:7" ht="15.75" thickBot="1" x14ac:dyDescent="0.3">
      <c r="A173" s="151"/>
      <c r="B173" s="7"/>
      <c r="E173" s="159"/>
      <c r="F173" s="5"/>
      <c r="G173" s="5"/>
    </row>
    <row r="174" spans="1:7" ht="16.5" thickBot="1" x14ac:dyDescent="0.3">
      <c r="A174" s="151"/>
      <c r="B174" s="7"/>
      <c r="E174" s="159"/>
      <c r="F174" s="175" t="s">
        <v>508</v>
      </c>
      <c r="G174" s="157">
        <f>+G143</f>
        <v>2020</v>
      </c>
    </row>
    <row r="175" spans="1:7" x14ac:dyDescent="0.25">
      <c r="A175" s="151"/>
      <c r="B175" s="7"/>
      <c r="E175" s="159"/>
      <c r="F175" s="66" t="s">
        <v>509</v>
      </c>
      <c r="G175" s="67"/>
    </row>
    <row r="176" spans="1:7" x14ac:dyDescent="0.25">
      <c r="A176" s="151"/>
      <c r="B176" s="7"/>
      <c r="E176" s="159"/>
      <c r="F176" s="68" t="s">
        <v>510</v>
      </c>
      <c r="G176" s="69"/>
    </row>
    <row r="177" spans="1:7" ht="15.75" thickBot="1" x14ac:dyDescent="0.3">
      <c r="A177" s="151"/>
      <c r="B177" s="7"/>
      <c r="F177" s="68" t="s">
        <v>511</v>
      </c>
      <c r="G177" s="69"/>
    </row>
    <row r="178" spans="1:7" ht="16.5" thickBot="1" x14ac:dyDescent="0.3">
      <c r="A178" s="151"/>
      <c r="B178" s="7"/>
      <c r="F178" s="175" t="s">
        <v>512</v>
      </c>
      <c r="G178" s="186">
        <f>SUM(G175:G177)</f>
        <v>0</v>
      </c>
    </row>
    <row r="179" spans="1:7" ht="15.75" thickBot="1" x14ac:dyDescent="0.3">
      <c r="A179" s="151"/>
      <c r="B179" s="7"/>
    </row>
    <row r="180" spans="1:7" ht="16.5" thickBot="1" x14ac:dyDescent="0.3">
      <c r="A180" s="151"/>
      <c r="B180" s="7"/>
      <c r="F180" s="154" t="s">
        <v>513</v>
      </c>
      <c r="G180" s="189"/>
    </row>
    <row r="181" spans="1:7" ht="16.5" thickBot="1" x14ac:dyDescent="0.3">
      <c r="A181" s="151"/>
      <c r="B181" s="7"/>
      <c r="F181" s="193"/>
      <c r="G181" s="191">
        <f>+G172+G178</f>
        <v>403666558.82999921</v>
      </c>
    </row>
    <row r="184" spans="1:7" x14ac:dyDescent="0.25">
      <c r="E184" s="194"/>
      <c r="F184" s="194"/>
      <c r="G184" s="194"/>
    </row>
    <row r="185" spans="1:7" x14ac:dyDescent="0.25">
      <c r="C185" s="194"/>
      <c r="D185" s="194"/>
      <c r="F185" s="51"/>
      <c r="G185" s="51"/>
    </row>
    <row r="186" spans="1:7" x14ac:dyDescent="0.25">
      <c r="C186" s="194"/>
      <c r="D186" s="194"/>
      <c r="F186" s="51"/>
      <c r="G186" s="51"/>
    </row>
    <row r="187" spans="1:7" x14ac:dyDescent="0.25">
      <c r="C187" s="194"/>
      <c r="D187" s="194"/>
      <c r="F187" s="51"/>
      <c r="G187" s="51"/>
    </row>
    <row r="188" spans="1:7" x14ac:dyDescent="0.25">
      <c r="C188" s="194"/>
      <c r="D188" s="194"/>
      <c r="F188" s="51"/>
      <c r="G188" s="51"/>
    </row>
    <row r="189" spans="1:7" x14ac:dyDescent="0.25">
      <c r="C189" s="194"/>
      <c r="D189" s="194"/>
      <c r="F189" s="51"/>
      <c r="G189" s="51"/>
    </row>
    <row r="190" spans="1:7" x14ac:dyDescent="0.25">
      <c r="C190" s="194"/>
      <c r="D190" s="194"/>
      <c r="F190" s="51"/>
      <c r="G190" s="51"/>
    </row>
    <row r="191" spans="1:7" x14ac:dyDescent="0.25">
      <c r="C191" s="194"/>
      <c r="D191" s="194"/>
      <c r="F191" s="51"/>
      <c r="G191" s="51"/>
    </row>
    <row r="192" spans="1:7" x14ac:dyDescent="0.25">
      <c r="C192" s="194"/>
      <c r="D192" s="194"/>
      <c r="F192" s="51"/>
      <c r="G192" s="51"/>
    </row>
    <row r="193" spans="3:7" x14ac:dyDescent="0.25">
      <c r="C193" s="194"/>
      <c r="D193" s="194"/>
      <c r="F193" s="51"/>
      <c r="G193" s="51"/>
    </row>
    <row r="194" spans="3:7" x14ac:dyDescent="0.25">
      <c r="C194" s="194"/>
      <c r="D194" s="194"/>
      <c r="F194" s="51"/>
      <c r="G194" s="51"/>
    </row>
    <row r="195" spans="3:7" x14ac:dyDescent="0.25">
      <c r="C195" s="194"/>
      <c r="D195" s="194"/>
      <c r="F195" s="51"/>
      <c r="G195" s="51"/>
    </row>
    <row r="196" spans="3:7" x14ac:dyDescent="0.25">
      <c r="C196" s="194"/>
      <c r="D196" s="194"/>
      <c r="F196" s="51"/>
      <c r="G196" s="51"/>
    </row>
    <row r="197" spans="3:7" x14ac:dyDescent="0.25">
      <c r="C197" s="194"/>
      <c r="D197" s="194"/>
      <c r="F197" s="51"/>
      <c r="G197" s="51"/>
    </row>
    <row r="198" spans="3:7" x14ac:dyDescent="0.25">
      <c r="C198" s="194"/>
      <c r="D198" s="194"/>
      <c r="F198" s="51"/>
      <c r="G198" s="51"/>
    </row>
    <row r="199" spans="3:7" x14ac:dyDescent="0.25">
      <c r="C199" s="194"/>
      <c r="D199" s="194"/>
      <c r="F199" s="51"/>
      <c r="G199" s="51"/>
    </row>
    <row r="200" spans="3:7" x14ac:dyDescent="0.25">
      <c r="C200" s="194"/>
      <c r="D200" s="194"/>
      <c r="F200" s="51"/>
      <c r="G200" s="51"/>
    </row>
    <row r="201" spans="3:7" x14ac:dyDescent="0.25">
      <c r="C201" s="194"/>
      <c r="D201" s="194"/>
      <c r="F201" s="51"/>
      <c r="G201" s="51"/>
    </row>
    <row r="202" spans="3:7" x14ac:dyDescent="0.25">
      <c r="C202" s="194"/>
      <c r="D202" s="194"/>
      <c r="F202" s="51"/>
      <c r="G202" s="51"/>
    </row>
    <row r="203" spans="3:7" x14ac:dyDescent="0.25">
      <c r="C203" s="194"/>
      <c r="D203" s="194"/>
      <c r="F203" s="51"/>
      <c r="G203" s="51"/>
    </row>
    <row r="204" spans="3:7" x14ac:dyDescent="0.25">
      <c r="C204" s="194"/>
      <c r="D204" s="194"/>
      <c r="F204" s="51"/>
      <c r="G204" s="51"/>
    </row>
    <row r="205" spans="3:7" x14ac:dyDescent="0.25">
      <c r="C205" s="194"/>
      <c r="D205" s="194"/>
      <c r="F205" s="51"/>
      <c r="G205" s="51"/>
    </row>
    <row r="206" spans="3:7" x14ac:dyDescent="0.25">
      <c r="C206" s="194"/>
      <c r="D206" s="194"/>
      <c r="F206" s="51"/>
      <c r="G206" s="51"/>
    </row>
    <row r="207" spans="3:7" x14ac:dyDescent="0.25">
      <c r="C207" s="194"/>
      <c r="D207" s="194"/>
      <c r="F207" s="51"/>
      <c r="G207" s="51"/>
    </row>
    <row r="208" spans="3:7" x14ac:dyDescent="0.25">
      <c r="C208" s="194"/>
      <c r="D208" s="194"/>
      <c r="F208" s="51"/>
      <c r="G208" s="51"/>
    </row>
    <row r="209" spans="3:7" x14ac:dyDescent="0.25">
      <c r="C209" s="194"/>
      <c r="D209" s="194"/>
      <c r="F209" s="51"/>
      <c r="G209" s="51"/>
    </row>
    <row r="210" spans="3:7" x14ac:dyDescent="0.25">
      <c r="C210" s="194"/>
      <c r="D210" s="194"/>
      <c r="F210" s="51"/>
      <c r="G210" s="51"/>
    </row>
    <row r="211" spans="3:7" x14ac:dyDescent="0.25">
      <c r="C211" s="194"/>
      <c r="D211" s="194"/>
      <c r="F211" s="51"/>
      <c r="G211" s="51"/>
    </row>
    <row r="212" spans="3:7" x14ac:dyDescent="0.25">
      <c r="C212" s="194"/>
      <c r="D212" s="194"/>
      <c r="F212" s="51"/>
      <c r="G212" s="51"/>
    </row>
    <row r="213" spans="3:7" x14ac:dyDescent="0.25">
      <c r="C213" s="194"/>
      <c r="D213" s="194"/>
      <c r="F213" s="51"/>
      <c r="G213" s="51"/>
    </row>
    <row r="214" spans="3:7" x14ac:dyDescent="0.25">
      <c r="C214" s="194"/>
      <c r="D214" s="194"/>
      <c r="F214" s="196"/>
    </row>
    <row r="215" spans="3:7" x14ac:dyDescent="0.25">
      <c r="C215" s="51"/>
      <c r="D215" s="51"/>
      <c r="F215" s="196"/>
    </row>
  </sheetData>
  <mergeCells count="6">
    <mergeCell ref="C1:D1"/>
    <mergeCell ref="E1:F1"/>
    <mergeCell ref="C2:D2"/>
    <mergeCell ref="E2:F2"/>
    <mergeCell ref="C3:D3"/>
    <mergeCell ref="E3:F3"/>
  </mergeCells>
  <conditionalFormatting sqref="D7:D12">
    <cfRule type="cellIs" dxfId="359" priority="2" stopIfTrue="1" operator="greaterThan">
      <formula>50</formula>
    </cfRule>
    <cfRule type="cellIs" dxfId="358" priority="11" stopIfTrue="1" operator="equal">
      <formula>0</formula>
    </cfRule>
  </conditionalFormatting>
  <conditionalFormatting sqref="D7:D61">
    <cfRule type="cellIs" dxfId="357" priority="9" stopIfTrue="1" operator="between">
      <formula>-0.1</formula>
      <formula>-50</formula>
    </cfRule>
    <cfRule type="cellIs" dxfId="356" priority="10" stopIfTrue="1" operator="between">
      <formula>0.1</formula>
      <formula>50</formula>
    </cfRule>
  </conditionalFormatting>
  <conditionalFormatting sqref="G152:G181 G7:G150">
    <cfRule type="cellIs" dxfId="355" priority="7" stopIfTrue="1" operator="between">
      <formula>-0.1</formula>
      <formula>-50</formula>
    </cfRule>
    <cfRule type="cellIs" dxfId="354" priority="8" stopIfTrue="1" operator="between">
      <formula>0.1</formula>
      <formula>50</formula>
    </cfRule>
  </conditionalFormatting>
  <conditionalFormatting sqref="D111:D155">
    <cfRule type="cellIs" dxfId="353" priority="5" stopIfTrue="1" operator="between">
      <formula>-0.1</formula>
      <formula>-50</formula>
    </cfRule>
    <cfRule type="cellIs" dxfId="352" priority="6" stopIfTrue="1" operator="between">
      <formula>0.1</formula>
      <formula>50</formula>
    </cfRule>
  </conditionalFormatting>
  <conditionalFormatting sqref="G165">
    <cfRule type="expression" dxfId="351" priority="4" stopIfTrue="1">
      <formula>AND($G$165&gt;0,$G$151&gt;0)</formula>
    </cfRule>
  </conditionalFormatting>
  <conditionalFormatting sqref="G151">
    <cfRule type="expression" dxfId="350" priority="1" stopIfTrue="1">
      <formula>AND($G$151&gt;0,$G$165&gt;0)</formula>
    </cfRule>
  </conditionalFormatting>
  <dataValidations count="10">
    <dataValidation type="custom" operator="greaterThan" showInputMessage="1" showErrorMessage="1" errorTitle="RDM" error="No se admite ingresar RDM como ingresos y egresos a la vez. Tampoco se admiten valores menores a $50._x000a_" sqref="G151">
      <formula1>AND(OR(G151=0, G151&gt;50),G165=0)</formula1>
    </dataValidation>
    <dataValidation type="whole" operator="greaterThan" allowBlank="1" showInputMessage="1" showErrorMessage="1" sqref="D8:D12">
      <formula1>50</formula1>
    </dataValidation>
    <dataValidation type="whole" operator="greaterThan" showInputMessage="1" showErrorMessage="1" errorTitle="eee" error="Valores mayores a $50" sqref="D7">
      <formula1>50</formula1>
    </dataValidation>
    <dataValidation type="custom" operator="greaterThan" showInputMessage="1" showErrorMessage="1" errorTitle="eee" sqref="D56">
      <formula1>OR(D56=0, D56&lt;50)</formula1>
    </dataValidation>
    <dataValidation type="custom" operator="greaterThan" showInputMessage="1" showErrorMessage="1" errorTitle="eee" sqref="D57:D61">
      <formula1>OR(D57=0, D57&lt;0)</formula1>
    </dataValidation>
    <dataValidation type="custom" operator="greaterThan" showInputMessage="1" showErrorMessage="1" errorTitle="eee" sqref="G7:G140 D62:D155 G152:G164 G166:G181 G144:G150 D13:D55">
      <formula1>OR(D7=0, D7&gt;50)</formula1>
    </dataValidation>
    <dataValidation type="whole" allowBlank="1" showErrorMessage="1" errorTitle="Error de datos" error="Debe ingresar un valor entre 1 y 12" sqref="G1:G3">
      <formula1>1</formula1>
      <formula2>12</formula2>
    </dataValidation>
    <dataValidation allowBlank="1" errorTitle="Error de datos" error="Debe introducir una fecha válida" sqref="E3"/>
    <dataValidation operator="greaterThanOrEqual" allowBlank="1" errorTitle="Error de datos" error="Debe ingresar un valor entero positivo" sqref="F6:F107 C13:C47 C106:C153 F171 F174:F178 F180 F111:F119 C7:C10 F121:F140 F143:F169 C49:C62 C155 F109"/>
    <dataValidation type="custom" operator="greaterThan" showInputMessage="1" showErrorMessage="1" errorTitle="rdm2" error="No se admite ingresar a la vez RDM como ingresos y como egresos. Tampoco se admiten valores negattivos o positivos menores de 50" sqref="G165">
      <formula1>AND(OR(G165=0, G165&gt;50),G151=0)</formula1>
    </dataValidation>
  </dataValidations>
  <pageMargins left="0.7" right="0.7" top="0.75" bottom="0.75" header="0.3" footer="0.3"/>
  <ignoredErrors>
    <ignoredError sqref="E7:E183" numberStoredAsText="1"/>
    <ignoredError sqref="D7:D8 G56" unlockedFormula="1"/>
    <ignoredError sqref="G40" formulaRange="1"/>
  </ignoredError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38</vt:i4>
      </vt:variant>
    </vt:vector>
  </HeadingPairs>
  <TitlesOfParts>
    <vt:vector size="38" baseType="lpstr">
      <vt:lpstr>ASOC.ESPAÑOLA</vt:lpstr>
      <vt:lpstr>HOSP.EVANGÉLICO</vt:lpstr>
      <vt:lpstr>CASA DE GALICIA</vt:lpstr>
      <vt:lpstr>CASMU</vt:lpstr>
      <vt:lpstr>CÍRCULO CATÓLICO</vt:lpstr>
      <vt:lpstr>CUDAM</vt:lpstr>
      <vt:lpstr>COSEM</vt:lpstr>
      <vt:lpstr>GREMCA</vt:lpstr>
      <vt:lpstr>MUCAM</vt:lpstr>
      <vt:lpstr>SMI</vt:lpstr>
      <vt:lpstr>UNIVERSAL</vt:lpstr>
      <vt:lpstr>GREMEDA</vt:lpstr>
      <vt:lpstr>CAAMEPA</vt:lpstr>
      <vt:lpstr>CRAMI</vt:lpstr>
      <vt:lpstr>COMECA</vt:lpstr>
      <vt:lpstr>CAMCEL</vt:lpstr>
      <vt:lpstr>CAMEC</vt:lpstr>
      <vt:lpstr>CAMOC</vt:lpstr>
      <vt:lpstr>CAMEDUR</vt:lpstr>
      <vt:lpstr>COMEFLO</vt:lpstr>
      <vt:lpstr>COMEF</vt:lpstr>
      <vt:lpstr>CAMDEL</vt:lpstr>
      <vt:lpstr>AMECOM</vt:lpstr>
      <vt:lpstr>CRAME</vt:lpstr>
      <vt:lpstr>COMEPA</vt:lpstr>
      <vt:lpstr>AMEDRIN</vt:lpstr>
      <vt:lpstr>CAMY</vt:lpstr>
      <vt:lpstr>CASMER</vt:lpstr>
      <vt:lpstr>COMERI</vt:lpstr>
      <vt:lpstr>COMERO</vt:lpstr>
      <vt:lpstr>SMQS</vt:lpstr>
      <vt:lpstr>AMSJ</vt:lpstr>
      <vt:lpstr>CAMS</vt:lpstr>
      <vt:lpstr>COMTA</vt:lpstr>
      <vt:lpstr>IAC</vt:lpstr>
      <vt:lpstr>Total Montevideo</vt:lpstr>
      <vt:lpstr>Total Interior</vt:lpstr>
      <vt:lpstr>Total Pais</vt:lpstr>
    </vt:vector>
  </TitlesOfParts>
  <Company>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Gissel Firpo</dc:creator>
  <cp:lastModifiedBy>Usuario Usuario</cp:lastModifiedBy>
  <dcterms:created xsi:type="dcterms:W3CDTF">2021-02-18T11:05:17Z</dcterms:created>
  <dcterms:modified xsi:type="dcterms:W3CDTF">2021-05-05T18:11:19Z</dcterms:modified>
</cp:coreProperties>
</file>